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area\Elecciones\2018\Oaxaca 2018\Cierre\"/>
    </mc:Choice>
  </mc:AlternateContent>
  <bookViews>
    <workbookView xWindow="0" yWindow="0" windowWidth="23040" windowHeight="8328"/>
  </bookViews>
  <sheets>
    <sheet name="OAX_AYUN_2018" sheetId="1" r:id="rId1"/>
  </sheets>
  <definedNames>
    <definedName name="_xlnm._FilterDatabase" localSheetId="0" hidden="1">OAX_AYUN_2018!$A$4:$BR$3466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</calcChain>
</file>

<file path=xl/sharedStrings.xml><?xml version="1.0" encoding="utf-8"?>
<sst xmlns="http://schemas.openxmlformats.org/spreadsheetml/2006/main" count="33928" uniqueCount="7184">
  <si>
    <t>TIPO DE ELECCION</t>
  </si>
  <si>
    <t>FECHA Y HORA DEL CORTE DE INFORMACION</t>
  </si>
  <si>
    <t>ACTAS_ESPERADAS</t>
  </si>
  <si>
    <t>ACTAS_REGISTRADAS</t>
  </si>
  <si>
    <t>ACTAS_FUERA_CATALOGO</t>
  </si>
  <si>
    <t>ACTAS_CAPTURADAS</t>
  </si>
  <si>
    <t>PORCENTAJE_ACTAS_CAPTURADAS</t>
  </si>
  <si>
    <t>ACTAS_CONTABILIZADAS</t>
  </si>
  <si>
    <t>PORCENTAJE_ACTAS_CONTABILIZADAS</t>
  </si>
  <si>
    <t>PORCENTAJE_ACTAS_INCONSISTENCIAS</t>
  </si>
  <si>
    <t>ACTAS_NO_CONTABILIZADAS</t>
  </si>
  <si>
    <t>LISTA_NOMINAL_ACTAS_CONTABILIZADAS</t>
  </si>
  <si>
    <t>TOTAL_VOTOS_C_CS</t>
  </si>
  <si>
    <t>TOTAL_VOTOS_S_CS</t>
  </si>
  <si>
    <t>PORCENTAJE_PARTICIPACION_CIUDADANA</t>
  </si>
  <si>
    <t>AYUNTAMIENTOS</t>
  </si>
  <si>
    <t>02/07/2018 20:01 (UTC -5)</t>
  </si>
  <si>
    <t>CLAVE_CASILLA</t>
  </si>
  <si>
    <t>CLAVE_ACTA</t>
  </si>
  <si>
    <t>ID_ESTADO</t>
  </si>
  <si>
    <t>ESTADO</t>
  </si>
  <si>
    <t>ID_MUNICIPIO</t>
  </si>
  <si>
    <t>MUNICIPIO</t>
  </si>
  <si>
    <t>SECCION</t>
  </si>
  <si>
    <t>ID_CASILLA</t>
  </si>
  <si>
    <t>TIPO_CASILLA</t>
  </si>
  <si>
    <t>EXT_CONTIGUA</t>
  </si>
  <si>
    <t>UBICACION_CASILLA</t>
  </si>
  <si>
    <t>TIPO_ACTA</t>
  </si>
  <si>
    <t>TOTAL_BOLETAS_SOBRANTES</t>
  </si>
  <si>
    <t>TOTAL_PERSONAS_VOTARON</t>
  </si>
  <si>
    <t>TOTAL_REP_PARTIDO_CI_VOTARON</t>
  </si>
  <si>
    <t>TOTAL_VOTOS_SACADOS</t>
  </si>
  <si>
    <t>PAN</t>
  </si>
  <si>
    <t>PRI</t>
  </si>
  <si>
    <t>PRD</t>
  </si>
  <si>
    <t>PVEM</t>
  </si>
  <si>
    <t>PT</t>
  </si>
  <si>
    <t>PMC</t>
  </si>
  <si>
    <t>PUP</t>
  </si>
  <si>
    <t>PNA</t>
  </si>
  <si>
    <t>MORENA</t>
  </si>
  <si>
    <t>PES</t>
  </si>
  <si>
    <t>PSD</t>
  </si>
  <si>
    <t>PMR</t>
  </si>
  <si>
    <t>CO_PAN_PRD_PMC</t>
  </si>
  <si>
    <t>CO_PAN_PRD</t>
  </si>
  <si>
    <t>CO_PAN_PMC</t>
  </si>
  <si>
    <t>CO_PRD_PMC</t>
  </si>
  <si>
    <t>CO_PRI_PVEM_PNA</t>
  </si>
  <si>
    <t>CO_PRI_PVEM</t>
  </si>
  <si>
    <t>CO_PRI_PNA</t>
  </si>
  <si>
    <t>CO_PVEM_PNA</t>
  </si>
  <si>
    <t>CO_PT_MORENA_PES</t>
  </si>
  <si>
    <t>CO_PT_MORENA</t>
  </si>
  <si>
    <t>CO_PT_PES</t>
  </si>
  <si>
    <t>CO_MORENA_PES</t>
  </si>
  <si>
    <t>CC_PAN_PRD_PMC</t>
  </si>
  <si>
    <t>CC_PAN_PRD</t>
  </si>
  <si>
    <t>CC_PAN_PMC</t>
  </si>
  <si>
    <t>CC_PRD_PMC</t>
  </si>
  <si>
    <t>CC_PRI_PVEM_PNA</t>
  </si>
  <si>
    <t>CC_PRI_PVEM</t>
  </si>
  <si>
    <t>CC_PRI_PNA</t>
  </si>
  <si>
    <t>CC_PVEM_PNA</t>
  </si>
  <si>
    <t>CC_PRD_PMC_PUP</t>
  </si>
  <si>
    <t>CC_PRD_PUP</t>
  </si>
  <si>
    <t>CC_PMC_PUP</t>
  </si>
  <si>
    <t>CI_1</t>
  </si>
  <si>
    <t>CI_2</t>
  </si>
  <si>
    <t>CI_3</t>
  </si>
  <si>
    <t>NOREG</t>
  </si>
  <si>
    <t>NULOS</t>
  </si>
  <si>
    <t>TOTAL_VOTOS_ASENTADO</t>
  </si>
  <si>
    <t>TOTAL_VOTOS_CALCULADO</t>
  </si>
  <si>
    <t>LISTA_NOMINAL</t>
  </si>
  <si>
    <t>REPRESENTANTES_PP_CI</t>
  </si>
  <si>
    <t>OBSERVACIONES</t>
  </si>
  <si>
    <t>CONTABILIZADA</t>
  </si>
  <si>
    <t>MECANISMOS_TRASLADO</t>
  </si>
  <si>
    <t>SHA</t>
  </si>
  <si>
    <t>FECHA_HORA_ACOPIO</t>
  </si>
  <si>
    <t>FECHA_HORA_CAPTURA</t>
  </si>
  <si>
    <t>FECHA_HORA_VERIFICACION</t>
  </si>
  <si>
    <t>ORIGEN</t>
  </si>
  <si>
    <t>DIGITALIZACION</t>
  </si>
  <si>
    <t>TIPO_DOCUMENTO</t>
  </si>
  <si>
    <t>200002B01005</t>
  </si>
  <si>
    <t>OAXACA</t>
  </si>
  <si>
    <t>ACATLAN DE PEREZ FIGUEROA</t>
  </si>
  <si>
    <t>B</t>
  </si>
  <si>
    <t>76f4a5bcdffab4299e32f17932f06e24e8f384b40d6d307460fc4a49fbd0aca7</t>
  </si>
  <si>
    <t>CATD</t>
  </si>
  <si>
    <t>ESCANER</t>
  </si>
  <si>
    <t>ACTA PREP</t>
  </si>
  <si>
    <t>200003B01005</t>
  </si>
  <si>
    <t>73f6e34ce6f67e1aa73500fe1b4316d74630ada366428cc4a51463a2c1967681</t>
  </si>
  <si>
    <t>200003C01005</t>
  </si>
  <si>
    <t>C</t>
  </si>
  <si>
    <t>eca1c04a037edd0c21cd4626498f18c073b8526805420f406b18bc4f4d08640e</t>
  </si>
  <si>
    <t>200003C02005</t>
  </si>
  <si>
    <t>d9dd69589e6b796cc62c76ddcb033eacfb6b9da44c619391df5b0b90c5404113</t>
  </si>
  <si>
    <t>200004B01005</t>
  </si>
  <si>
    <t>65792a36b37129e29ed6fb44d1c6dc48c7b8ec2d9b114562faea9c6c8d3a1ffa</t>
  </si>
  <si>
    <t>200004C01005</t>
  </si>
  <si>
    <t>sin dato</t>
  </si>
  <si>
    <t>ALGUN CAMPO ILEGIBLE O SIN DATO</t>
  </si>
  <si>
    <t>5f58c5464049d7827589de9854fb88591f1ce92e326bf6973eccc356789138ee</t>
  </si>
  <si>
    <t>200004C02005</t>
  </si>
  <si>
    <t>21f66dcc5c7c5aa162d92349020ffe098c6055acfcca72c8ea14787ea68dd09e</t>
  </si>
  <si>
    <t>200005B01005</t>
  </si>
  <si>
    <t>29a8725a853114716ae73a952f092043a5b48f5eca8d82a8361c23c6e1ec1576</t>
  </si>
  <si>
    <t>200005S01006</t>
  </si>
  <si>
    <t>S</t>
  </si>
  <si>
    <t>81552dc2ba8c48d0d4c1c52018c846fa090c51e4208419aaa8bec650ed4ad5e9</t>
  </si>
  <si>
    <t>200006B01005</t>
  </si>
  <si>
    <t>2cdd92d44ddca0af5c65ad859f95c42d623282539d96f756ae204785ee1c0751</t>
  </si>
  <si>
    <t>200006C01005</t>
  </si>
  <si>
    <t>484842f7f7fb1b7200dde5ff32c3c6e13bee7be35d16f5730ce70f976071cc0b</t>
  </si>
  <si>
    <t>200006C02005</t>
  </si>
  <si>
    <t>4e5c12042ab99eed11505880514390970f96f06e1c1d4a4b0494e26f2747db09</t>
  </si>
  <si>
    <t>200007B01005</t>
  </si>
  <si>
    <t>SIN ACTA POR PAQUETE ENTREGADO SIN SOBRE</t>
  </si>
  <si>
    <t>5e334917efcf48ad43ca5bf1a12835c6e2721abd016f570b59ab8af0eb8c8392</t>
  </si>
  <si>
    <t>200007C01005</t>
  </si>
  <si>
    <t>e78796d580a0b5494cdd625d26e46cec3c807fed6882327cbfaa0db3c6a4a297</t>
  </si>
  <si>
    <t>200008B01005</t>
  </si>
  <si>
    <t>ilegible</t>
  </si>
  <si>
    <t>291c8b73fb2e403110098e3417249b49e3ba6d6b17eb88518d9f2aaa6494fe3b</t>
  </si>
  <si>
    <t>200009B01005</t>
  </si>
  <si>
    <t>e5c04ffb05b9bef2845b7bec1601409f4208e1c0d1d8ba052156bb2e6c8e4fc5</t>
  </si>
  <si>
    <t>200010B01005</t>
  </si>
  <si>
    <t>f38fbf6d0ad358deeef8858a12d5250e3509ebc2a0fa34767a8ac923d8622c0e</t>
  </si>
  <si>
    <t>200010C01005</t>
  </si>
  <si>
    <t>688a185a790763ed5f6319b87b97688fb638bc19bd1f46ff40618f36542805ba</t>
  </si>
  <si>
    <t>200011B01005</t>
  </si>
  <si>
    <t>5c65069286053a06a778ebd5d766ff9a209c249f8aa8d0c0d2689c3a39cb547d</t>
  </si>
  <si>
    <t>200011C01005</t>
  </si>
  <si>
    <t>87a5b06ef995c53d3e9320dd92690a0219d3dc1f66e250de2b20a8c6ce35c959</t>
  </si>
  <si>
    <t>200011C02005</t>
  </si>
  <si>
    <t>93eb8e5969c3672eb5fce487b59bba31376a213da5521d9f333efdd3fe6c1b37</t>
  </si>
  <si>
    <t>200012B01005</t>
  </si>
  <si>
    <t>9adc3e985730d63bfdfbf022704afe25e96450986303f3ade8c90bb163f0875a</t>
  </si>
  <si>
    <t>200012C01005</t>
  </si>
  <si>
    <t>7cc7ab30a79512c7bf5e22aceaf509e7806eee7453ddef8c17d248241f9a7eb4</t>
  </si>
  <si>
    <t>200012C02005</t>
  </si>
  <si>
    <t>408800c3b74253a84817bf6a257271856906d4a8c9c059e7a5a8da878b51db6a</t>
  </si>
  <si>
    <t>200013B01005</t>
  </si>
  <si>
    <t>2ac8aadc2fa18414e094fcb46a57ff8183ade2d66feda6d60759742568c07e54</t>
  </si>
  <si>
    <t>200014B01005</t>
  </si>
  <si>
    <t>39f591fafd37fa359d44b573e083f2df237d44805ae998b84d8850efbe80b190</t>
  </si>
  <si>
    <t>200014C01005</t>
  </si>
  <si>
    <t>dc548744c6935603e457052b9f65c91832c96bb5a577bafdc80102d02bab9b41</t>
  </si>
  <si>
    <t>200015B01005</t>
  </si>
  <si>
    <t>24b2995dfb1914be467b3a2c130be8cdd4eebf76b2cb6bc7cce7843e77205af9</t>
  </si>
  <si>
    <t>200015E01005</t>
  </si>
  <si>
    <t>E</t>
  </si>
  <si>
    <t>94bab8a20015bb5e196ea4a6fda642be94cbbbfdd15792b13defc3e2170275c5</t>
  </si>
  <si>
    <t>200016B01005</t>
  </si>
  <si>
    <t>24dc62f791577653147810b2be4fa4818530fd75f5448d8bb74d2037893313ca</t>
  </si>
  <si>
    <t>200017B01005</t>
  </si>
  <si>
    <t>548eddfb7a1cad4f21c4db6771ddd022d1e34db43874941de6abcc0538b75aba</t>
  </si>
  <si>
    <t>200017C01005</t>
  </si>
  <si>
    <t>b02259b2283ff4219bbdc7f567757defbc525915bca79ccbde8e9698599ba75b</t>
  </si>
  <si>
    <t>200018B01005</t>
  </si>
  <si>
    <t>e4a56eaa6191f1836e3f6c8242a72a3c3534f9a72dbb7b54d9b5b5368e018bd6</t>
  </si>
  <si>
    <t>200019B01005</t>
  </si>
  <si>
    <t>e0dcee64054a8b61e57ac2d67b24f545af6d4b389fb6ec3c4e395958cb1fe48a</t>
  </si>
  <si>
    <t>200020B01005</t>
  </si>
  <si>
    <t>094cacccadb6acb5b82bca64aa7134f9b94f2d1a29f8e127497ef58cbe860c95</t>
  </si>
  <si>
    <t>200021B01005</t>
  </si>
  <si>
    <t>1de13a443ddad222a534e82d5f6b571f7b3252281a25b54721f8b58435118f33</t>
  </si>
  <si>
    <t>200021E01005</t>
  </si>
  <si>
    <t>4ce60656cd03257ad75f782610066a7f7a724c579dd95d4c477ac65209ef2faf</t>
  </si>
  <si>
    <t>200022B01005</t>
  </si>
  <si>
    <t>deee4da57dacfae99a6e12986384a9cc83c04331752d8710d519e4bdaac7ae7b</t>
  </si>
  <si>
    <t>200023B01005</t>
  </si>
  <si>
    <t>a718bc389cbaa9d5269477f2918b51392c7bca9c8dfa5ab6f64833fd1c5f9f30</t>
  </si>
  <si>
    <t>200024B01005</t>
  </si>
  <si>
    <t>e8cbe3e2e65f35328d0a0083b9cf90c40059d8023b68317de8caf4be865c089f</t>
  </si>
  <si>
    <t>200024C01005</t>
  </si>
  <si>
    <t>b19a995a4d07c5ed8026d4980ba48abeb5df6c9ffa0a00765586a1dcb5338a06</t>
  </si>
  <si>
    <t>200024E01005</t>
  </si>
  <si>
    <t>bd4710ff0a4a9361a3f700966a8d0ff4245cca9fdba4f48ee2689530076e6580</t>
  </si>
  <si>
    <t>200025B01005</t>
  </si>
  <si>
    <t>1f85d63b9c0ced8c7eec41027c06e129b2a1c1650a6d1267094d71add40bebae</t>
  </si>
  <si>
    <t>200025C01005</t>
  </si>
  <si>
    <t>8440e3488c648bf67162fe47265f98116a4b7b7f90c0ac6ee61d56485b6b897d</t>
  </si>
  <si>
    <t>200026B01005</t>
  </si>
  <si>
    <t>e1eda440d5d47661ea7662fd129782faeab3d61023a66d606d185b95c35eecaf</t>
  </si>
  <si>
    <t>200026C01005</t>
  </si>
  <si>
    <t>690d7bd955199f329eed6f53f155454a2c76711011648be2db7447053d328e35</t>
  </si>
  <si>
    <t>200027B01005</t>
  </si>
  <si>
    <t>662739641d450a7290cd204409d7cd4b41caff9f4cc7aa64f2bf4cfa13815e41</t>
  </si>
  <si>
    <t>200028B01005</t>
  </si>
  <si>
    <t>0c10388b168420f0d6b992a5a73fb4836c3aa2351e2e79157d8622b2d827ac74</t>
  </si>
  <si>
    <t>200028C01005</t>
  </si>
  <si>
    <t>deec2ef79790ce24e6b54f42ca837dc160607c70e749f4e438dccd19233d73a6</t>
  </si>
  <si>
    <t>200029B01005</t>
  </si>
  <si>
    <t>319ebc358c201e52bf8025d7345bb0c22d147b082d4111ec261184ffa11e3841</t>
  </si>
  <si>
    <t>200029C01005</t>
  </si>
  <si>
    <t>0077407afbadcf2bd2d152aaa754e96169dd1220e5af9f58d1b6cdf87561aa4a</t>
  </si>
  <si>
    <t>200029E01005</t>
  </si>
  <si>
    <t>68fbfc35908bb1dd72cc1f2cec5bdc89608ab55f3d24cb01f6620f59eb3eedbf</t>
  </si>
  <si>
    <t>200030B01005</t>
  </si>
  <si>
    <t>7107475d1d5bfad5cf807b10ec0f1fc12bb9d9db8e79bb37111ead2d7602b5c8</t>
  </si>
  <si>
    <t>200030C01005</t>
  </si>
  <si>
    <t>0df2db1f9fd60a38d8b3114938b24f6f80a35aea46d7021c259cb19737360aea</t>
  </si>
  <si>
    <t>200031B01005</t>
  </si>
  <si>
    <t>f5ab8a2c8c04764eb20cf8ebc902c9acb43d30c9c165a0e58f8240cbd937e151</t>
  </si>
  <si>
    <t>200031C01005</t>
  </si>
  <si>
    <t>0974f28378110b8dea9f440f01f27b890fdfbf0682632b9cc3617b3463cb666f</t>
  </si>
  <si>
    <t>200031C02005</t>
  </si>
  <si>
    <t>b8553f4cc659e01e57f29a11af501edc8c4b439a8ab8022dd0c0e42e2c5cc4a7</t>
  </si>
  <si>
    <t>200032B01005</t>
  </si>
  <si>
    <t>d9da019cac09a383244c153d490e96b83532eb59207a7a3678a3a50ae93bd2fe</t>
  </si>
  <si>
    <t>200033B01005</t>
  </si>
  <si>
    <t>b35d1b8f837e7cfb2f659ae0af6095191e7f1f3776b9e9364686ea4428ed62a0</t>
  </si>
  <si>
    <t>200033C01005</t>
  </si>
  <si>
    <t>c0813361cd203558aac8ba868b0798515ae0a67d5636514f3422bf2178026e8c</t>
  </si>
  <si>
    <t>200033E01005</t>
  </si>
  <si>
    <t>cf4b45d3e317f2ae44151cc0ba29dc474f1841b5bb2201784fede89d235a2e4d</t>
  </si>
  <si>
    <t>200034B01005</t>
  </si>
  <si>
    <t>573bde82ed49a7f4e6977cdb20a391ead153cec4e5453bcb9302f5d2e79bc129</t>
  </si>
  <si>
    <t>200034E01005</t>
  </si>
  <si>
    <t>9b81cffef0abb0c5259ea25a31668dd12ce620b88fbbbb39db8e7d3487db7b0d</t>
  </si>
  <si>
    <t>200042B01005</t>
  </si>
  <si>
    <t>ASUNCION CUYOTEPEJI</t>
  </si>
  <si>
    <t>8ec1266bd4b8797c396712bf32b0325d359c6d1184a35618b64c89eeecdd72d3</t>
  </si>
  <si>
    <t>200042C01005</t>
  </si>
  <si>
    <t>41379ec5eac0fc3b42000012216a43cf21e817e134704063ecadee047a9173b5</t>
  </si>
  <si>
    <t>200043B01005</t>
  </si>
  <si>
    <t>ASUNCION IXTALTEPEC</t>
  </si>
  <si>
    <t>4cf40cfdac6f697947b55b5bcf737e7e5b3afc7bc3525d979dad7a500ee4a0c6</t>
  </si>
  <si>
    <t>200043C01005</t>
  </si>
  <si>
    <t>fcb77773c2aaeab964c080223b6f46f663604a75e6ee14d38467e514b0da771c</t>
  </si>
  <si>
    <t>200044B01005</t>
  </si>
  <si>
    <t>6b202f68930f81c9b7d07d10412c018404d373354b0c3bae95af4af2887d7e00</t>
  </si>
  <si>
    <t>200044C01005</t>
  </si>
  <si>
    <t>3f5f1e5d82ff304717b97e459c7fdf776db017d0dd9a5bda40f9ee555307485b</t>
  </si>
  <si>
    <t>200045B01005</t>
  </si>
  <si>
    <t>40695168a747b82ef9ef2a822c86dea95f2fac51880fe92a801336da13e78269</t>
  </si>
  <si>
    <t>200045C01005</t>
  </si>
  <si>
    <t>43b01f95b93dc5ab53463fab84851bea3954e4c2454e3ed78411f6aeea1e7f5d</t>
  </si>
  <si>
    <t>200046B01005</t>
  </si>
  <si>
    <t>77e4e83dcfe8022fbfc2f93efb811fd02857e7bbed5336a0c5fb799bee9b39b8</t>
  </si>
  <si>
    <t>200046C01005</t>
  </si>
  <si>
    <t>259bf797a18c7386c1863c410a799ffb16f8f30c53ea6764bc3b6dc4417e617c</t>
  </si>
  <si>
    <t>200047B01005</t>
  </si>
  <si>
    <t>7cf6eb0d6b1b8be7941df3e255495970852eb6ec43f9d8fc7ed6bde43542109b</t>
  </si>
  <si>
    <t>200047C01005</t>
  </si>
  <si>
    <t>a92779fb7fc3957a19cb400f2cc8f001a4ce7c8023e6b2bf0ff799d8d22ebf2f</t>
  </si>
  <si>
    <t>200048B01005</t>
  </si>
  <si>
    <t>188adb450ac202e433e06c1f62f2357ec227a0a4fccc961b4f3c98f184e1609a</t>
  </si>
  <si>
    <t>CC</t>
  </si>
  <si>
    <t>200048C01005</t>
  </si>
  <si>
    <t>f451794f56e15e0fc62f83f1ddbcec2a3b48f941daf373f46f4396d158247c24</t>
  </si>
  <si>
    <t>200049B01005</t>
  </si>
  <si>
    <t>5eac5283c2d8704ff211f2c89e316d67f31e4f3346526b93c8babc838b277f26</t>
  </si>
  <si>
    <t>200049C01005</t>
  </si>
  <si>
    <t>cc2320724496801b3d3c22e50d2b975c2719902eba832361d24a7b489fbb3158</t>
  </si>
  <si>
    <t>200050B01005</t>
  </si>
  <si>
    <t>0588695da63d8417bdc9ea3b02d520e53f7f439a8936011543052520a30558d4</t>
  </si>
  <si>
    <t>200051B01005</t>
  </si>
  <si>
    <t>1d72627c22c64123500fe5ffad0954ac6bb154e954386d423869f5e5635f2eba</t>
  </si>
  <si>
    <t>200051C01005</t>
  </si>
  <si>
    <t>381c998aa33fd06ac8017c5a5e24c1ad202953b2ffc9d4f09ae2f9fc3ad365b5</t>
  </si>
  <si>
    <t>200052B01005</t>
  </si>
  <si>
    <t>6cd81ede8e62afa0d6513c2fb083aa13854baed999d74426ee65e16cefdf1d5b</t>
  </si>
  <si>
    <t>200052C01005</t>
  </si>
  <si>
    <t>60169fa02e51b57005e73fb9109ca859bc8793af5159f033514b2601a4cf18dc</t>
  </si>
  <si>
    <t>200053B01005</t>
  </si>
  <si>
    <t>6f0b08907aceb3c66a545e44663c7cfc6eccf302ce334a16a17f6136ddf02f3e</t>
  </si>
  <si>
    <t>200053E01005</t>
  </si>
  <si>
    <t>5271ea9322a6a4b77ec279b5631ba53bf93e642dbefb36458a03147e0040feb1</t>
  </si>
  <si>
    <t>200054B01005</t>
  </si>
  <si>
    <t>859725dc6971773d7e169610c3d34cb9cf6c17a63c65ebad6c0f4c635be47b16</t>
  </si>
  <si>
    <t>200054E01005</t>
  </si>
  <si>
    <t>009b7958d083cc698605e1e3f53e8ba3ba6817e3b206060d193dc039d80ac270</t>
  </si>
  <si>
    <t>200055B01005</t>
  </si>
  <si>
    <t>ed0d52a31a788a3a847544eeb2908038d85e51f9dc3f06e2b025884318a99ee2</t>
  </si>
  <si>
    <t>200056B01005</t>
  </si>
  <si>
    <t>5481ab8c31ba59665408d6c2325555cb44c008626bb7f037a251f205c7109d24</t>
  </si>
  <si>
    <t>200056C01005</t>
  </si>
  <si>
    <t>2c5da2464a573f35b3bb460b2a94f1aa5ab623b7f6a0b001a336018a5577e9c7</t>
  </si>
  <si>
    <t>200057B01005</t>
  </si>
  <si>
    <t>ASUNCION NOCHIXTLAN</t>
  </si>
  <si>
    <t>dd5a82609f7ebd0b42c6710027140483dc9415d5b72a23e36ff73d6ccb01f30a</t>
  </si>
  <si>
    <t>200057C01005</t>
  </si>
  <si>
    <t>2f3865c9154d62165f5615124386a49bd154b0a516debeaf18a8b013e8a5c95a</t>
  </si>
  <si>
    <t>200057C02005</t>
  </si>
  <si>
    <t>375b28f39b882547af5491746fb6e07782c73aa31eca0abe5b7df7ab764ca815</t>
  </si>
  <si>
    <t>200057C03005</t>
  </si>
  <si>
    <t>05d16c7100df44fe9209b2e46c7796c7e9cb5439181eaee3d3db15c04faa9c5a</t>
  </si>
  <si>
    <t>200057C04005</t>
  </si>
  <si>
    <t>22b97408945e475b11b18ba6e0c37e062f911df13f1068f79257a0cf0631ac73</t>
  </si>
  <si>
    <t>200058B01005</t>
  </si>
  <si>
    <t>e64358634189991fcc86b6df8529774d32f52b7206b29b90f02b7844fc7dbc16</t>
  </si>
  <si>
    <t>200058C01005</t>
  </si>
  <si>
    <t>adbd69848a8139e2aae171ed13689bba86f6d2ad3f8e4c3f273efa1ea0b89db2</t>
  </si>
  <si>
    <t>200058C02005</t>
  </si>
  <si>
    <t>f3ab58845b0a9a666aa5fdcb2c587e56b90f90b1617bbdcebebbe43f5d3b372e</t>
  </si>
  <si>
    <t>200058C03005</t>
  </si>
  <si>
    <t>522eb9120be1ad5dc0f35b96a1a2b5ae93c38e4331d5c478c5f11480183da3d6</t>
  </si>
  <si>
    <t>200059B01005</t>
  </si>
  <si>
    <t>e862a9e6e66655462fefc963d3e6a15df8ab2da5006d1f07b8d72c6a830182b9</t>
  </si>
  <si>
    <t>200059C01005</t>
  </si>
  <si>
    <t>0783fbcf66cd9c86f8602e55671917977640e91f18b8d345f27433801f76187b</t>
  </si>
  <si>
    <t>200059C02005</t>
  </si>
  <si>
    <t>1f8729c460f7321435e13e3fe6409aeefe79aa9ce590dddc75a33c35cc24de56</t>
  </si>
  <si>
    <t>200059S01006</t>
  </si>
  <si>
    <t>b38ff22913965c0aef8fe99e33e45e73592c8b269bb6c7930283c8aca4fb3945</t>
  </si>
  <si>
    <t>200060B01005</t>
  </si>
  <si>
    <t>7b1fc3dd2b7360fc3484b40958ac8bce8355a2ef5cd628558f359e9debd10f51</t>
  </si>
  <si>
    <t>200060C01005</t>
  </si>
  <si>
    <t>7cc4312f1f81e3cf275f3e9146edea136c4653317b3a56c3ec8f6d7af5ed795f</t>
  </si>
  <si>
    <t>200060C02005</t>
  </si>
  <si>
    <t>ae5b12c03755a0df86d6c09fb2c74e7417b7fa7b718f4e841988a3ecae3b1066</t>
  </si>
  <si>
    <t>200060C03005</t>
  </si>
  <si>
    <t>486d55a5353d89dd52ab83daa45eddbdee74ad37bfdefb229f8321155f40925b</t>
  </si>
  <si>
    <t>200061B01005</t>
  </si>
  <si>
    <t>a52e27f27c8faca18f82acb55f719bc4007fbb357a749c8e78b26ec5c27993c1</t>
  </si>
  <si>
    <t>200061E01005</t>
  </si>
  <si>
    <t>73daa4e8d5b4d72d52af6e4f21a5a16b1c68ded67398667bafce9158b34b9655</t>
  </si>
  <si>
    <t>200061E02005</t>
  </si>
  <si>
    <t>b5cc6b56022beaa8b741cedf7648fbf47ce6233fdb2c39f93a2bcb79698f8af0</t>
  </si>
  <si>
    <t>200062B01005</t>
  </si>
  <si>
    <t>8262661820c5edbb5193d2fc4c7139975df476db6acc371ec4d6d924121a737b</t>
  </si>
  <si>
    <t>200062E01005</t>
  </si>
  <si>
    <t>6fda735b467fdefd748f3c6fa98179163de2cc80644fbc36d20ceb9c4d0cc041</t>
  </si>
  <si>
    <t>200063B01005</t>
  </si>
  <si>
    <t>e1c1eea5931131408fa283bad55c22b06d02cdca7155fdc9892c0541c4c2fdb7</t>
  </si>
  <si>
    <t>200064B01005</t>
  </si>
  <si>
    <t>679601afe401a2bc4264ad3b2efd7c264d21943c5eb4bd4e3486d73ad1418809</t>
  </si>
  <si>
    <t>200065B01005</t>
  </si>
  <si>
    <t>ASUNCION OCOTLAN</t>
  </si>
  <si>
    <t>e346a69222437988df068e2e76c619fe489cc7195591c00bcdf87db2a59525c8</t>
  </si>
  <si>
    <t>200065C01005</t>
  </si>
  <si>
    <t>51d9c4e0e8b8c3d524e32c413689ab40c4b08e8e66536d3add70dd799342ed65</t>
  </si>
  <si>
    <t>CASILLA</t>
  </si>
  <si>
    <t>MOVIL</t>
  </si>
  <si>
    <t>200066B01005</t>
  </si>
  <si>
    <t>996a8ef1ec2c44720c5077bde66f52e05404985ab81e327afefa5c6acf8380f0</t>
  </si>
  <si>
    <t>200066C01005</t>
  </si>
  <si>
    <t>2833386791794a2a64ccb892d07853589833689ed53c9be6bcd6a8634ca1df9f</t>
  </si>
  <si>
    <t>200067B01005</t>
  </si>
  <si>
    <t>6b403893c3a10784a35349a4f1a336a8042dc236b3dc339f61cc7b5cee595133</t>
  </si>
  <si>
    <t>200074B01005</t>
  </si>
  <si>
    <t>AYOTZINTEPEC</t>
  </si>
  <si>
    <t>2b176556533030e11ce1481052111571266cc0c85c28fff0adf7e0d4a02d2bd2</t>
  </si>
  <si>
    <t>200074C01005</t>
  </si>
  <si>
    <t>7867af7cacb582db73bd51aaa124ed8fa470c07adfa620e171ae175b16748cdc</t>
  </si>
  <si>
    <t>200074C02005</t>
  </si>
  <si>
    <t>a5fdac3ea815f02189e1d74fcb7529b3ad72ca3e8c37b4e8959fb455c381fb45</t>
  </si>
  <si>
    <t>200075B01005</t>
  </si>
  <si>
    <t>c3f68d9f86fe46d685e660014287dd780a67c5de44c293c156783ac06abdd279</t>
  </si>
  <si>
    <t>200075C01005</t>
  </si>
  <si>
    <t>9fcab275c84d8f3413f3e05ba80e9f2a7123d09c8c273cef37916da1ec6a33eb</t>
  </si>
  <si>
    <t>200075E01005</t>
  </si>
  <si>
    <t>71df98ae4728ca05623743e49adb0b9c6681a3e0801f6b7ea741111bdb4846ef</t>
  </si>
  <si>
    <t>200075E02005</t>
  </si>
  <si>
    <t>3ae41a9caf3ae12890d1a9cd6ae780a35633a07d758988017b01f2ffc11555c7</t>
  </si>
  <si>
    <t>200075E03005</t>
  </si>
  <si>
    <t>0b215500b33d1ec8ff9346d57e5cb7c9d0d715f95de0d7d9a3e914ab3477dcc6</t>
  </si>
  <si>
    <t>200076B01005</t>
  </si>
  <si>
    <t>SIN ACTA POR PAQUETE NO ENTREGADO</t>
  </si>
  <si>
    <t>8f82b98c0dc606d6cc2d3f492e1071d5b9719f1a858d521249286018537f1c5b</t>
  </si>
  <si>
    <t>200076C01005</t>
  </si>
  <si>
    <t>6d59445f90c1a31f619c3d6836c32e2fe0178b4bcf555c7802a16e7736a791c2</t>
  </si>
  <si>
    <t>200077B01005</t>
  </si>
  <si>
    <t>EL BARRIO DE LA SOLEDAD</t>
  </si>
  <si>
    <t>69d6e1963a7773a2e5ab7588f7545509cf8236f59b6dbaaeebe89d5c5ec2ec51</t>
  </si>
  <si>
    <t>200077C01005</t>
  </si>
  <si>
    <t>65cb1e7e8334911ce704fe729d6deff55bce7bfa3438978a06a4790b9319a878</t>
  </si>
  <si>
    <t>200077C02005</t>
  </si>
  <si>
    <t>7b687e87caa8c28fcab8bb32cfcd7df1f1ec8c9f9fe52e69caf9ff77dd9d2f4d</t>
  </si>
  <si>
    <t>200078B01005</t>
  </si>
  <si>
    <t>42bd615f11bce9e99aaf88aecac9e3ff600673d93a23c2f971343b871a64403c</t>
  </si>
  <si>
    <t>200078C01005</t>
  </si>
  <si>
    <t>371540cdf2a43898684ff273e11f8133d9e9caaf3ca7e267a4bab26b798d16ea</t>
  </si>
  <si>
    <t>200079B01005</t>
  </si>
  <si>
    <t>595b4c5b62d2b5654aa41736922d9b7b27f56b6e161f11fe647a2221487178c5</t>
  </si>
  <si>
    <t>200079C01005</t>
  </si>
  <si>
    <t>0988ac1afd1158f2beebee54b40b5589cf129785aac9b83202d6b55129ea40ff</t>
  </si>
  <si>
    <t>200079C02005</t>
  </si>
  <si>
    <t>cfc2b30c069ddd8ea1dbba7824fddc85fc65e460e2add91830f44a38400cab3b</t>
  </si>
  <si>
    <t>200080B01005</t>
  </si>
  <si>
    <t>99b8259a1fb236a31b39a6af1a68cdb3bcd7a2b2b9628f110ea86faf923cb057</t>
  </si>
  <si>
    <t>200080C01005</t>
  </si>
  <si>
    <t>499e43d03f101bb410d4f7e50f3976ffdb3d9119990348a027783d8304095ee6</t>
  </si>
  <si>
    <t>200081B01005</t>
  </si>
  <si>
    <t>6a9b39c75b70b39bd5d503a6c338ee5c9a83a3d0952c66b7ca0da8cef241c3ea</t>
  </si>
  <si>
    <t>200082B01005</t>
  </si>
  <si>
    <t>6254a92e2b0022a6c49a87f52e3901bc098de905680a76c7d0634983a130f5d6</t>
  </si>
  <si>
    <t>200082C01005</t>
  </si>
  <si>
    <t>2899afd78d9e6d7060f919fb4887b4d790aa4ff0d5b23c4e8bea782d7cb8a558</t>
  </si>
  <si>
    <t>200083B01005</t>
  </si>
  <si>
    <t>49370208cab4cb7c1134ca6ba28a03743087f7b8a46f08cdc958957a321e5676</t>
  </si>
  <si>
    <t>200083E01005</t>
  </si>
  <si>
    <t>6a046f6a36bd22f6e1c819a3949c32b12e5fac7ed1a882108f33b51854fb31c4</t>
  </si>
  <si>
    <t>200084B01005</t>
  </si>
  <si>
    <t>0010e488aabb49318a60c2eff14682aa922d44763f4276cf3acc6f980ecb324f</t>
  </si>
  <si>
    <t>200084E01005</t>
  </si>
  <si>
    <t>af8b6334aaac6b3ab4b431a7e000308c6e70460a9049987546e27a2c4b7fcf50</t>
  </si>
  <si>
    <t>200084E01015</t>
  </si>
  <si>
    <t>276051f3719d16fd82e061c8e7412995e7e98e21b89470bffd1f2f98ee6402df</t>
  </si>
  <si>
    <t>200085B01005</t>
  </si>
  <si>
    <t>EXCEDE LISTA NOMINAL</t>
  </si>
  <si>
    <t>76e9c71bcd2d5bfb1d4795f711955c81de951ccafe3b644203f769811f4d9f61</t>
  </si>
  <si>
    <t>200086B01005</t>
  </si>
  <si>
    <t>8aa048082f80ac032feeadeabe7c6c32445578988cdc165e4c73a2ba382b2d8b</t>
  </si>
  <si>
    <t>200086C01005</t>
  </si>
  <si>
    <t>18bad236860fc0849ea4688649ddb5770d1950089232e50f4517faa73d342a4f</t>
  </si>
  <si>
    <t>200097B01005</t>
  </si>
  <si>
    <t>CHAHUITES</t>
  </si>
  <si>
    <t>b3316f49ce3f15d17196d9e4de631b50953de214851ad9695b8f3c4d1c848741</t>
  </si>
  <si>
    <t>200097C01005</t>
  </si>
  <si>
    <t>4b2e0022117b6bc5b5fbd723473420e7aaee091dfb794b8022b03168e9bee2cb</t>
  </si>
  <si>
    <t>200098B01005</t>
  </si>
  <si>
    <t>5d11eb318e85f8bc4115a18cab6108af7e39e70f764466175c33b6de68fa50b9</t>
  </si>
  <si>
    <t>200098C01005</t>
  </si>
  <si>
    <t>99b4faa911c25c5afde4d235582ede98667c5a2402a4760c5fc5a94a6c3c64b4</t>
  </si>
  <si>
    <t>200099B01005</t>
  </si>
  <si>
    <t>493f9b27ff56ed0bb451fe9a418a4166a7c52253459e5615e1a53ee934f3952e</t>
  </si>
  <si>
    <t>200099C01005</t>
  </si>
  <si>
    <t>343cf083cc7e7245f6dac99882d5deecbab7cdd44dded17d0e99ff21b2faea29</t>
  </si>
  <si>
    <t>200100B01005</t>
  </si>
  <si>
    <t>f3226c70b5c790b106607636cbc6c65fd197d30123ca5b7d42ceecaa067a1ec9</t>
  </si>
  <si>
    <t>200100C01005</t>
  </si>
  <si>
    <t>d71396ecdd9f91ec564d19087526127c44eef9af3167a91d39c3f90042aca655</t>
  </si>
  <si>
    <t>200101B01005</t>
  </si>
  <si>
    <t>21d85939281656c69985b020227650aaf054d0f4f44bb9159cce4e36581931c5</t>
  </si>
  <si>
    <t>200101C01005</t>
  </si>
  <si>
    <t>4c77f2a2cb96ca4b44c761d96bc180a6b9bfc1973ea8aeceefdcb0ee4e8efff5</t>
  </si>
  <si>
    <t>200102B01005</t>
  </si>
  <si>
    <t>f6ce3d7193e49e0c7be0394564d1e4df2ce88320395a558b53be11949bd6d417</t>
  </si>
  <si>
    <t>200102C01005</t>
  </si>
  <si>
    <t>349763aa5f1e661d7ef7562e3d2161b93d68088b618dd3741b580a20dcbe623b</t>
  </si>
  <si>
    <t>200103B01005</t>
  </si>
  <si>
    <t>c1d63427e4ec8d8dc0a935704cfebba8a2b5ece6344a71cf34ad11027abdad0f</t>
  </si>
  <si>
    <t>200103C01005</t>
  </si>
  <si>
    <t>b41d4b41a49e092005e4610e56163e37afc81891131c0de5f8ec58b3344446fd</t>
  </si>
  <si>
    <t>200104B01005</t>
  </si>
  <si>
    <t>CHALCATONGO DE HIDALGO</t>
  </si>
  <si>
    <t>2b3e9eac94804d587198b357e868fa6337b54ece64a328dfe4c24367e24b6563</t>
  </si>
  <si>
    <t>200104C01005</t>
  </si>
  <si>
    <t>29505a925e7a5e384368052e05d697a8a8e18a81b0fc299e2da96216c7a33b4c</t>
  </si>
  <si>
    <t>200105B01005</t>
  </si>
  <si>
    <t>b46a1d197c8782c265a0b63f4fbc2cc4f5fce7ab156b772e9b6a8db37cbb1364</t>
  </si>
  <si>
    <t>200105C01005</t>
  </si>
  <si>
    <t>34c030fe1e06e96a486b5081db9dcd03c1c806c64aeaf36edfc353cb5491ad39</t>
  </si>
  <si>
    <t>200106B01005</t>
  </si>
  <si>
    <t>0e7a06efcbf65597c3c032aaf7a7b646e1d8d62aa387e97b1bbfeb757e8a1c58</t>
  </si>
  <si>
    <t>200106C01005</t>
  </si>
  <si>
    <t>883dadcedae8f8d9f30420437f7ff1e4fdcfdcf8bc15271ffa9f9e18fa0537ce</t>
  </si>
  <si>
    <t>200106S01006</t>
  </si>
  <si>
    <t>c634e1236aacb2d102414db356b7a8aef011ebdd544dc30ab3c05d3dd020e73b</t>
  </si>
  <si>
    <t>200107B01005</t>
  </si>
  <si>
    <t>1326c6f67069821bf4d7cb415bc992f52f6ce219eca6317ca60ee9ca401b4800</t>
  </si>
  <si>
    <t>200107E01005</t>
  </si>
  <si>
    <t>13061c8b4fe861d3799ea65fb168646120ac9e0e34e3b1cb298071bcd26a155f</t>
  </si>
  <si>
    <t>200108B01005</t>
  </si>
  <si>
    <t>6b3e2421ebc02c3d74b072fc8b6d5af61cf5b209ac3ed6c6c488e8614e5cfd9a</t>
  </si>
  <si>
    <t>200109B01005</t>
  </si>
  <si>
    <t>54f027a10f043202a0c88b8f51d52378ad10eb93dacb28a004bc640ee6712717</t>
  </si>
  <si>
    <t>200109E01005</t>
  </si>
  <si>
    <t>7c5bd0737932715f6a7aed7f3a01a3fcc5a99e5442e582746212f0a69722e71a</t>
  </si>
  <si>
    <t>200110B01005</t>
  </si>
  <si>
    <t>5fe2614ff4623d00ef1a8717d8fa1bd33ca7d4ba72819c10262ef2df29ea27b8</t>
  </si>
  <si>
    <t>200110E01005</t>
  </si>
  <si>
    <t>6eb1e45191978c82b56fd5428d95a7091c832d37bd7e9c23fa5cf85c7db19ffc</t>
  </si>
  <si>
    <t>200111B01005</t>
  </si>
  <si>
    <t>CIENEGA DE ZIMATLAN</t>
  </si>
  <si>
    <t>bbd32fc91f03b7a92e420c7862a7dd4846ef169f18ba797f3aee5b35c28dfd88</t>
  </si>
  <si>
    <t>200111C01005</t>
  </si>
  <si>
    <t>acfa61b472e791b4e3ffb9ea70219701ad11323c481f8dcf41cfe15e516e7749</t>
  </si>
  <si>
    <t>200112B01005</t>
  </si>
  <si>
    <t>3c0ea9cb8ef7a4e65937a709cf0d2c86448355e8bf49c491111f75f6abe04ae6</t>
  </si>
  <si>
    <t>200112C01005</t>
  </si>
  <si>
    <t>bed340773c9ce8b71729bc65524f9935119e363da0d5da46f3e5339874bd7162</t>
  </si>
  <si>
    <t>200134B01005</t>
  </si>
  <si>
    <t>COSOLAPA</t>
  </si>
  <si>
    <t>1100160e5e0e6211a0af2f7b25b689383c5f67911467e2237fd979a9f0cc5e55</t>
  </si>
  <si>
    <t>200134C01005</t>
  </si>
  <si>
    <t>0597d595cfb8f350bab5ac1054108cdcffafbd2f64ee8ddb205f1c0755a808e1</t>
  </si>
  <si>
    <t>200135B01005</t>
  </si>
  <si>
    <t>aea92d9f04537cf3a6432b7bdbe2981c5360be5b343200763ea4c5ecfde19ccd</t>
  </si>
  <si>
    <t>200135C01005</t>
  </si>
  <si>
    <t>5aa8d09cabe824b9e4e9bbb80f833bfe5c4cb74bbd776a7610f268d9d6f6c211</t>
  </si>
  <si>
    <t>200135C02005</t>
  </si>
  <si>
    <t>6aef1b5b178b55d7e7b0dd15318c231849c7246de236eb73405372f8b3a1df93</t>
  </si>
  <si>
    <t>200136B01005</t>
  </si>
  <si>
    <t>fa6e2d3dcee64033c542bc49c9c67ee4eab35a5d412b62d01d80429121b71239</t>
  </si>
  <si>
    <t>200136C01005</t>
  </si>
  <si>
    <t>4ea211d2623233b8a505be87b2e1c2e9777a78f96d6b4ad25b2c07095ebd38d9</t>
  </si>
  <si>
    <t>200136C02005</t>
  </si>
  <si>
    <t>f2c52bd54ca748a66cacf44eb554197b9a5be7a63526c7b0c242fb0dc3e81fd5</t>
  </si>
  <si>
    <t>200137B01005</t>
  </si>
  <si>
    <t>ef1984dba291ab9982869952fa8714f34c12b3e44079d8b6db5f22e6b4c667b8</t>
  </si>
  <si>
    <t>200138B01005</t>
  </si>
  <si>
    <t>299403cf4da294dafd21856180a3ee3b9ab04013024be5914541d7942e1402da</t>
  </si>
  <si>
    <t>200139B01005</t>
  </si>
  <si>
    <t>d89023a56367d4cf9042e127d61996359ba8a0d474dc41335dc560ea9a9275ae</t>
  </si>
  <si>
    <t>200139C01005</t>
  </si>
  <si>
    <t>cb102c45093f42060cbacee955faefe575243bc8a8bbedbdb0cbeb5f13818622</t>
  </si>
  <si>
    <t>200140B01005</t>
  </si>
  <si>
    <t>7871e801f5cd4393894403db130aaefc3055213443cf60f2d58cfdedcfe08366</t>
  </si>
  <si>
    <t>200141B01005</t>
  </si>
  <si>
    <t>ac0ff6fd3dd4b13b2682f12b3cb65360ee73b3e3df97dfbf79d71394085297f5</t>
  </si>
  <si>
    <t>200142B01005</t>
  </si>
  <si>
    <t>3d0e0a692f3129f8fe1df3a6e351218ce46e0fdd4127b5413d6f517e714bfd73</t>
  </si>
  <si>
    <t>200143B01005</t>
  </si>
  <si>
    <t>3705b9e371dfb75dd49101a6770b0cfeb11c27d0ac6ce8fcc42f5b7774f26842</t>
  </si>
  <si>
    <t>200143C01005</t>
  </si>
  <si>
    <t>d9e15133197d8987418de267a36103ee485bc42810b4ac0e766b4aff201c01cb</t>
  </si>
  <si>
    <t>200147B01005</t>
  </si>
  <si>
    <t>CUILAPAM DE GUERRERO</t>
  </si>
  <si>
    <t>b97a5dd51caa4fb8953399281926506cff8e9f8ed33c71510e6fa22cb09b6888</t>
  </si>
  <si>
    <t>200147C01005</t>
  </si>
  <si>
    <t>ae2f912d79f9d94b726299d96775393d154ea3bb591bb3d680306457cbcdeb37</t>
  </si>
  <si>
    <t>200147C02005</t>
  </si>
  <si>
    <t>1ac4efcc752221a961f9adead99586b9f78ecc733b8e5357d0e6d5f8273b0f1d</t>
  </si>
  <si>
    <t>200147E01005</t>
  </si>
  <si>
    <t>1e182096a44cf5e3091a34b9cf647054739c6170424b6c1eb399cf7176b0ceef</t>
  </si>
  <si>
    <t>200148B01005</t>
  </si>
  <si>
    <t>daa2356726d9e4a750cd8c7244390d6f6c3e1d625ecb3d8eea9ed123e3cee7e2</t>
  </si>
  <si>
    <t>200148C01005</t>
  </si>
  <si>
    <t>78e3109fb0023b0771ff6cc685c4f8ee31c25b656cfbc40fe4cf0228354eb784</t>
  </si>
  <si>
    <t>200148C02005</t>
  </si>
  <si>
    <t>c9bdd6c762e012c1fa91b9ce71026f79afe71db172a1c929206b2e029a05cdd7</t>
  </si>
  <si>
    <t>200148C03005</t>
  </si>
  <si>
    <t>f7bd67a58f3cfc7cdd244069dedc0573ef8df1e0fb5ef022e38a4028daa4a0eb</t>
  </si>
  <si>
    <t>200148E01005</t>
  </si>
  <si>
    <t>fc91181208d0a39454050bb948a380b040d4a4854c96ee910b3d05e0a70428d5</t>
  </si>
  <si>
    <t>200148E01015</t>
  </si>
  <si>
    <t>3b75ee917903d509a1118518ae1caccb73112d58ea444a546fea02c403657d8f</t>
  </si>
  <si>
    <t>200148E02005</t>
  </si>
  <si>
    <t>ec20b021cdee7759813c91019cb47c9b258c7a6a7bd1ca6fe8b6670125acd6f7</t>
  </si>
  <si>
    <t>200149B01005</t>
  </si>
  <si>
    <t>0b908365041fbc3ed88d634ea44211997ed53849af4afafeab14f0bbe1c4df31</t>
  </si>
  <si>
    <t>200149C01005</t>
  </si>
  <si>
    <t>d9b35fa73ebb3d6e9937d58f4b99fea4096c5e81759fa2c013220953f8935fa0</t>
  </si>
  <si>
    <t>200149C02005</t>
  </si>
  <si>
    <t>d510889abc0559bab723a443f108237168a1ae225b222f414cdf8c512195ed43</t>
  </si>
  <si>
    <t>200149C03005</t>
  </si>
  <si>
    <t>ec892d5174a76861f81952085db165aa41742b95ad205091a8f10fbd759885ae</t>
  </si>
  <si>
    <t>200150B01005</t>
  </si>
  <si>
    <t>83070041d528caeb80f415ab82ec72b9e04e44106d04e50875bc34f7f57eee8f</t>
  </si>
  <si>
    <t>200150C01005</t>
  </si>
  <si>
    <t>2a8ddac06023d1d10c4bfd3b5dfe2265c9b6cd8432234d1a1efd8aaa002ecd7e</t>
  </si>
  <si>
    <t>200150C02005</t>
  </si>
  <si>
    <t>da81307764f8b374a2250db9064ebf74b6a0c38495c1326dcac94c90efc6f5e7</t>
  </si>
  <si>
    <t>200151B01005</t>
  </si>
  <si>
    <t>ed0703769e5b0744cf32e6d1ae889e52f58b66caa076e63a95d6a51f70ec46ba</t>
  </si>
  <si>
    <t>200151C01005</t>
  </si>
  <si>
    <t>97301a83a24018f9f6e472939a9415475df2880240ed07ce2c89b7cb28992f54</t>
  </si>
  <si>
    <t>200151C02005</t>
  </si>
  <si>
    <t>cbe62b34c64714957b0bb6c39fca1c68e47313f7d9c58aa1b8bea9c6ac02b6b5</t>
  </si>
  <si>
    <t>200151C03005</t>
  </si>
  <si>
    <t>15ce0e94417cb5ef3de8432cc322ca3f606f41f8457ffdfaf38b5dc6e6bfb972</t>
  </si>
  <si>
    <t>200152B01005</t>
  </si>
  <si>
    <t>595a9a1ddc335085f04990c253f2b43309a1dc5c5a48c8b3fca8ff96cd6f293b</t>
  </si>
  <si>
    <t>200152C01005</t>
  </si>
  <si>
    <t>5adaa11ec906d7d58acd275d88d6c8e8843f06770cbe9ba028d009ceb2533168</t>
  </si>
  <si>
    <t>200152C02005</t>
  </si>
  <si>
    <t>123f6badc3cc56d94ed11d8a2cdf967eca27c8a7b1818c264f229de0a720c396</t>
  </si>
  <si>
    <t>202455B01005</t>
  </si>
  <si>
    <t>4c66b6e989d2afd944d99ac282c2be3fee84c1e4d2a728128cf08af718f4b066</t>
  </si>
  <si>
    <t>200157B01005</t>
  </si>
  <si>
    <t>HEROICA CIUDAD DE EJUTLA DE CRESPO</t>
  </si>
  <si>
    <t>6734f77a6d3044cf107120f81a70f4c06eb2a8fb1c9ebf84ce5f5b47a8021338</t>
  </si>
  <si>
    <t>200157C01005</t>
  </si>
  <si>
    <t>e046bed1f9ffab925b892eb8b3f12e5556458cd38f583e4babcc562742d6e0fb</t>
  </si>
  <si>
    <t>200157C02005</t>
  </si>
  <si>
    <t>3c03378dd577bc26a3605a38250b6d82cc5ca55fe33028968783b3367a7483e8</t>
  </si>
  <si>
    <t>200157C03005</t>
  </si>
  <si>
    <t>f25532583ab9d56238e4a933106f8a789e33b698566516f502a1531d03ee8f0d</t>
  </si>
  <si>
    <t>200158B01005</t>
  </si>
  <si>
    <t>7d44940a4885cbc64d16bf1d4cfe1672fdeb82383c49a1e2c1cfb27d2fd04741</t>
  </si>
  <si>
    <t>200158C01005</t>
  </si>
  <si>
    <t>ac50c1300508cdf04431169afa7691d1376bd7cba5f0ce003efd55995cfe261c</t>
  </si>
  <si>
    <t>200158C02005</t>
  </si>
  <si>
    <t>eeb179cc0a7f1e8d02f1652e717a3f994d8eff7c265673877655ed9b3a94b433</t>
  </si>
  <si>
    <t>200159B01005</t>
  </si>
  <si>
    <t>4c5b0e697d8d1554119d1e7587dabce4f3820bfcb5138d0c06db36a7e2ef1179</t>
  </si>
  <si>
    <t>200159C01005</t>
  </si>
  <si>
    <t>8e91a930754001215271655ec6d3e58dab0b2983855c80de633c4a6177a52b8a</t>
  </si>
  <si>
    <t>200160B01005</t>
  </si>
  <si>
    <t>e8a024afb5a3fbe454ad44ea648089e2728a7436b1f36754e919a4c2ad9b48d2</t>
  </si>
  <si>
    <t>200160C01005</t>
  </si>
  <si>
    <t>04df6554c41f5c4bd94302e1481431effad31ba445a8e159e334a11d7574c1a8</t>
  </si>
  <si>
    <t>200160C02005</t>
  </si>
  <si>
    <t>fc6326ca399ac27b4c05e3a1dea83ed5c28ac02d0ce6add6aa4b91e6b1d9c57a</t>
  </si>
  <si>
    <t>200160S01006</t>
  </si>
  <si>
    <t>efd4ecb779fcccd33c5355fc7203ea0d420e8f9e8a335c179a15d138d4082ee0</t>
  </si>
  <si>
    <t>200161B01005</t>
  </si>
  <si>
    <t>b7c17f7b3d7bdd46446ce6f7909f4fe99ed72a73212c87f43108d872412e8bd6</t>
  </si>
  <si>
    <t>200161C01005</t>
  </si>
  <si>
    <t>16ade8980a38b8194519c973c04b044f1143508d50478f32cb4ed85b4fc13d22</t>
  </si>
  <si>
    <t>200162B01005</t>
  </si>
  <si>
    <t>cd15f2b537281db3288a9f99da5dd4221512cf3e669fa3107915ecbf82b4979d</t>
  </si>
  <si>
    <t>200163B01005</t>
  </si>
  <si>
    <t>333e24705d073be11d58e9a97a362989d2aea7e3c5f40e95758e7c8810324004</t>
  </si>
  <si>
    <t>200164B01005</t>
  </si>
  <si>
    <t>bca3f2831737ebe887bd3ec7d85061ab4a446c066c4d288f93d39f010ec52d35</t>
  </si>
  <si>
    <t>200166B01005</t>
  </si>
  <si>
    <t>29eeb9d3f78336227d36cb0a710837c98f3988c81bec713b098480c3e74cdb15</t>
  </si>
  <si>
    <t>200166C01005</t>
  </si>
  <si>
    <t>bc0795d6b15859cafa6dddb81bffcc4976d280e2b82984940d7f89408aa523ce</t>
  </si>
  <si>
    <t>200167B01005</t>
  </si>
  <si>
    <t>0a72abac7a1f630682fc949f945c77120ec2a592007e1143546e0b30f11397b9</t>
  </si>
  <si>
    <t>200168B01005</t>
  </si>
  <si>
    <t>d505a2ff6e2359ec743fcd41f47f3aaa43d2dbaa49d9ab0dc794ff0b99aaf4b5</t>
  </si>
  <si>
    <t>200169B01005</t>
  </si>
  <si>
    <t>4899f52dc36758f8c709bf2984c575684ddf117f2aa20536c35c1c6325d4b725</t>
  </si>
  <si>
    <t>200170B01005</t>
  </si>
  <si>
    <t>0a56ad79a25eb3bd8bdd5e952961c2b1fa9df89d0b791402ef977cd9d3056867</t>
  </si>
  <si>
    <t>200171B01005</t>
  </si>
  <si>
    <t>9ab00bfd2b39447b0d6beac8296c0b2af100fb22425d9bad8ab33296b7693f58</t>
  </si>
  <si>
    <t>200172B01005</t>
  </si>
  <si>
    <t>eefed7c31200e73f8a960ca953bc37b631e9e7abaf734a035960443687c01956</t>
  </si>
  <si>
    <t>200173B01005</t>
  </si>
  <si>
    <t>3ef4df17980b4026ab4e5c597f978b36230f816586a309a550b6a88b114b62f2</t>
  </si>
  <si>
    <t>200173C01005</t>
  </si>
  <si>
    <t>29f61544747eba365fd91e0ca2aa9d2704a1a9f3e62852c3a4c5dd58d9e5c427</t>
  </si>
  <si>
    <t>200174B01005</t>
  </si>
  <si>
    <t>ee656a0747ec98a6595074254dac6e20f894059e7e5139d2981f0bb2e0a3d26d</t>
  </si>
  <si>
    <t>200175B01005</t>
  </si>
  <si>
    <t>93e0a2c79638bf62226c6853bce93117647a162793c3e3c35c2f3d7b5cb06bf7</t>
  </si>
  <si>
    <t>200180B01005</t>
  </si>
  <si>
    <t>EL ESPINAL</t>
  </si>
  <si>
    <t>fc58d1fa5aa8f2ec486b8d8911ac74082c36d7e4163090da9bed9f6e8ece4980</t>
  </si>
  <si>
    <t>200180C01005</t>
  </si>
  <si>
    <t>e031309e659de71426ba5893275a7894e679fce8096a1760562947256f2985cf</t>
  </si>
  <si>
    <t>200181B01005</t>
  </si>
  <si>
    <t>c26a0ce5bf9af9ec834ec3f12d1c8b867249e4576b78bf81a41c047be3a08bba</t>
  </si>
  <si>
    <t>200181C01005</t>
  </si>
  <si>
    <t>3041f3c7084da3329a4cf7d14430d1bc720bdcffe8e0b60107cc2981124241aa</t>
  </si>
  <si>
    <t>200182B01005</t>
  </si>
  <si>
    <t>25260053c2db5f9bd46d40368c67d71f53012976e12ad50ffef9bde666e547fe</t>
  </si>
  <si>
    <t>200182C01005</t>
  </si>
  <si>
    <t>5cba81cfac88f5f45fff79564cda38312400248ef1a4ad772265b4fffa3149a0</t>
  </si>
  <si>
    <t>200183B01005</t>
  </si>
  <si>
    <t>20e3d0320b90339cfad5712c5565654f616f5aff1cd5aead61ddf7f5b599ff65</t>
  </si>
  <si>
    <t>200183C01005</t>
  </si>
  <si>
    <t>1d70c1544cb947bb9ac9d080b78e35e58e699bc577db58809c4169e438a4c4e8</t>
  </si>
  <si>
    <t>200184B01005</t>
  </si>
  <si>
    <t>9c9bff9292fa2fb7c0d999c4ea0d2ee84e156572f9f4dccfbf7888104d5a918c</t>
  </si>
  <si>
    <t>200184C01005</t>
  </si>
  <si>
    <t>036aed42135f57ed60e7528c93dc6e1d8778d78b475993accb67a464802aa230</t>
  </si>
  <si>
    <t>200185B01005</t>
  </si>
  <si>
    <t>6a86572afee707499a03fc7aecd16492826589182ec9e81860ff4478eb551ff0</t>
  </si>
  <si>
    <t>200185C01005</t>
  </si>
  <si>
    <t>e57b1552bc9a5b3e0073de9c7003468338ef791d291947657bd13582123abb2e</t>
  </si>
  <si>
    <t>200186B01005</t>
  </si>
  <si>
    <t>938a6f851348443dee2753970b5f6b4db3908ea1fd14a7ffc638ca66135609b9</t>
  </si>
  <si>
    <t>200186C01005</t>
  </si>
  <si>
    <t>1baeaa0395c03bfd4e4f2d78c54f3601a304dd91e3b9de5fa51d699563e642dc</t>
  </si>
  <si>
    <t>200187B01005</t>
  </si>
  <si>
    <t>FRESNILLO DE TRUJANO</t>
  </si>
  <si>
    <t>65dfd8a7cc649be806054c36f90210759e7e63cac4661e66977949888a10097a</t>
  </si>
  <si>
    <t>200188B01005</t>
  </si>
  <si>
    <t>31fa9f62a3078a7c3c9d5fe8210e61023c3d2b66996733921e87cd3d0c150499</t>
  </si>
  <si>
    <t>200189B01005</t>
  </si>
  <si>
    <t>GUADALUPE DE RAMIREZ</t>
  </si>
  <si>
    <t>6a30a3849f324c622c4ccdae5594b602e7fb29ae5bc6af47980daab964085d90</t>
  </si>
  <si>
    <t>200190B01005</t>
  </si>
  <si>
    <t>40ec1b05dad6eb1b2d87b49ff0455e7dde9f83d30ca90eef42867c7d7821a8e3</t>
  </si>
  <si>
    <t>200191B01005</t>
  </si>
  <si>
    <t>607f53bd2a469f1916aa661f99c8771c202a8c2ffb212281dd0bd0814e9e6639</t>
  </si>
  <si>
    <t>200201B01005</t>
  </si>
  <si>
    <t>HEROICA CIUDAD DE HUAJUAPAN DE LEON</t>
  </si>
  <si>
    <t>846c0fca1382e662de055a541f3616810254dc5fbbdf7796fd4ed7401ecffd90</t>
  </si>
  <si>
    <t>200201C01005</t>
  </si>
  <si>
    <t>fb406844f7988ee83549d7ba9c1c05e480baff62c106f8c27ef90b9c82aee565</t>
  </si>
  <si>
    <t>200201C02005</t>
  </si>
  <si>
    <t>8b30f53ba6f69bd92bd8bff5635f34fa7c8df1c91e28fbfed905cf2675d2f1e9</t>
  </si>
  <si>
    <t>200201C03005</t>
  </si>
  <si>
    <t>56cee0416dfed6b6d75842ec8e8b38eb9a6b3f123f12227c3d2329883e62634e</t>
  </si>
  <si>
    <t>200201C04005</t>
  </si>
  <si>
    <t>f0b943de9a92d0c1eec4766c6dd655a981b557d9c0561c8aee6d1f619e45802e</t>
  </si>
  <si>
    <t>200202B01005</t>
  </si>
  <si>
    <t>933598544a521d9a1706fdff1d4d53bbafd63e690ab7c755b143bbc31176eb25</t>
  </si>
  <si>
    <t>200202C01005</t>
  </si>
  <si>
    <t>efae38106fa7b68fa8d01f2311cf71b81f6e39cab8f3eae017768a596699e56b</t>
  </si>
  <si>
    <t>200202C02005</t>
  </si>
  <si>
    <t>5e9cde19f3c9c375f775d8ef1eae71840cee21af76002d3e651fe2c726ec7724</t>
  </si>
  <si>
    <t>200202C03005</t>
  </si>
  <si>
    <t>f9bb7c6437077f6162ce937317d1f84e72ea25fceb94db42561614fa3e77ea2e</t>
  </si>
  <si>
    <t>200203B01005</t>
  </si>
  <si>
    <t>0f3705c5fce8f87f528d10ee12931b6fff90cb228a3749c1f70342f39a6ddb6d</t>
  </si>
  <si>
    <t>200203C01005</t>
  </si>
  <si>
    <t>fd48c953b5e2ae288871b284f74cd4d9f7fecc8dbe8901a5109dca088f2b4e92</t>
  </si>
  <si>
    <t>200203C02005</t>
  </si>
  <si>
    <t>2a8682ebb07a5e8dcbbda10bf79662a7178c36e6f67c2def3a6697fee9083db9</t>
  </si>
  <si>
    <t>200203C03005</t>
  </si>
  <si>
    <t>cf9d471c5489deccb46b4b231745260e653a9ff00f40e792124902a1eb8b2735</t>
  </si>
  <si>
    <t>200204B01005</t>
  </si>
  <si>
    <t>58862b3de10730e8c20735b8592ab34539374b68619b047ba555bc1d8cf4b4fd</t>
  </si>
  <si>
    <t>200204C01005</t>
  </si>
  <si>
    <t>e161e5539467ac705b08f2fb131fb4b454afd651876d0c35de7d3ad638e450c8</t>
  </si>
  <si>
    <t>200204C02005</t>
  </si>
  <si>
    <t>22569e37c04936c056131597299542dba194aa480eade7e10489e27ffb5ac6c4</t>
  </si>
  <si>
    <t>200204E01005</t>
  </si>
  <si>
    <t>a89ebf5792a427fbbd376c49e33d7a63630122bb00f81509c815a64b8af72500</t>
  </si>
  <si>
    <t>200204E01015</t>
  </si>
  <si>
    <t>07e703b170c78aaa74b18a02961176592e17e19d3620474fbf8e82dcb4d3986b</t>
  </si>
  <si>
    <t>200205B01005</t>
  </si>
  <si>
    <t>76a17e59c2eca6f00f7772cb3f4aa6b993a97561d1cf46538b066c505b25b697</t>
  </si>
  <si>
    <t>200205C01005</t>
  </si>
  <si>
    <t>c5deb078199582eafa819a622b57c09768c7c30138169d7c09fe06b3754784e1</t>
  </si>
  <si>
    <t>200205C02005</t>
  </si>
  <si>
    <t>4f330a5dc17f1200be5140e0fc2cee7951f6de9b9ac52d418c922ab7dcb40d41</t>
  </si>
  <si>
    <t>200206B01005</t>
  </si>
  <si>
    <t>20a952eae595a41a4904bffa34a2e00b9f057c6a97aefd0db4e6df19cdc59d7d</t>
  </si>
  <si>
    <t>200206C01005</t>
  </si>
  <si>
    <t>4ccbe2760ac17a7a7911e4a19db4c022f06ffcf65ea262b4c8f9a246e6389cd8</t>
  </si>
  <si>
    <t>200206C02005</t>
  </si>
  <si>
    <t>5b100857bbf2bf7f0841b997ca58a5923da720876f2e6d71ec75799f6323198b</t>
  </si>
  <si>
    <t>200206C03005</t>
  </si>
  <si>
    <t>15770faad7c86fb203f867626f80109793423a746c742dba2078e1c1d4743b0e</t>
  </si>
  <si>
    <t>200207B01005</t>
  </si>
  <si>
    <t>1d331e7b825b163b6c82623459f8179f51d78567aacf3a6e098d73183540a695</t>
  </si>
  <si>
    <t>200207C01005</t>
  </si>
  <si>
    <t>011e52b631d598576cbb03277eb68ca10b5c28aba0de69f49a8e3815248d8e63</t>
  </si>
  <si>
    <t>200207C02005</t>
  </si>
  <si>
    <t>57bc4637bb9ec87a4e5b3844e07cb3d55a266581d8d2b11a6dd8eb18ea309974</t>
  </si>
  <si>
    <t>200207C03005</t>
  </si>
  <si>
    <t>684aa02a14c5a8b493a719f458a1910cd08ab7805c5e291c7ac0e02fea5b77ac</t>
  </si>
  <si>
    <t>200208B01005</t>
  </si>
  <si>
    <t>e5b3f1cd0cd61e107fb2c0b949649ca78d85c3e95ac6c5b95fc2958406085628</t>
  </si>
  <si>
    <t>200208C01005</t>
  </si>
  <si>
    <t>4f94d975fccb793b83babb92e047fc5e11e02224533e355175f04bc16b441370</t>
  </si>
  <si>
    <t>200208C02005</t>
  </si>
  <si>
    <t>65c1e7998fc45b2d8a5dfbcd966aca7d1bde5c3df996ba8463c9059d9cbf8fe4</t>
  </si>
  <si>
    <t>200208C03005</t>
  </si>
  <si>
    <t>b931281a235649af5be5922a4ae176f7088e8a96116aa1d0aaa4a7a39e23c1a4</t>
  </si>
  <si>
    <t>200209B01005</t>
  </si>
  <si>
    <t>36d53118104fc0290fcc6674c93271fd1704a0191022bd5536d73bb36b8ce1f3</t>
  </si>
  <si>
    <t>200209C01005</t>
  </si>
  <si>
    <t>ce5aa8e3073525d82e44a92048e49ad1c006e67bd7accd4c66eaac8ed6520295</t>
  </si>
  <si>
    <t>200209C02005</t>
  </si>
  <si>
    <t>4d8ec22873a5b6b18ab6983c3c4ff5306c9d1be0c3a7607c3f8517e159fa1db9</t>
  </si>
  <si>
    <t>200210B01005</t>
  </si>
  <si>
    <t>7ce76f2417b177b390d057a88ff5f2374f5d7a696af59e41fdb1ec7fc20a199d</t>
  </si>
  <si>
    <t>200210C01005</t>
  </si>
  <si>
    <t>d7c1174a3ca7f4349c2a3bd96635b75cfadd4c19815bbae7b7a1e62fc423567f</t>
  </si>
  <si>
    <t>200211B01005</t>
  </si>
  <si>
    <t>091366fbea9819dc6c8dc70418814878465708b607344dd47f8d3a9661c65a33</t>
  </si>
  <si>
    <t>200212B01005</t>
  </si>
  <si>
    <t>f35f2b469910992b087fad289b5006df2d53e18b7f71678c740e9925a6c9770d</t>
  </si>
  <si>
    <t>200212C01005</t>
  </si>
  <si>
    <t>2a975346b7bd5cb5a699c890a45d13c0d5221bc81895b43ff690495a70bbfaca</t>
  </si>
  <si>
    <t>200212S01006</t>
  </si>
  <si>
    <t>555669dd775d278897a1bcd5b8190065acc4b76760bc2499ac9305d74deee6f4</t>
  </si>
  <si>
    <t>200213B01005</t>
  </si>
  <si>
    <t>11cb7d68ce84c3370da6f18127d72a00441fc6c7f6f1a7c3df4dab65d28e748e</t>
  </si>
  <si>
    <t>200213C01005</t>
  </si>
  <si>
    <t>6ad97a73365a6bdc39041b677b76db2bd1c6081b634e04e4a38c4e853024fd37</t>
  </si>
  <si>
    <t>200214B01005</t>
  </si>
  <si>
    <t>20cd8c059c4c1ccca56d4aea09517ae6aa14eff5b73d4d659ac572f80da49739</t>
  </si>
  <si>
    <t>200214E01005</t>
  </si>
  <si>
    <t>0f01aeb9fdd170df57f0fc3b72f404091d384b56f40fa0dac84a3fd4b858717e</t>
  </si>
  <si>
    <t>200214E01015</t>
  </si>
  <si>
    <t>469e70b80bcdff78906a8c7a6dab2adfef0c17eeb82c8e8a0724d5fa1aa41f0f</t>
  </si>
  <si>
    <t>200214E02005</t>
  </si>
  <si>
    <t>8a5ce0173a4cc165a10ff396a65d579846248be5aaee343397d961d54ab3cb74</t>
  </si>
  <si>
    <t>200215B01005</t>
  </si>
  <si>
    <t>33b7b8f11332f321e4542194e08e1e191af1ff3ae4212e1bf0379a1d1eb13876</t>
  </si>
  <si>
    <t>200215C01005</t>
  </si>
  <si>
    <t>871fd1129e436d7c0e924cedb689dfe0ab787462fbcea5c987c419f53e0f6137</t>
  </si>
  <si>
    <t>200216B01005</t>
  </si>
  <si>
    <t>ceab8a12cd0c5ef6276dc8c492be5d011b9ff7d5e0658f0611b5a873efb71ff8</t>
  </si>
  <si>
    <t>200216C01005</t>
  </si>
  <si>
    <t>77cb4a373522b97c0cd5d153b34d52ee4e259787d2ddc374a52dd6be13ac3990</t>
  </si>
  <si>
    <t>200216E01005</t>
  </si>
  <si>
    <t>cdb047c75de9567014238e8086c88cb4d09537fd944d6b70413dd757afb3862b</t>
  </si>
  <si>
    <t>200216E01015</t>
  </si>
  <si>
    <t>3d21bbc8e377e82f31c80d09aafa27ce70c20bb653488bd631d514935adb53b0</t>
  </si>
  <si>
    <t>200217B01005</t>
  </si>
  <si>
    <t>dfcd3032ccff8f5ad4fdc2797b150c54dc54f72e19d3f6b65c3022ca1d57a8c6</t>
  </si>
  <si>
    <t>200217C01005</t>
  </si>
  <si>
    <t>7c602fbf95ba8118a1ee8ebf8cf3016c76f242ab37d6f735f1360b5593ba8cb2</t>
  </si>
  <si>
    <t>200217C02005</t>
  </si>
  <si>
    <t>ff6e1498f513ab70f76ecd118ce76b9868a74e4c2fdfa73a94df6a1ceb1c2434</t>
  </si>
  <si>
    <t>200217C03005</t>
  </si>
  <si>
    <t>faad37796ac8c7c0c7a00f4b88e6dd594f5e3597a6108706e0c988a81ea3eadb</t>
  </si>
  <si>
    <t>200217C04005</t>
  </si>
  <si>
    <t>1eb8a0ccf339b61186f5f606a33caf61baaf4f7609aae5536694aa5dae0bc645</t>
  </si>
  <si>
    <t>200218B01005</t>
  </si>
  <si>
    <t>024089b5d431178216ad83cbeffd1eb1d5cc679bb3ca46fcf9f7d3f3076dda50</t>
  </si>
  <si>
    <t>200218C01005</t>
  </si>
  <si>
    <t>1a3b0cded3149473b56e46bea3af38f78e1604333a55335d4f19b75d82a67a07</t>
  </si>
  <si>
    <t>200218C02005</t>
  </si>
  <si>
    <t>b2e5adeb21cf70f8fad930e7ca83a0baf4b9b4b15cb4d5e76409c136e3a1eebb</t>
  </si>
  <si>
    <t>200218C03005</t>
  </si>
  <si>
    <t>2aeb119cf90b4cff110a6ccbb3de6f226616580bf1ff39121158d1ef67e65021</t>
  </si>
  <si>
    <t>200218C04005</t>
  </si>
  <si>
    <t>3719514958f610f688418d150f300016a3ab42f5f2e91125445b0511d04adbc6</t>
  </si>
  <si>
    <t>200219B01005</t>
  </si>
  <si>
    <t>e69581c7c802ef2b066ad1f7a25cff4ea5fad1ef2c81663e2f1c12438782a6d4</t>
  </si>
  <si>
    <t>200219C01005</t>
  </si>
  <si>
    <t>e784b61aa30be481c3deb4eb0054839a400925194c522578e14c264460e51fda</t>
  </si>
  <si>
    <t>200219C02005</t>
  </si>
  <si>
    <t>8e236187abbf925c5ecb69c66abf40aaac8dc20a1d213c18b385ee60afefe8c2</t>
  </si>
  <si>
    <t>200220B01005</t>
  </si>
  <si>
    <t>5d6e8a1b89ddf962b146ab64f0a0488f03670f4339ab73f1613297eac9a4f11e</t>
  </si>
  <si>
    <t>200220C01005</t>
  </si>
  <si>
    <t>187fd893950d95272f45f66a076ea4fc77599bd266d1b5b095f7336fefb79d94</t>
  </si>
  <si>
    <t>200220C02005</t>
  </si>
  <si>
    <t>a3e7ece8b37d09c3450d39baed6ec6020dfddae016f6d9936824e553004ad368</t>
  </si>
  <si>
    <t>200220C03005</t>
  </si>
  <si>
    <t>e1fd9d87ceca182bbbeb62cc74c5dc01e370a67f3fbe84c7181cb01ff095c791</t>
  </si>
  <si>
    <t>200220E01005</t>
  </si>
  <si>
    <t>d10f9d929eefb0df2a8e2477435b9dbd17d96d37d615c40fee3fd3aa081b91c1</t>
  </si>
  <si>
    <t>200221B01005</t>
  </si>
  <si>
    <t>c032a497bcb8c73c0e9dfee9b691a0372707570917e7aa383ea08fe87f4d87d5</t>
  </si>
  <si>
    <t>200221C01005</t>
  </si>
  <si>
    <t>9359bec99c6ec7f902cbddbb33341fa860ea41f0052d8d4d97ee0613c2352063</t>
  </si>
  <si>
    <t>200222B01005</t>
  </si>
  <si>
    <t>ab30d74fbbabbdbba648c479f9d2ab70c61b4e3718d1acb9c94695cbf3e1341b</t>
  </si>
  <si>
    <t>200222C01005</t>
  </si>
  <si>
    <t>1a1a577e2acd89405e084b3d7b58a2ff3e010f9d7010f57474d7b57cd22ea707</t>
  </si>
  <si>
    <t>200223B01005</t>
  </si>
  <si>
    <t>f2730d55228cc8bf22f9d829f82bb0c6481160df37cb3613f728b9c6fc534ae7</t>
  </si>
  <si>
    <t>200224B01005</t>
  </si>
  <si>
    <t>350497c5918501fbe4fcf244aaa11d11cb22d844342f23876716803d1f9cb774</t>
  </si>
  <si>
    <t>200225B01005</t>
  </si>
  <si>
    <t>15b414449bef90db79b8ee324a867cfe7b4577fbacab3781b5feeddf5858d90f</t>
  </si>
  <si>
    <t>200226B01005</t>
  </si>
  <si>
    <t>4e94bd4a309055eb38e64a12ba59895bd63d1dbd3bb51c74523073c1a7125d6a</t>
  </si>
  <si>
    <t>200227B01005</t>
  </si>
  <si>
    <t>2e1260291f4294909f0d7eddc1782d4f1c4958c612f27cfbfc3e5a70e5a0fb7c</t>
  </si>
  <si>
    <t>200227C01005</t>
  </si>
  <si>
    <t>847f4de62f6dea5b540bb0d7b9b09d6b5e6771a8daf0c6309ee29620ee9ed6d5</t>
  </si>
  <si>
    <t>200228B01005</t>
  </si>
  <si>
    <t>aa21b1e2f0f8eb4e262262b743d732a424f247ef9cff7da9e6b8918ed493bdb0</t>
  </si>
  <si>
    <t>200228C01005</t>
  </si>
  <si>
    <t>0e8521ff615dd0204fcc415dbce09d1520b7aa231f0520172a1bba170f5eada8</t>
  </si>
  <si>
    <t>200228C02005</t>
  </si>
  <si>
    <t>460193ba9eb961141d67bdfa5fc924422955d352a88ff39bb6ea676b6c8f0e6c</t>
  </si>
  <si>
    <t>200228E01005</t>
  </si>
  <si>
    <t>cffc6007b61dfacba58cb3d6b3a410f7e1b9dea3275fa5d607e8618f41475a05</t>
  </si>
  <si>
    <t>200228E01015</t>
  </si>
  <si>
    <t>6963d974f41776f9e506b2e5ba0c7992bb114eff8b13890db2b6be9d0163de00</t>
  </si>
  <si>
    <t>200228E01025</t>
  </si>
  <si>
    <t>9167dd55ccee48dcf7ff557247543817930947f120c467b8e19439646dfa4634</t>
  </si>
  <si>
    <t>200229B01005</t>
  </si>
  <si>
    <t>78f461aec57df6212c4e6ca7097d6ac01de1b4e575dab46449d5d73b385fde5f</t>
  </si>
  <si>
    <t>200230B01005</t>
  </si>
  <si>
    <t>49385dde635c0e1d6d0be5dac2a9c005ad0300eefd7c575850b560924c448cbb</t>
  </si>
  <si>
    <t>200231B01005</t>
  </si>
  <si>
    <t>8bb622c395b50396c6e26b15673db685a60ef7cd0939afb291f8824a6f91876b</t>
  </si>
  <si>
    <t>200231C01005</t>
  </si>
  <si>
    <t>e875cfbb3d51fa3f285010ff8a6e5cb65cb5cc9b1108a2e1f08b7dc3ec6d7e86</t>
  </si>
  <si>
    <t>200231C02005</t>
  </si>
  <si>
    <t>23889d9940d4255029b54ac00430d3803b727e69d49e357df5ca445ff0f2966b</t>
  </si>
  <si>
    <t>200231C03005</t>
  </si>
  <si>
    <t>70e311e7da658377bfaba0639c13c41416d8c09c256010afbc648d9f3c225fa6</t>
  </si>
  <si>
    <t>200231S01006</t>
  </si>
  <si>
    <t>d7e809395a1c712509b1ae9e6228430de9788e4ebb44cec66036d03eed5a30ff</t>
  </si>
  <si>
    <t>200926B01005</t>
  </si>
  <si>
    <t>3bb944db52a0029e11aac77452cb6076d753d0063ab906900fdbe2573e599c0d</t>
  </si>
  <si>
    <t>201280B01005</t>
  </si>
  <si>
    <t>a53752893b217b4f641e20d4455018aee1a09f420e745cf8e5072717509801aa</t>
  </si>
  <si>
    <t>202451B01005</t>
  </si>
  <si>
    <t>a7a8528712396f38545f8d7a6bb84c8e78e3318eb515c53a0c099522e66f78b9</t>
  </si>
  <si>
    <t>200232B01005</t>
  </si>
  <si>
    <t>HUAUTEPEC</t>
  </si>
  <si>
    <t>1abb20d1b638a31b1bd89c6dd1949c585b7ff2bd6ef0b4862842c785f78117d3</t>
  </si>
  <si>
    <t>200232C01005</t>
  </si>
  <si>
    <t>94e3bfd7585bbe45770acac398e0e8acdfaa27627f611782822d39ea819cd604</t>
  </si>
  <si>
    <t>200232C02005</t>
  </si>
  <si>
    <t>61ad6b7e26b3b9381d7e90aa2b8eba000eda05d41dca8517d05db04007fe1fb5</t>
  </si>
  <si>
    <t>200233B01005</t>
  </si>
  <si>
    <t>25aecde87d5ee54880a7b76e690bcc92b72777fb8d5c9e5c28ffd854f14ec813</t>
  </si>
  <si>
    <t>200234B01005</t>
  </si>
  <si>
    <t>2a9c9db50a5fd7fe7bf5faa59221ca3c12f0d3052c8e86051d0869a81cd82517</t>
  </si>
  <si>
    <t>200234C01005</t>
  </si>
  <si>
    <t>b6e060aa23ab3ad943ab2502e884dc3c6206a5430b17b7cec1880bef198ea821</t>
  </si>
  <si>
    <t>200235B01005</t>
  </si>
  <si>
    <t>e01cb29c2b004a617e4eb0f2deddfbc8c1029e00b8d7bd22dd7143949c09bb35</t>
  </si>
  <si>
    <t>200235C01005</t>
  </si>
  <si>
    <t>dd0c2788486e7b22428440088f4ed7eb0c6906ca580712ea5352da7a0572fdca</t>
  </si>
  <si>
    <t>200236B01005</t>
  </si>
  <si>
    <t>HUAUTLA DE JIMENEZ</t>
  </si>
  <si>
    <t>7a97ce2cf015093f848191dc005afe63ff5ba157be39e53e348dfa51ab8c2216</t>
  </si>
  <si>
    <t>200236C01005</t>
  </si>
  <si>
    <t>092f095838331f2beb24e3e15952191999807285a5a583c28dcabdb26f16ca3d</t>
  </si>
  <si>
    <t>200236C02005</t>
  </si>
  <si>
    <t>64995c68d58e004b62285e035d0da77265c63180878c829bf80543033155ef50</t>
  </si>
  <si>
    <t>200237B01005</t>
  </si>
  <si>
    <t>c363c298a60076217e329f2e5f466568968ff21a0b944a13548b1e6cafe13775</t>
  </si>
  <si>
    <t>200237C01005</t>
  </si>
  <si>
    <t>f0b0498d10a57aba33908dff620f6ee7fca3d7ee5eaea8cea7d45cd7845f1ee4</t>
  </si>
  <si>
    <t>200237C02005</t>
  </si>
  <si>
    <t>6cab523efaf51f67569996a93567b12164e68e0f236840fd8d04a7205efbf423</t>
  </si>
  <si>
    <t>200238B01005</t>
  </si>
  <si>
    <t>26039de0bf7f5dd68019b411e9019295deb189f6d0093a641f49b9198d25630c</t>
  </si>
  <si>
    <t>200238C01005</t>
  </si>
  <si>
    <t>eab0447efbcb945913edc7907c4da9e7ed024f868d2f670b631897bd55743d32</t>
  </si>
  <si>
    <t>200239B01005</t>
  </si>
  <si>
    <t>576a9a5b125490551ed95dfd95ebe108c9ee777033552d68a2a4b5604ecef958</t>
  </si>
  <si>
    <t>200239C01005</t>
  </si>
  <si>
    <t>2bcd1774ac7e2cbcff69d86a81bf28ec0901553e1e45b9b5f425bbeebc346eff</t>
  </si>
  <si>
    <t>200239C02005</t>
  </si>
  <si>
    <t>abc116f8005ff7a0c3e8897ac50fb2f297229cf13e75c6edbd78474d24d4d0d6</t>
  </si>
  <si>
    <t>200240B01005</t>
  </si>
  <si>
    <t>fc6ac6b5be7c31b02331a2c58461c0f67af84788b299cdb0279fccb14df18841</t>
  </si>
  <si>
    <t>200240C01005</t>
  </si>
  <si>
    <t>f10c38314ef68dd55b7d83eaaa21bdf3fad5e0536708a17d56bee03c51b40a4f</t>
  </si>
  <si>
    <t>200240S01006</t>
  </si>
  <si>
    <t>f7e33c76645115a135842e80e6251750840cc58f2471862b277214a8f8298a97</t>
  </si>
  <si>
    <t>200241B01005</t>
  </si>
  <si>
    <t>6501233826be2a4ff403685372c94e9cff773dd5c0e6d65654947a4bf46dee47</t>
  </si>
  <si>
    <t>200241C01005</t>
  </si>
  <si>
    <t>792ef09e11b2690b1a790abbf913bfbdf4d2544bb8f82b391facdff99505e93f</t>
  </si>
  <si>
    <t>200242B01005</t>
  </si>
  <si>
    <t>d9d8d0ee8b6978d7d4d5c361863b538995027f65ec8043ba0318b6a9611cf1e1</t>
  </si>
  <si>
    <t>200243B01005</t>
  </si>
  <si>
    <t>dc7c55a7b9ef96ca3fdbd25e6b0ad18c5a51e61c4d083b59a7ada65dfa1f918d</t>
  </si>
  <si>
    <t>200243C01005</t>
  </si>
  <si>
    <t>8727ec9948b1e16d1c2bf5a89805f6041f3d2f2ec4822fb6e146ff929a5718f7</t>
  </si>
  <si>
    <t>200244B01005</t>
  </si>
  <si>
    <t>6718f7eafc0ceb76f2c07b10e6ef413cec21deead275f3428258cf439bf30e15</t>
  </si>
  <si>
    <t>200244E01005</t>
  </si>
  <si>
    <t>cf7ae9e598367fa6b85aa2fbca5d01618e766f43fde28ffdb83875eddf1e2067</t>
  </si>
  <si>
    <t>200245B01005</t>
  </si>
  <si>
    <t>2d9fe7a31e59f7f5c5e5626716ccc5972beb1abdf47c028887ea7f480569c95b</t>
  </si>
  <si>
    <t>200246B01005</t>
  </si>
  <si>
    <t>72b2b42601fdcfc75a40f021fbb22fd46cbc40d2cec7cfb025be1634d0cc3e55</t>
  </si>
  <si>
    <t>200246E01005</t>
  </si>
  <si>
    <t>c0871c9bef52431441bcc5e527d0aaaa5bd721f016277b375e488274edffb416</t>
  </si>
  <si>
    <t>200247B01005</t>
  </si>
  <si>
    <t>4e3eab295fcd640a1408d7885287b47cc838b8122783ad2eabc23cd74c28c043</t>
  </si>
  <si>
    <t>200247E01005</t>
  </si>
  <si>
    <t>8c12c48064abef3f5033dc9f0bc0f450f12e06de02862ef1b5156f59aa844072</t>
  </si>
  <si>
    <t>200247E02005</t>
  </si>
  <si>
    <t>55765e904275e8b8aa60fb3a00f05185751397d4a937ac427a17ac9f4439c13c</t>
  </si>
  <si>
    <t>200248B01005</t>
  </si>
  <si>
    <t>dd3d564f705ff73897c2c33d5e3aef5c87e790ca77824c3c9ef2ad354fee9b51</t>
  </si>
  <si>
    <t>200248C01005</t>
  </si>
  <si>
    <t>0db53056986679e8d08adc4e688425cfbcf416ab96448b94b7781da4be70e29c</t>
  </si>
  <si>
    <t>200249B01005</t>
  </si>
  <si>
    <t>f42cc3543212fc5011ac6b47ee8f46d1a7903e01c1e4a04acc500c7a60d6944b</t>
  </si>
  <si>
    <t>200249C01005</t>
  </si>
  <si>
    <t>7eda83024eaa22b95e86ac705d5457d02b0b073a786d4855558a926ded9ab76a</t>
  </si>
  <si>
    <t>200250B01005</t>
  </si>
  <si>
    <t>66ec83687911f628d90d0dbf552df341f02d7504d77d734bbc5f3c35aab3b6ae</t>
  </si>
  <si>
    <t>200250E01005</t>
  </si>
  <si>
    <t>aaef294432d893089c7040af04cfdbb63148da4d9306b93b055f845dabcf6706</t>
  </si>
  <si>
    <t>200250E01015</t>
  </si>
  <si>
    <t>f2be79cd35a95d7b5bf79566639cd4bb1a4f068b68f0f3de1c7b67a93c6089c5</t>
  </si>
  <si>
    <t>200251B01005</t>
  </si>
  <si>
    <t>c6b0ca07bc8e6c8e6143f31ca57f127120e41b75f0c72612574333bf67f42f02</t>
  </si>
  <si>
    <t>200251C01005</t>
  </si>
  <si>
    <t>5252ce339ffed1c8352341ab4e3ab1d8f9304cd1e872e5f1383dfbf20e3b75ba</t>
  </si>
  <si>
    <t>200252B01005</t>
  </si>
  <si>
    <t>048de00de024355ee0db7c987f3b63c73bd89dcf00b719e2c664f3423f80001b</t>
  </si>
  <si>
    <t>200252C01005</t>
  </si>
  <si>
    <t>f4ffa46ca5c824a01c20928ac067675da3d49f390736c56719307adb6de03062</t>
  </si>
  <si>
    <t>200253B01005</t>
  </si>
  <si>
    <t>26fcad1c28871aa514bd00c031dc26f4af3397d403dc56eef044cb5f6f3f929a</t>
  </si>
  <si>
    <t>200253C01005</t>
  </si>
  <si>
    <t>f19d67c30f4815139c31b1e65ac8e261f038f08f2a0c2a9bc186329d91a2ddc4</t>
  </si>
  <si>
    <t>200254B01005</t>
  </si>
  <si>
    <t>cb86ed264846bb2713707a0562a8a1a8991ce42d3342e14f4e8c3790640f8d92</t>
  </si>
  <si>
    <t>200258B01005</t>
  </si>
  <si>
    <t>CIUDAD IXTEPEC</t>
  </si>
  <si>
    <t>ed2a8c47c7efc30b00dae7744ab3f8d7f05282b2c1751bdda39b2447ec899ebb</t>
  </si>
  <si>
    <t>200258C01005</t>
  </si>
  <si>
    <t>f1928bd79549d9d0a43d7db2c8af713afa0baff04b43baf9b03270e93b038cd5</t>
  </si>
  <si>
    <t>200258C02005</t>
  </si>
  <si>
    <t>21752e68ca024da3bf40a0d7164c0418258a3a3fa5ca9ccaa3c976771fffbfa6</t>
  </si>
  <si>
    <t>200259B01005</t>
  </si>
  <si>
    <t>53f3d2aec807e1e7a0b967e4014fe34e3537755c516770e5a06ab31ba39a3442</t>
  </si>
  <si>
    <t>200259C01005</t>
  </si>
  <si>
    <t>547dd7b3926ebab57fd92b843ea4e7948b2de673c23cdcf821521229853b7b60</t>
  </si>
  <si>
    <t>200260B01005</t>
  </si>
  <si>
    <t>ca6355062b151fe71d1158b08731c168868d4c84d77e54c7a16b26050d4dc297</t>
  </si>
  <si>
    <t>200260C01005</t>
  </si>
  <si>
    <t>91d226871ffc55147da7ae8546f69c1e24555b1a2b269045e13add5e4d848db8</t>
  </si>
  <si>
    <t>200261B01005</t>
  </si>
  <si>
    <t>205395a82b517e6ccc63b2fc971c723935ef9eb348f8eb08a09ad5e043e59a83</t>
  </si>
  <si>
    <t>200261C01005</t>
  </si>
  <si>
    <t>a570a5cbce301b53f6c6518e79ef81a038591aa1818fa55e2bc9678c39780deb</t>
  </si>
  <si>
    <t>200262B01005</t>
  </si>
  <si>
    <t>78ca8e75ab8edbc1c68329f46d4f578a433167befe238d82349196fd669e2f2e</t>
  </si>
  <si>
    <t>200262C01005</t>
  </si>
  <si>
    <t>29d746fb832d084b2f1340d7885615444939312d048e111401d900b94dade22d</t>
  </si>
  <si>
    <t>200263B01005</t>
  </si>
  <si>
    <t>f12b480d3cdd806a3501c0e23a2874c7b86f891020b724ca4d1dcb82b48f9888</t>
  </si>
  <si>
    <t>200263C01005</t>
  </si>
  <si>
    <t>f0a72e3bec2de01df340cb64787042268a764f778597d85c6f6e8cdf3e376dec</t>
  </si>
  <si>
    <t>200264B01005</t>
  </si>
  <si>
    <t>ac1cbeb7d0a88a8f0f9119753c6dad5c8ffb4ff6c844ccb8ae81254be375b14a</t>
  </si>
  <si>
    <t>200264C01005</t>
  </si>
  <si>
    <t>8c1ca42d469f9a70a9edae3969da55b0518b091e2e35777aa62f2838f9302d9f</t>
  </si>
  <si>
    <t>200265B01005</t>
  </si>
  <si>
    <t>2a73ab9b9941a9b2670710d4410368da00468fe21705f1044c9af6f2180e4882</t>
  </si>
  <si>
    <t>200265C01005</t>
  </si>
  <si>
    <t>65bd499ce00ab5f53c6368235c0704d225447f415b8bc0ab939c9a6852da3ee9</t>
  </si>
  <si>
    <t>200265C02005</t>
  </si>
  <si>
    <t>922d75e7f6ec327bc2a01787445a63e281e80ab8a99d293522eba3564faa0ef4</t>
  </si>
  <si>
    <t>200266B01005</t>
  </si>
  <si>
    <t>d83169f25cdffafe8ae7d0ec10adbc10ba530b0462b448b75e0b0067ca9ce9ae</t>
  </si>
  <si>
    <t>200267B01005</t>
  </si>
  <si>
    <t>24e8655e233d2fbf3228616917fd95159dbfe621a29fcedcdde927fd4cc1ab5c</t>
  </si>
  <si>
    <t>200267C01005</t>
  </si>
  <si>
    <t>0095af5a456d3ad9f0019011567d65fbc99f1621acf7c9724b83bde9d932bdab</t>
  </si>
  <si>
    <t>200267S01006</t>
  </si>
  <si>
    <t>86d3eec9ca8413e5a5707ed25a306a612c1ede58a48c41b139558e6b26dcdad0</t>
  </si>
  <si>
    <t>200268B01005</t>
  </si>
  <si>
    <t>da5c4fb44626c2c5992eaa11e78ba8ed8ca4129870e9769f1ff627c4f0e7f477</t>
  </si>
  <si>
    <t>200268C01005</t>
  </si>
  <si>
    <t>88c302b41051f0ad935065ef4119000faab61c074180207d10fa492eb0e19a9b</t>
  </si>
  <si>
    <t>200269B01005</t>
  </si>
  <si>
    <t>6676e809995742526304851f8751d79aa4c3b818c226ae1463e75312d9ff4302</t>
  </si>
  <si>
    <t>200269C01005</t>
  </si>
  <si>
    <t>09db5d38ffb6ded3e0f07b733644651ab0ec200cd81bbe1a3213495a636327e3</t>
  </si>
  <si>
    <t>200270B01005</t>
  </si>
  <si>
    <t>2a54fc16a050ae7192dfd9b70537d2dc6c525f0d6e054eccc73d2c3b2c74e2c6</t>
  </si>
  <si>
    <t>200270C01005</t>
  </si>
  <si>
    <t>1a7453a3d15dd933933ef0c99fc84aa0292a11ac96cf893383a816ac5fbcdfc8</t>
  </si>
  <si>
    <t>200270C02005</t>
  </si>
  <si>
    <t>5c649a919090c42e6c16c02f47bd8cca0503e0c5b966b29f3e5aa04726d4ebb1</t>
  </si>
  <si>
    <t>200270S01006</t>
  </si>
  <si>
    <t>30daf0faf8356a43485dbd4bfeaf18b9f3b10e87a399ec947ae916e0b3a16610</t>
  </si>
  <si>
    <t>200271B01005</t>
  </si>
  <si>
    <t>bc12b53a6891280d4d6388a6aaa64570b25b25f29ff5b6a1c2343181831a99ac</t>
  </si>
  <si>
    <t>200271C01005</t>
  </si>
  <si>
    <t>a5543f02017b6c8e90d5f61629116f602fd28d1672c87d19d5441423f5c5bbee</t>
  </si>
  <si>
    <t>200272B01005</t>
  </si>
  <si>
    <t>0bccb1ce1355a86c092cf6f3ee637bbd4ba016a9a8f4ffa973cb06045ec32a37</t>
  </si>
  <si>
    <t>200272C01005</t>
  </si>
  <si>
    <t>cf03a49974f99fb69144e87ec65c45eac83f7b2befe08fc415dcf30b06eef21b</t>
  </si>
  <si>
    <t>200273B01005</t>
  </si>
  <si>
    <t>8ced967bea83a8ac2fcfea03942c6db6294cd822b101df75f9d4c1194ae820c4</t>
  </si>
  <si>
    <t>200273C01005</t>
  </si>
  <si>
    <t>509321e582752c9c9c2d641950ecf93fd501f8ee32b17141affe3f6ef7471896</t>
  </si>
  <si>
    <t>200274B01005</t>
  </si>
  <si>
    <t>2e983fafc6501f829d08969630ae90040f38b2c9a58f2577c5202fca3334fdc4</t>
  </si>
  <si>
    <t>200274C01005</t>
  </si>
  <si>
    <t>11b651a47a2f413dd35fc4c4321c176c9d9837e2a1d4c512c9916dc5809cc7f4</t>
  </si>
  <si>
    <t>200274C02005</t>
  </si>
  <si>
    <t>fac9e1bf946a7d8dedfdcaef96df8d9f3ac4726560bf70583375e327f524650a</t>
  </si>
  <si>
    <t>200275B01005</t>
  </si>
  <si>
    <t>6da4e80c9abd6201c572e1c2d63bd26384e29f894a844963b50ce2b112a95735</t>
  </si>
  <si>
    <t>200283B01005</t>
  </si>
  <si>
    <t>HEROICA CIUDAD DE JUCHITAN DE ZARAGOZA</t>
  </si>
  <si>
    <t>d07d04dce8a27da557a724445f077a6aef0a88974709a7314defe494539de068</t>
  </si>
  <si>
    <t>200283C01005</t>
  </si>
  <si>
    <t>fb4b38be0ad7e08e82bfdbde4c24ec17a47a39b61149539e0e362cd86d9e6917</t>
  </si>
  <si>
    <t>200283C02005</t>
  </si>
  <si>
    <t>4e883547b615fd31fc1166183cde11fbf1cb7c1e18ea98b1f70faeca532c042c</t>
  </si>
  <si>
    <t>200283E01005</t>
  </si>
  <si>
    <t>95b9586d8fbec8ccb375765b8dcd63d4193f0b1d6d5be1b76e2bef9dfe1a4df3</t>
  </si>
  <si>
    <t>200284B01005</t>
  </si>
  <si>
    <t>5586239a89e3eae950e5f2389257561d7e217c7f33c2bbe5b10a727d5912a183</t>
  </si>
  <si>
    <t>200284C01005</t>
  </si>
  <si>
    <t>d7a6e45d78623ab09aa18499cfefb362716f17d02e8e174aea7838da99e2bb67</t>
  </si>
  <si>
    <t>200284C02005</t>
  </si>
  <si>
    <t>49aba60d1cd20d1f7393e42df76194d6da99a72581fcee4ad811e2d9a8f81fa3</t>
  </si>
  <si>
    <t>200284C03005</t>
  </si>
  <si>
    <t>86c1178d54d7a296c4663e79824cdb8b3a87840413db92d9ace6145db26a1e0f</t>
  </si>
  <si>
    <t>200284C04005</t>
  </si>
  <si>
    <t>4a9bd33eb4dffbca1e195dbf1d51b8e3f71fdf9d6534d35a64366a00babfc71c</t>
  </si>
  <si>
    <t>200284C05005</t>
  </si>
  <si>
    <t>3bff1297a1d0ca65dfdb2f0165c120649da0aba8e1c5654e5a42df5fbda7a5cb</t>
  </si>
  <si>
    <t>200284C06005</t>
  </si>
  <si>
    <t>cde1eb78678130ab298554b240dfccb8618e061f7d2bb0b4e69f07c9753ae541</t>
  </si>
  <si>
    <t>200285B01005</t>
  </si>
  <si>
    <t>1f567f51b3201c0a85110147d54dc6ead9222a17d3d1287af3773a06f9447e02</t>
  </si>
  <si>
    <t>200285C01005</t>
  </si>
  <si>
    <t>72e50d960bea37589d5d208bef8c1e47a5e40e76a71d91f8e0338b7de0b27aaf</t>
  </si>
  <si>
    <t>200285C02005</t>
  </si>
  <si>
    <t>d1bffa7f59dd4589f13eaf105ad0263abf3337c16df5f52a3f2ed667708bdc3e</t>
  </si>
  <si>
    <t>200285C03005</t>
  </si>
  <si>
    <t>6bac04cf264bf423227ee5bdd788c0ad9ebf39343044fcba921e769a3f451df9</t>
  </si>
  <si>
    <t>200286B01005</t>
  </si>
  <si>
    <t>5fc9517251669649e22ab149d659a99f48b4f49ae2931549f5af395cb47fd0dd</t>
  </si>
  <si>
    <t>200286C01005</t>
  </si>
  <si>
    <t>0388bf7a4214cb36283763cc50929dd99197e4dddfb8d0ad8e30437e7645a01c</t>
  </si>
  <si>
    <t>200287B01005</t>
  </si>
  <si>
    <t>8e85192043618b271a6c296aa17519c44cb55070fe626bf5309151a29c6aa69e</t>
  </si>
  <si>
    <t>200287C01005</t>
  </si>
  <si>
    <t>b68501f3db23f619bdd6401e6446e7980c2bb559336ceb5a7f306c01f74bba6f</t>
  </si>
  <si>
    <t>200288B01005</t>
  </si>
  <si>
    <t>12e2528d2a166e2505e094755d623320132d101135d57b81e62f787add7989e4</t>
  </si>
  <si>
    <t>200288C01005</t>
  </si>
  <si>
    <t>b733ada20bcb78f314b73accdd2f0f3b9d9118312ceae542c7c32b2687630adf</t>
  </si>
  <si>
    <t>200289B01005</t>
  </si>
  <si>
    <t>88281a97d3b04fb6caf1235ca1a22954dea0228ba47cb9b8bb4ec38cfa931ddb</t>
  </si>
  <si>
    <t>200289C01005</t>
  </si>
  <si>
    <t>5d404e824486c7dc1baea32ab4a8cad0ac45af08b49f547b0b113b9f5b43e895</t>
  </si>
  <si>
    <t>200289S01006</t>
  </si>
  <si>
    <t>19e2726d5e197e8c4608eb3e375deb78f25fff56179e1eef35bf78a22d8071f8</t>
  </si>
  <si>
    <t>200289S02006</t>
  </si>
  <si>
    <t>9c17ef579a873ba78f752f41440216c9295c51b0ea559d82ac06e6dc73362592</t>
  </si>
  <si>
    <t>200290B01005</t>
  </si>
  <si>
    <t>ba0e326ba2cf22c240fb6f23bab947f3bd8bd42cf8e5caa1f2bb96b8b9eff8f6</t>
  </si>
  <si>
    <t>200290C01005</t>
  </si>
  <si>
    <t>3ccf5b62e238c197e234eb398db508140d1dda370fb805ec672baee1935dc95f</t>
  </si>
  <si>
    <t>200290E01005</t>
  </si>
  <si>
    <t>270de7bbdbf245d34ecb9f7551a5a243f751a7e04041a3fbc24c8e99058498b6</t>
  </si>
  <si>
    <t>200290E01015</t>
  </si>
  <si>
    <t>c64edb2754ac9a88aebf8273fa2b3e40203fdea723d3b4839cac7814eae52c85</t>
  </si>
  <si>
    <t>200290E01025</t>
  </si>
  <si>
    <t>e6621087d2828d90889ccb87b461087723c0573d8f509b1a8206ad370e9e5b0d</t>
  </si>
  <si>
    <t>200290S01006</t>
  </si>
  <si>
    <t>e452f5f8c16913d2db98e47f88422397efd6b65e9c23408a04d9d14789c5ceb6</t>
  </si>
  <si>
    <t>200291B01005</t>
  </si>
  <si>
    <t>6b1cc07e3a07e847e5cf44e91b5f18622f93ddeb405d4a79d2ae19bf59b0bff3</t>
  </si>
  <si>
    <t>200291C01005</t>
  </si>
  <si>
    <t>5cd01f9c4a1211718990b4092a37cdfece134ac0a2a65e43448fb608081aba1c</t>
  </si>
  <si>
    <t>200291S01006</t>
  </si>
  <si>
    <t>40b2b9045dbba7f01ac403b547f32156e0abac1cb329983f35e0f4ab07d7df75</t>
  </si>
  <si>
    <t>200292B01005</t>
  </si>
  <si>
    <t>e736a851d912e17e212e4f5892e72c69b5ad7c195bb572fd71c9b2cc178e9d04</t>
  </si>
  <si>
    <t>200292C01005</t>
  </si>
  <si>
    <t>9e280de6c39057e19c15c9693c67aa568b6c8bc712e9a0a19cb8ee29e9fceed8</t>
  </si>
  <si>
    <t>200293B01005</t>
  </si>
  <si>
    <t>f85f79b42df4644a42eb0d92046460c5bbe0b938db311c34c460f96d843c684f</t>
  </si>
  <si>
    <t>200293C01005</t>
  </si>
  <si>
    <t>edd633666e5d163fc65b80f0eee95ca003b89606abb23a4ffde6b6d179cadcb6</t>
  </si>
  <si>
    <t>200293C02005</t>
  </si>
  <si>
    <t>c0d377f25cadc4af15fc31a900f30f235afad84a6e84ec48d131430e07a3bf54</t>
  </si>
  <si>
    <t>200294B01005</t>
  </si>
  <si>
    <t>1c82e98c1a011b8ed7e0cdd4c567032ab2c69ace85d49f92216027f79d9bb008</t>
  </si>
  <si>
    <t>200294C01005</t>
  </si>
  <si>
    <t>298e667ad66ce9af36a4546ef7db8c91cc9f8785a3a2bf934340f4131c5780a7</t>
  </si>
  <si>
    <t>200294C02005</t>
  </si>
  <si>
    <t>ed63fecb8b65686435725c9a5caa9cebc4da2df7eded526b180c55ea4afab9b2</t>
  </si>
  <si>
    <t>200294E01005</t>
  </si>
  <si>
    <t>69dc7671f4b24b100beedf19d104a6f09e70f016174279bc2170f7917a18bf08</t>
  </si>
  <si>
    <t>200294E01015</t>
  </si>
  <si>
    <t>ede844ca93b139a2560395aa5272715f71278cdf9669552565d53f736e37bc78</t>
  </si>
  <si>
    <t>200295B01005</t>
  </si>
  <si>
    <t>003a6867ee94473999b053517579833264d322989ab89a348cdedf295f8f5246</t>
  </si>
  <si>
    <t>200295C01005</t>
  </si>
  <si>
    <t>aac5b1302d504d17c18cb42fcc01bfbdbf33c7e87515a0c8a3b5e882d17141d6</t>
  </si>
  <si>
    <t>200296B01005</t>
  </si>
  <si>
    <t>c9aa9880cc8d550e7500459ed299f1494233edaacdd065029a7244cbed9bd587</t>
  </si>
  <si>
    <t>200296C01005</t>
  </si>
  <si>
    <t>2df2c7ec99546f4188aede3a8e01c3b8ab47c7f826fb60088db0a1e40e397e83</t>
  </si>
  <si>
    <t>200297B01005</t>
  </si>
  <si>
    <t>e2cd3026280c206864bfcb65dbe23b42b5ebe7731636a183d66665beb989ce69</t>
  </si>
  <si>
    <t>200298B01005</t>
  </si>
  <si>
    <t>c6358c7406b5cc3117fe873e884148e28676d0eb897b08f13e82c353edf9796d</t>
  </si>
  <si>
    <t>200299B01005</t>
  </si>
  <si>
    <t>78901d847256610eee789c0fe09d44cb0d8d66b18f5e8e7ccacc316d49dd7f71</t>
  </si>
  <si>
    <t>200299C01005</t>
  </si>
  <si>
    <t>f950c5f3a5cdd50a16b0cb479010797a1931905e3d983fb4e5fbd0c121b5f699</t>
  </si>
  <si>
    <t>200300B01005</t>
  </si>
  <si>
    <t>d4a2fc01ac4400bd24b068a1da15703d0860376470eb82629248f58ca1563b7a</t>
  </si>
  <si>
    <t>200300C01005</t>
  </si>
  <si>
    <t>2019b46184d85cb3f23df9e468b60d27f31f09c8f244486015a49d24d4a8d6f6</t>
  </si>
  <si>
    <t>200300C02005</t>
  </si>
  <si>
    <t>60906d7dc63c2fb67abac772c624e872cc572b0b0066da5527fbbd2820b7978d</t>
  </si>
  <si>
    <t>200301B01005</t>
  </si>
  <si>
    <t>a1e443f8542f3531127dd0cdd8e11ca6553bfece9e878d00d6d2ece48a01a6ea</t>
  </si>
  <si>
    <t>200301C01005</t>
  </si>
  <si>
    <t>399c277b745f1831a32457c0b959451eeca4ae5bdb0bcd56e5c58d01310c6887</t>
  </si>
  <si>
    <t>200302B01005</t>
  </si>
  <si>
    <t>bfc15c70789c4791042afb74dd0f612d8d5338a031d3b23e8af6dee81447ca11</t>
  </si>
  <si>
    <t>200302C01005</t>
  </si>
  <si>
    <t>75cf5013110438a1be0982fd169f9e1b2f20afa10be5357c24faef1ca4fc778e</t>
  </si>
  <si>
    <t>200303B01005</t>
  </si>
  <si>
    <t>0102c9c98ebd4716757c1ad6e6e8103c27cf797f26ccd4298353dbc9f9d31b76</t>
  </si>
  <si>
    <t>200303C01005</t>
  </si>
  <si>
    <t>2bcc91955c2cc0009206acc46eacb4167bf03929044fd7a243eb8efa1aaf3e4e</t>
  </si>
  <si>
    <t>200304B01005</t>
  </si>
  <si>
    <t>914105d0fdc464457b6249aa4e1e98e907bd24f73d174f9ffedf9230090f5477</t>
  </si>
  <si>
    <t>200304C01005</t>
  </si>
  <si>
    <t>849043f3a25a0ee113df4aa22535ffde10099a67e32f3daef4fe4b1feb0921f3</t>
  </si>
  <si>
    <t>200305B01005</t>
  </si>
  <si>
    <t>78aa68a071b252c87624f8c535ed9e6e84b51a8b6a901151063105f0ea7972fe</t>
  </si>
  <si>
    <t>200306B01005</t>
  </si>
  <si>
    <t>8d87a5920f53ef14df067712cf53d5e846c2506addc7903111cebaec756c13d0</t>
  </si>
  <si>
    <t>200306C01005</t>
  </si>
  <si>
    <t>6c6282c24ea5c7f4775f835d2a3535cbd1f985af6dd583cd941bb69ef9a7fd79</t>
  </si>
  <si>
    <t>200307B01005</t>
  </si>
  <si>
    <t>95012c762b406f6420a8b47fbce16e64b748898e7465513cb1434c1e2b93c416</t>
  </si>
  <si>
    <t>200307C01005</t>
  </si>
  <si>
    <t>8122f71aac37a6c91f8b4218defc6ee4acbfe61359b286fda6a8220af1f41a30</t>
  </si>
  <si>
    <t>200308B01005</t>
  </si>
  <si>
    <t>644b3d77c111123d0e5577781deebf93cb1b24815296cef7a338972142057569</t>
  </si>
  <si>
    <t>200308C01005</t>
  </si>
  <si>
    <t>c69d06f24fde20c96a234e47998170e2f0f5407ff3cf1b62e956573355800831</t>
  </si>
  <si>
    <t>200309B01005</t>
  </si>
  <si>
    <t>f8d633381867df7f7f98e51c1d8bf1ffe4b8d33047e7927ce8c104fd1336fbfe</t>
  </si>
  <si>
    <t>200310B01005</t>
  </si>
  <si>
    <t>221b1a0a3c499edd786742f58bf8b5bb3c0a1afa7b2f978f04bf1721b5aa3d9e</t>
  </si>
  <si>
    <t>200310C01005</t>
  </si>
  <si>
    <t>77384a5f5eae7b50284c7d34428a675300ee7da7f988ad3b79e460caeceba38b</t>
  </si>
  <si>
    <t>200311B01005</t>
  </si>
  <si>
    <t>b7aa96e1402682d3f3e62ab5c6635dc760dac6c34768a83ef40e65d97b49b06b</t>
  </si>
  <si>
    <t>200311C01005</t>
  </si>
  <si>
    <t>841515b972fe7ed2e7033b9a690c7385bb9ef1ba8a25c90d0b39b2f479a48d11</t>
  </si>
  <si>
    <t>200312B01005</t>
  </si>
  <si>
    <t>8fdddd8ff801af53bd4b13fa2b56eae4b10b54b08283c78eadf50ec98ce22482</t>
  </si>
  <si>
    <t>200312C01005</t>
  </si>
  <si>
    <t>d466aff388bd43b9afa4c6969f5959774bea57838ffcde199e8cd06c2ea8ba77</t>
  </si>
  <si>
    <t>200313B01005</t>
  </si>
  <si>
    <t>8ce7ec264bf7af35bb5ee34b3cef9554690c441752e006ca0f5cb527e4d55c28</t>
  </si>
  <si>
    <t>200313C01005</t>
  </si>
  <si>
    <t>e6946cfd25571aeb3eb85d52e4df9fbf883d65225adf97b9f93a820778fd2686</t>
  </si>
  <si>
    <t>200314B01005</t>
  </si>
  <si>
    <t>483b8cf053970a1ee6d3a8fa403a9cbfd4a803c3fa5764bee039716f695cc98a</t>
  </si>
  <si>
    <t>200314C01005</t>
  </si>
  <si>
    <t>9d9344fb52b8d647c1dba5a7f361a8a1e0f4177b8ced7dedf217bbaed35c5afb</t>
  </si>
  <si>
    <t>200315B01005</t>
  </si>
  <si>
    <t>e3f7be644c3a108374ef7123eef9b7b63b626857e663ab6d1df733b63a9f9adc</t>
  </si>
  <si>
    <t>200315C01005</t>
  </si>
  <si>
    <t>c392f2a4536766a7a23adfdfa06a403e5dfceecb75f9d3d22eb76b6270a28839</t>
  </si>
  <si>
    <t>200316B01005</t>
  </si>
  <si>
    <t>825b42e3237f29d003def0123e3c445414685be3c112533123e06ac6d39f9696</t>
  </si>
  <si>
    <t>200316C01005</t>
  </si>
  <si>
    <t>dcaa8029c59c5d0322f0bfc5b10fb518dc2faf02a80bf6eb4f425b58a4134b59</t>
  </si>
  <si>
    <t>200317B01005</t>
  </si>
  <si>
    <t>0cc15db3c05a1eee2d32b2491b9be7c5f63a272d8865b572587dc0e1a51ba10b</t>
  </si>
  <si>
    <t>200317C01005</t>
  </si>
  <si>
    <t>ba23e69e12a46424c7bf927546f2fc01d3bef6998c563c29cbc2fde22f464642</t>
  </si>
  <si>
    <t>200318B01005</t>
  </si>
  <si>
    <t>0595333b0e50e3286777675ceac36890848b1e613ee9e70decaaca7c15e5e0ae</t>
  </si>
  <si>
    <t>200318C01005</t>
  </si>
  <si>
    <t>9b96a250711f9a284b647c2ffd133402faf540c74c32bafa921dd0469d516a79</t>
  </si>
  <si>
    <t>200319B01005</t>
  </si>
  <si>
    <t>1e0c5f50e5054c0e9f29d9191c511be1a16c68b898f1c0c7e053cd89a3a7916c</t>
  </si>
  <si>
    <t>200319C01005</t>
  </si>
  <si>
    <t>116baeaa18114872f206a419662ab0aaa610d7827c63c49ee3c9b5dec08402f5</t>
  </si>
  <si>
    <t>200319C02005</t>
  </si>
  <si>
    <t>3184cdd6d905d2bb70b5d516ece996c015474fa351bfe2414391929fb0e38786</t>
  </si>
  <si>
    <t>200319C03005</t>
  </si>
  <si>
    <t>bd15ebce4a732438f597e01a219cd7984ba33680d3b42457bdeaaf5a0ce1ea5c</t>
  </si>
  <si>
    <t>200319E01005</t>
  </si>
  <si>
    <t>2c5c91ea5e2e74cc2b1a3e9ef70d93ae7f9701546e32aaae909bd6790f5bff7c</t>
  </si>
  <si>
    <t>200320B01005</t>
  </si>
  <si>
    <t>eb748b16f064312b09b8095f398fa42aedfc4affd611111e8a47e256f63ce0be</t>
  </si>
  <si>
    <t>200320C01005</t>
  </si>
  <si>
    <t>269e732608165afc1b49c69277175c49de9cb6aa8023984b24812e05b96b4e63</t>
  </si>
  <si>
    <t>200321B01005</t>
  </si>
  <si>
    <t>dd818148400dab7bc8cfd77156b998ae04b67573ec12f78f82a9c7b46103abea</t>
  </si>
  <si>
    <t>200321C01005</t>
  </si>
  <si>
    <t>TODOS ILEGIBLES O SIN DATO</t>
  </si>
  <si>
    <t>61d7bd4c70f1e95ca9005775987b48074090121fe1b55bb8bef01e5ce0176a4c</t>
  </si>
  <si>
    <t>200321C02005</t>
  </si>
  <si>
    <t>62e67974b334b70646030bb9e818706225baacd4deb27b7e27d2f2e08f36e348</t>
  </si>
  <si>
    <t>200322B01005</t>
  </si>
  <si>
    <t>47fa7e882070248e80f1a1f9521d0ae8997e8ac38c16937b58d2f2be8e749f90</t>
  </si>
  <si>
    <t>200322C01005</t>
  </si>
  <si>
    <t>5f124ab43d004d2e9e83192c5ee5924707d52736fc4e01efe20021666824bfc8</t>
  </si>
  <si>
    <t>200322C02005</t>
  </si>
  <si>
    <t>279d6ca9f8098e8ac56fe26b63e46efc1fa31ff843640e815c545e6cdab3584a</t>
  </si>
  <si>
    <t>200322C03005</t>
  </si>
  <si>
    <t>b95280c6e7b9798ceb446160fe1961eb3c09e2896f07b88d8564004126f925a2</t>
  </si>
  <si>
    <t>200323B01005</t>
  </si>
  <si>
    <t>c5dcd8ae2ad6dbb9ef0223aa5d888c2f5b037424243d017daa9c2affea209150</t>
  </si>
  <si>
    <t>200323C01005</t>
  </si>
  <si>
    <t>b22295d4958f3f38329a0e0e04b17521dfa638c1c6902086647aab95ca790c8c</t>
  </si>
  <si>
    <t>200324B01005</t>
  </si>
  <si>
    <t>66892597402d4b70f001e7de2aaa671b3ec04f5e9eabf76337a8d53c2236c740</t>
  </si>
  <si>
    <t>200324C01005</t>
  </si>
  <si>
    <t>f1621e0710d3cecb7ee70c9ad4df8536fdd1a383f1ac0adc8049e4580d8b5d74</t>
  </si>
  <si>
    <t>200325B01005</t>
  </si>
  <si>
    <t>40310d5d8cca055df7b831dc19a77b8365f0f76ee0c74aac0bdcffe5f928f80c</t>
  </si>
  <si>
    <t>200325C01005</t>
  </si>
  <si>
    <t>79c49ca8bbaea91cae293d95576566b7f0a32dda67dd606ccdb631a5d3b34107</t>
  </si>
  <si>
    <t>200325C02005</t>
  </si>
  <si>
    <t>4bcf110d9951835c3f14d8dc52b03890d1062f70621b58cf2d29f9e6dd421afe</t>
  </si>
  <si>
    <t>200326B01005</t>
  </si>
  <si>
    <t>95f9d52a58d67baa23aded054789b4a0e90ad2d6772977eabebfd3d8e2f453a4</t>
  </si>
  <si>
    <t>200326C01005</t>
  </si>
  <si>
    <t>8e19ed831e6afac6da6ea5ab7e7e8fc38b1b1b757eed8955cfa010b3363aa1ed</t>
  </si>
  <si>
    <t>200326C02005</t>
  </si>
  <si>
    <t>55be1be9e9324825617958c45aa3384cc26e96f8671b8e74e2a145ed6a18a22f</t>
  </si>
  <si>
    <t>200327B01005</t>
  </si>
  <si>
    <t>8c0f69e77bf3702c32a74c0b5995b6cf151569480b4c95fc008ef6f32d1f722f</t>
  </si>
  <si>
    <t>200327C01005</t>
  </si>
  <si>
    <t>e55a41903148dfaecd09c850564e45597d8e2d187f16036c7d4fa9a154fdbfc7</t>
  </si>
  <si>
    <t>200328B01005</t>
  </si>
  <si>
    <t>76db450eb9b872a52b93604dee0b01536b3c3b5e48f90f27b5d68a14188edc4b</t>
  </si>
  <si>
    <t>200328C01005</t>
  </si>
  <si>
    <t>2b507fe9c120d2530c12692aaaa0ea3c788f0124486566a1dd96b803aea71af9</t>
  </si>
  <si>
    <t>200329B01005</t>
  </si>
  <si>
    <t>c241486ecbd4d677aafd60107e52d6781db4862134bab8eee4b0ed447f943ef8</t>
  </si>
  <si>
    <t>200329C01005</t>
  </si>
  <si>
    <t>3ad2787f866009bd37af9a27eac023ee5f6154c4bff90312bbec62167b4a2285</t>
  </si>
  <si>
    <t>200329S01006</t>
  </si>
  <si>
    <t>8050dd48cfb5f2697ac6c8a1a1b9a84baa6eb65f3829aa555e6c11c484f4f596</t>
  </si>
  <si>
    <t>200329S02006</t>
  </si>
  <si>
    <t>5933253e45bce5ded41b88ef5ea23a0b7e0bd509a83a0d145eaf81a3395b6da8</t>
  </si>
  <si>
    <t>200329S03006</t>
  </si>
  <si>
    <t>edd344b262d3e4b0299548bd055500785ee95167e54a1082cf7f2e4b10b1470b</t>
  </si>
  <si>
    <t>200331B01005</t>
  </si>
  <si>
    <t>443e6d094c04e5222398c9a87da0d8fc5300cad059f534df391573b52ee3de57</t>
  </si>
  <si>
    <t>200331C01005</t>
  </si>
  <si>
    <t>6f952162ce4cba9eb4c989fa872f52dd8d49bfd551f0e8b26cadb11a80047bc5</t>
  </si>
  <si>
    <t>200331C02005</t>
  </si>
  <si>
    <t>7d24580c6e16f633a55de7ced216bf59fd113f5efb04d9b517e5744f1b7ec226</t>
  </si>
  <si>
    <t>200332B01005</t>
  </si>
  <si>
    <t>3298565d6c9f45a084c3760ad6657acbe7d54d75e3a2999bb205de3ea0229edf</t>
  </si>
  <si>
    <t>200333B01005</t>
  </si>
  <si>
    <t>LOMA BONITA</t>
  </si>
  <si>
    <t>334b6c9f30637839344ece8736454182a7c522ebefd9bb9eaa8c5a26c632ef49</t>
  </si>
  <si>
    <t>200333C01005</t>
  </si>
  <si>
    <t>64ad95835554aed1463c40318b1907a0198302b8b5e81bd9711746633e5ff523</t>
  </si>
  <si>
    <t>200334B01005</t>
  </si>
  <si>
    <t>e4fa9141110abb608d0a3e7e72a2f2c36c2b8f4dfdb56d66ea03f62032b13ac3</t>
  </si>
  <si>
    <t>200334C01005</t>
  </si>
  <si>
    <t>0ffee26eccbd3aa1dd863883a60db508229a6d5d67c11d2bbc91d4d6c46c40e5</t>
  </si>
  <si>
    <t>200335B01005</t>
  </si>
  <si>
    <t>f9da9677c71d025e67976c4a39aba089a0e756106f8d7f9c17227635745f15e4</t>
  </si>
  <si>
    <t>200335C01005</t>
  </si>
  <si>
    <t>a64b79f9a60698cca90f724bd69c7e0336e4aeac917d0f16ebb751704a2f9fdd</t>
  </si>
  <si>
    <t>200336B01005</t>
  </si>
  <si>
    <t>d9028ff354c579f3ac1a0a2e655707221d096b3f7013f8884dbf6e3b530da7c5</t>
  </si>
  <si>
    <t>200336C01005</t>
  </si>
  <si>
    <t>def8a97d13aadfd03102db9eaf4c87efddab78e95023028bbe844dc8da2a5f47</t>
  </si>
  <si>
    <t>200337B01005</t>
  </si>
  <si>
    <t>5dd1c092e417a07ca1a2c96ab189bc2161ad8345e8fb9b0ce4d31f18d9be7b3f</t>
  </si>
  <si>
    <t>200337C01005</t>
  </si>
  <si>
    <t>8cde3ab228b9c367a93139751f0d66ecc6ce3bdaef9394b6a98e6bdb2c272688</t>
  </si>
  <si>
    <t>200338B01005</t>
  </si>
  <si>
    <t>4fbeec6498f03b816d528ee4e1670a7503a19e4da009564d408f39fbf532648d</t>
  </si>
  <si>
    <t>200338C01005</t>
  </si>
  <si>
    <t>69e779516a82e780464de3450882d0d3045a7e5daa6db65b5f7aeb1dcb35de95</t>
  </si>
  <si>
    <t>200339B01005</t>
  </si>
  <si>
    <t>61707469ccafc2f40677b818fc29af126e1295845751b2afc8f54261b2019f1d</t>
  </si>
  <si>
    <t>200339C01005</t>
  </si>
  <si>
    <t>9a7885f5d6078bd98efb96dbe3f00e75e6b8bb8d7e2a49f3ee9355012ae2d725</t>
  </si>
  <si>
    <t>200340B01005</t>
  </si>
  <si>
    <t>8d19f56d5b7e50ceb7ba3885fdba53019ad596721015091af51c59a163739183</t>
  </si>
  <si>
    <t>200340C01005</t>
  </si>
  <si>
    <t>c4fb2da1cbff97813198738a0d28aac4136593b6243740473c33e3301c5db94d</t>
  </si>
  <si>
    <t>200341B01005</t>
  </si>
  <si>
    <t>d42d91be302946d08ea6752b94aeb840002c6e8e844257606a0f5d80d9c44668</t>
  </si>
  <si>
    <t>200341C01005</t>
  </si>
  <si>
    <t>3eac19ffffdf065c7d2d38c202f046405d40c3e673772bec92d934ee25b300c8</t>
  </si>
  <si>
    <t>200341C02005</t>
  </si>
  <si>
    <t>109671b6ae9d0ae7d22118a34756a97809e82fa67152262e5a39b876e02d74ae</t>
  </si>
  <si>
    <t>200342B01005</t>
  </si>
  <si>
    <t>e67a27ba3e4e928bf1c646f299f602ca3ffbc6999aac3cf9dfa89bc8042fae46</t>
  </si>
  <si>
    <t>200342C01005</t>
  </si>
  <si>
    <t>e3e7ca2833f85b16d345391582510b67c54de18010ba032a995962d1fab843ce</t>
  </si>
  <si>
    <t>200343B01005</t>
  </si>
  <si>
    <t>e3dad669aef663927ff542e6d6a573cfecc34d00ab43ca6b6d50fcfc7f240aa0</t>
  </si>
  <si>
    <t>200343C01005</t>
  </si>
  <si>
    <t>640098ba47ec2962c943c3234c2b3173a73695583b4682e79b27960cac16fb9d</t>
  </si>
  <si>
    <t>200344B01005</t>
  </si>
  <si>
    <t>e5113aabbd1bc944e9feb73f25f495ef20794f3e14e50298b87e75c6631f8a20</t>
  </si>
  <si>
    <t>200344S01006</t>
  </si>
  <si>
    <t>436e7887aceb7a5320f89871119bd01533f968b46189d086c3af55c3efee086a</t>
  </si>
  <si>
    <t>200345B01005</t>
  </si>
  <si>
    <t>6d9fcd28fbe75ae7cd49090cccb061d692d9bad21039620eac25f41e092d392e</t>
  </si>
  <si>
    <t>200345C01005</t>
  </si>
  <si>
    <t>ae855906a7f4645c48d84ae42be7179d0d3421e2e3c193d60eaf8f46f32b9235</t>
  </si>
  <si>
    <t>200346B01005</t>
  </si>
  <si>
    <t>e2fd39e3826a2af5ac37749f049ee68141657d89925197ba39d93d95017abbac</t>
  </si>
  <si>
    <t>200347B01005</t>
  </si>
  <si>
    <t>ec1adf6ab692a554e3f5c37963aa27dcd513a43e7c3b973ed9259ee7c070dc77</t>
  </si>
  <si>
    <t>200347C01005</t>
  </si>
  <si>
    <t>1b33ed927bd8fa95cc0d1d2358ab0201879635fece66bde4a7e44690dd3e2a36</t>
  </si>
  <si>
    <t>200348B01005</t>
  </si>
  <si>
    <t>aeacfce757d2f7743a09caecae4efed6bdb155120a7414f45697768c3240d224</t>
  </si>
  <si>
    <t>200348C01005</t>
  </si>
  <si>
    <t>ecb68a60ec6d17ae9d86dd553fc16b16c167b48043f456e5da9a95c43819887c</t>
  </si>
  <si>
    <t>200349B01005</t>
  </si>
  <si>
    <t>5f3960a4628a138f009894748e2420d4dd9c82f8b4dd3bffb5693654153ec8dc</t>
  </si>
  <si>
    <t>200350B01005</t>
  </si>
  <si>
    <t>43e6a97d8f5c05ddafa6852996fc83ef4e9aa3729b9cc2ccb740df213a063d8a</t>
  </si>
  <si>
    <t>200350C01005</t>
  </si>
  <si>
    <t>08e16027170869cb9f85f20b13aac4f4e07b2f7b24037fd6d5817325f05ab433</t>
  </si>
  <si>
    <t>200351B01005</t>
  </si>
  <si>
    <t>056b1f6c5c14b679c6dffeaf3202f865da4d8f5aa29d3bd660faf026cc198b92</t>
  </si>
  <si>
    <t>200351C01005</t>
  </si>
  <si>
    <t>87c7b90cf4561f1b62024a6bb50a9f66b7db5e995ebe4b23e50b10476e2b5d1b</t>
  </si>
  <si>
    <t>200352B01005</t>
  </si>
  <si>
    <t>8d7efab4c38c4af1de1d8b5a4de6dbfc6305b28e0060e9e4fb594fbc0d122dae</t>
  </si>
  <si>
    <t>200352C01005</t>
  </si>
  <si>
    <t>17a60f54cfdc27d64b788ae162055673eac4772fd8fba61f9e4a722e7773877f</t>
  </si>
  <si>
    <t>200353B01005</t>
  </si>
  <si>
    <t>5cdff31b973759eafb6d73760c8b253769a31729b26c951d542a17425850b8cc</t>
  </si>
  <si>
    <t>200354B01005</t>
  </si>
  <si>
    <t>1c304dca351bf8dffe15e28024591b7d525597795717f458f93ed8fedaa8571a</t>
  </si>
  <si>
    <t>200354C01005</t>
  </si>
  <si>
    <t>9fb0a10bba527fa8c87ffa3c3e52766d7eb045431162fa0b56951526283626b4</t>
  </si>
  <si>
    <t>200355B01005</t>
  </si>
  <si>
    <t>e2ca69825769cf3f29349e0564d4183da0d7c96c39eb4fe6de076d643743085e</t>
  </si>
  <si>
    <t>200355C01005</t>
  </si>
  <si>
    <t>714a57794bffad4a05ffd2d70af8fcd677154169a32e65591e113f39581533da</t>
  </si>
  <si>
    <t>200356B01005</t>
  </si>
  <si>
    <t>38b2298fa5dcfc729a12d47dc88bddcadfd3c2b802624bd364aa35162b99fbdf</t>
  </si>
  <si>
    <t>200356C01005</t>
  </si>
  <si>
    <t>6dfd442f0c86d6168830cb268cd54800b668c47aea1db6141662b3bf92ccf8a1</t>
  </si>
  <si>
    <t>200357B01005</t>
  </si>
  <si>
    <t>f61290297ee8a963ed800fd76d6f8ef3b90a8690eda1a81db0e2d206df35cee3</t>
  </si>
  <si>
    <t>200357E01005</t>
  </si>
  <si>
    <t>1dde1c04f9eb198e7312ad5275e9e480018e5060300e217585b602deae4b45c9</t>
  </si>
  <si>
    <t>200358B01005</t>
  </si>
  <si>
    <t>67de693e2a276a06cf5d411221ee71edc23988f5fb88415716518f90f779fe37</t>
  </si>
  <si>
    <t>200359B01005</t>
  </si>
  <si>
    <t>b0ffd3e0e08f22016787155a489d200c7292b0aabfab14b95ae616669aa31778</t>
  </si>
  <si>
    <t>200359C01005</t>
  </si>
  <si>
    <t>6191c333c49f589af6849e3d2d0a7c5d6ea948c39d9d37eb832778da0b28a71f</t>
  </si>
  <si>
    <t>200360B01005</t>
  </si>
  <si>
    <t>2ae70825f7c5655511c68aef478d05dd5a8f439f26c28e190775fda8da39fe48</t>
  </si>
  <si>
    <t>200360C01005</t>
  </si>
  <si>
    <t>9976f5d590a366d190ab0f99de1e1bb4c477393719250e5fabcc7aecc14f9a9b</t>
  </si>
  <si>
    <t>200361B01005</t>
  </si>
  <si>
    <t>f2abecff93a7e3627ea4564148e235c984fa7350e98cd31fe7bd79a348e41b14</t>
  </si>
  <si>
    <t>200361E01005</t>
  </si>
  <si>
    <t>f8a89eb23c6011ef97d11e57317b90a5f6133af10871b37619d796b0efbcd6c0</t>
  </si>
  <si>
    <t>200362B01005</t>
  </si>
  <si>
    <t>3fe477b1765578aed97c87f375ebfe905c272613c0e3044a2d0e47c76c302bd2</t>
  </si>
  <si>
    <t>200362E01005</t>
  </si>
  <si>
    <t>05842011f6661c3c7f0087564dab22de8396a98238533aabce840536212369a6</t>
  </si>
  <si>
    <t>200363B01005</t>
  </si>
  <si>
    <t>c42fdfc45c45cfc7f565cab19b5e1fdadaa1a316b95395b93861d4dbbfb76a01</t>
  </si>
  <si>
    <t>200364B01005</t>
  </si>
  <si>
    <t>d72ba7d29d2f9d49f39928980291938b89e67fb1b91584bb4f8a2b291ad6f6b6</t>
  </si>
  <si>
    <t>200374B01005</t>
  </si>
  <si>
    <t>MAGDALENA OCOTLAN</t>
  </si>
  <si>
    <t>5e5eb10a9c567d7f9ba79c9668b9b4076baef4a628beff2a4145c0200a666c07</t>
  </si>
  <si>
    <t>200374C01005</t>
  </si>
  <si>
    <t>d309d82740d14f4fe92e8965b1f05c8d741513443594e01b7a828cfa992f2666</t>
  </si>
  <si>
    <t>200380B01005</t>
  </si>
  <si>
    <t>MAGDALENA TEQUISISTLAN</t>
  </si>
  <si>
    <t>3d75e2f61f4f1802995f5cc1d0ea61988606829f865106674c61880320a1e7ea</t>
  </si>
  <si>
    <t>200380C01005</t>
  </si>
  <si>
    <t>8e5ae860c206cada8189b6a0ad1da4dc9e5e2451db4e412541207ac18cb12357</t>
  </si>
  <si>
    <t>200381B01005</t>
  </si>
  <si>
    <t>3421c0a2eb80a2d052a905c8cc0e20b50e538fdca83d40f62f6e79498e6aa5cf</t>
  </si>
  <si>
    <t>200381C01005</t>
  </si>
  <si>
    <t>89201d50aebe35f5bf2413a1f98515b3ff4c105a95c179da3234b617ea0a975f</t>
  </si>
  <si>
    <t>200382B01005</t>
  </si>
  <si>
    <t>575d031bc011fa699a7e9a3a14f47042cc979538244721ceddcc1db52e991ed2</t>
  </si>
  <si>
    <t>200382C01005</t>
  </si>
  <si>
    <t>6f9d3edde45a29ccc9982cbe78bb9b68c40171f689a95f62c07a480fced02afa</t>
  </si>
  <si>
    <t>200382C02005</t>
  </si>
  <si>
    <t>92b6f46b7555c400934784883adc1a1ae6b32150f12d19c58588171937bbd0e4</t>
  </si>
  <si>
    <t>200382E01005</t>
  </si>
  <si>
    <t>cae9f8238eea7e1f1152c64606f650c9d96045ff4e97e1d73dddfe7cf09819a1</t>
  </si>
  <si>
    <t>200383B01005</t>
  </si>
  <si>
    <t>5cf679e7d2124d21a62d45d3f7754dabdd34630b7363d160bc8797e67cde02dc</t>
  </si>
  <si>
    <t>200384B01005</t>
  </si>
  <si>
    <t>fdc764a3875e3b554ad41d7e66e9cf9043de88a9bd129914307c24cadedb3ada</t>
  </si>
  <si>
    <t>200385B01005</t>
  </si>
  <si>
    <t>f5742084ff00143a09a3a277ef750bade0e7e3b807be1d2a1584336ddf5d60e9</t>
  </si>
  <si>
    <t>200386B01005</t>
  </si>
  <si>
    <t>MAGDALENA TLACOTEPEC</t>
  </si>
  <si>
    <t>3fb0eb8dc5173c71d98c35f56791809537acb52cb02de176895797e3d5b5cbf6</t>
  </si>
  <si>
    <t>200386C01005</t>
  </si>
  <si>
    <t>e6c5791584e73cdae567428222cb55d476a3b90868fa67d5d9c1a44185eabac5</t>
  </si>
  <si>
    <t>200389B01005</t>
  </si>
  <si>
    <t>MARISCALA DE JUAREZ</t>
  </si>
  <si>
    <t>06752c9a91e5c8df2046cb41cca7db956eae141c84ae1d44d26c782cb44d4c7b</t>
  </si>
  <si>
    <t>200389C01005</t>
  </si>
  <si>
    <t>d47909fd9cf9b310818f20fb67bf81137358a5b05581120a0425f128fdda2576</t>
  </si>
  <si>
    <t>200390B01005</t>
  </si>
  <si>
    <t>62ca815fc2adf032cf88e71eb9c28ec561fa68c3aebeee1be70e965fe963553f</t>
  </si>
  <si>
    <t>200391B01005</t>
  </si>
  <si>
    <t>c3668111dcef47b07bfd08103dae1c6ed0a8c653ca2b085eb171fd42752e67d0</t>
  </si>
  <si>
    <t>200392B01005</t>
  </si>
  <si>
    <t>4d1ba5d521d7e99304cc6c2722739c9c93328f333b1d5c1024e664c516063380</t>
  </si>
  <si>
    <t>200393B01005</t>
  </si>
  <si>
    <t>b26e8a23dfb0170ee060bbb74a90984769a635c3e6df00645d2c52471ac31924</t>
  </si>
  <si>
    <t>200394B01005</t>
  </si>
  <si>
    <t>ad1b17f8ff02d5dbf54f4189a045905b5c2cf2ed0d2feeca44c25c540a0a63c6</t>
  </si>
  <si>
    <t>200395B01005</t>
  </si>
  <si>
    <t>af63b34bc2de47705073939a7601b64eaa7fb7a2a25b2e50804fe72e529d2c1e</t>
  </si>
  <si>
    <t>200396B01005</t>
  </si>
  <si>
    <t>MARTIRES DE TACUBAYA</t>
  </si>
  <si>
    <t>d8eac50ecef06420d30cdd77ba31abb94422de5f694e341b0d8bc717126bab35</t>
  </si>
  <si>
    <t>200396E01005</t>
  </si>
  <si>
    <t>b5e362991d184f1a61e57283e8514022d77ec1691e5f86bee3187771c9acc792</t>
  </si>
  <si>
    <t>200397B01005</t>
  </si>
  <si>
    <t>MATIAS ROMERO AVENDAÑO</t>
  </si>
  <si>
    <t>edb0afdc2c3e9c872273035bec2ea0ec6db7c88a509cafa0bab090e6153d6595</t>
  </si>
  <si>
    <t>200397C01005</t>
  </si>
  <si>
    <t>67ccd0badce446fd22cbd2e21e83a2bae8adc8372c6b54ff4fa4cb9d40640d48</t>
  </si>
  <si>
    <t>200397C02005</t>
  </si>
  <si>
    <t>cb4c7028fb2f1f9b8fcbb044d81013fdfd8fb1b6bfba108426c06fb28fc90e2e</t>
  </si>
  <si>
    <t>200398B01005</t>
  </si>
  <si>
    <t>daea84770c313d92fe17233dbecafde473643b106ed70a5a036eccfb1e520a03</t>
  </si>
  <si>
    <t>200398C01005</t>
  </si>
  <si>
    <t>c7658062760f8726ccf62a12cc2b97d221bd83bf5f6d719382c411b3a2cf5897</t>
  </si>
  <si>
    <t>200399B01005</t>
  </si>
  <si>
    <t>e103a98e0fa437ffb262a3d3e68e462828c4cdc3de7da25788b200533fa6a4d9</t>
  </si>
  <si>
    <t>200399C01005</t>
  </si>
  <si>
    <t>6cf3e1575e1b60a7028bcac6b95f92d9872d4c49f3445416bfee86b85d81879a</t>
  </si>
  <si>
    <t>200400B01005</t>
  </si>
  <si>
    <t>24986f506d6c9ee548d8071045f21bb6025fd27500906708029ba108bd6124f1</t>
  </si>
  <si>
    <t>200400C01005</t>
  </si>
  <si>
    <t>07d34899ec16de3d592428059fa29831cd253045372dc63e736040f814fa7afa</t>
  </si>
  <si>
    <t>200400C02005</t>
  </si>
  <si>
    <t>105420e6c88b1bf48fe8794f0647db3695c6ba3d9de6a76eccbe727120e4d833</t>
  </si>
  <si>
    <t>200401B01005</t>
  </si>
  <si>
    <t>6f587c2523e4bf9a00a874434cbdfc821d426c5b0a6d91415bb1dcdb50cdcc95</t>
  </si>
  <si>
    <t>200401C01005</t>
  </si>
  <si>
    <t>69153968096b9fe47655eaf74e1ee3a58ee37561fc306a6bbd271318bd9c17dc</t>
  </si>
  <si>
    <t>200402B01005</t>
  </si>
  <si>
    <t>5d29ee87a8bbecb76b70e36d7daa4dcaf5feea0847273753db664b9bd1537763</t>
  </si>
  <si>
    <t>200402C01005</t>
  </si>
  <si>
    <t>e7b3509e0be80e944fe762bb1473cb2092cab139f193a5720cca4aa2058d3463</t>
  </si>
  <si>
    <t>200402S01006</t>
  </si>
  <si>
    <t>12c3e1e40d0fa9b6b94e49031206845c694c33a74ba4f55fcdfcd6e0814cc23c</t>
  </si>
  <si>
    <t>200403B01005</t>
  </si>
  <si>
    <t>089f4632298ff719199903a00a73ddd4593b89dcbeaea6635c1f34840e0852a7</t>
  </si>
  <si>
    <t>200403C01005</t>
  </si>
  <si>
    <t>e8786c3ce2041c42c7feea1b061efb7196a92e1319499d9debfe24b5d225e111</t>
  </si>
  <si>
    <t>200404B01005</t>
  </si>
  <si>
    <t>9425017e619667db835f1c25b32db691069288f8ddb5494d8707c2c137482937</t>
  </si>
  <si>
    <t>200404C01005</t>
  </si>
  <si>
    <t>62936712a1f8dfc3d522bec405a7a9259cd027b03d1616b4c33323faa61b6945</t>
  </si>
  <si>
    <t>200405B01005</t>
  </si>
  <si>
    <t>e5048bcc22a84be1d527b6e95b3f635a5a8a3d69da51a050d72c8987f93e1272</t>
  </si>
  <si>
    <t>200405C01005</t>
  </si>
  <si>
    <t>ffbfe0e867fae8e152e28a9e4e21873b7f83dbd5f2445c25f7bea24c199044fc</t>
  </si>
  <si>
    <t>200406B01005</t>
  </si>
  <si>
    <t>23558708397c7699316d8d02938187973d56612b19b8a0c5e1ffd0da62c6f7ec</t>
  </si>
  <si>
    <t>200406C01005</t>
  </si>
  <si>
    <t>0072f694c49231ce0581549fa5d5a98301372d2d7bf9dc84ecf14475747cd1e3</t>
  </si>
  <si>
    <t>200407B01005</t>
  </si>
  <si>
    <t>59a357f9e332fc70c3ed9a2f9385be6e0d4843aedf3a6287f5bda94644db9081</t>
  </si>
  <si>
    <t>200407C01005</t>
  </si>
  <si>
    <t>b8aa0e079e505dd62bc2ff43cb4f98d870758e05c1bc2297b1b98a4bfa96ff03</t>
  </si>
  <si>
    <t>200407C02005</t>
  </si>
  <si>
    <t>ac7b041498efc944f59ce9eef3197b57bb6b9cf3ac885bf611f56a9d43c98bbb</t>
  </si>
  <si>
    <t>200408B01005</t>
  </si>
  <si>
    <t>9d98dbf1e6c97f2663892c730b100f1d40393bc26fd4d7412a306eeeb74705ac</t>
  </si>
  <si>
    <t>200408C01005</t>
  </si>
  <si>
    <t>6e5e1afd88be91c7276fb3c61d8ea7418015fd726b69ccfb4dfbbace998a0e59</t>
  </si>
  <si>
    <t>200408C02005</t>
  </si>
  <si>
    <t>4c7b332ed8542817c12b3ece34bd4f979bb5803d204bad2e1a2ce4e5b0c3e7a1</t>
  </si>
  <si>
    <t>200409B01005</t>
  </si>
  <si>
    <t>a8a96bcc360898482383de42fa4972c65f7f888a7aabcfec764930d904466763</t>
  </si>
  <si>
    <t>200409C01005</t>
  </si>
  <si>
    <t>81d57326e43fc9434a3e72666839de727016083176ece4b230b89b70701558f0</t>
  </si>
  <si>
    <t>200409E01005</t>
  </si>
  <si>
    <t>780e91840c9349b49f1c72b034267216a31265f31b33438abf26ecf8cc9a2e76</t>
  </si>
  <si>
    <t>200410B01005</t>
  </si>
  <si>
    <t>a706350d0c77a17120aa455c1e150d67537d2270f73d367a19a11e904b186748</t>
  </si>
  <si>
    <t>200410C01005</t>
  </si>
  <si>
    <t>5d5a7bfc976dcefa356768b8a96df09a5a66459481fc8e73d4b7bcbb3f59a034</t>
  </si>
  <si>
    <t>200411B01005</t>
  </si>
  <si>
    <t>f72752cc67e3cf1f33020ed3162e37a241cc59a3fe829a4d3333429cee1adbf2</t>
  </si>
  <si>
    <t>200411C01005</t>
  </si>
  <si>
    <t>8308698d9c5a1bddac966318c3237d7663209a2cf01672723ad6557e9bb10af3</t>
  </si>
  <si>
    <t>200412B01005</t>
  </si>
  <si>
    <t>642637c988e47e65e8a0bf9fd930791371d43c9daa551bacebfacdaaff041f69</t>
  </si>
  <si>
    <t>200412C01005</t>
  </si>
  <si>
    <t>452a4d6371ceb7c3da7a5d04739f3c6bfe1f488cea7b908ac9d4adc5236a61bf</t>
  </si>
  <si>
    <t>200412E01005</t>
  </si>
  <si>
    <t>2553cfc9977f99731ea25059fb617516a10f9eced49805927ea70d23c8bc8a5e</t>
  </si>
  <si>
    <t>200413B01005</t>
  </si>
  <si>
    <t>ec5419dec38d9cd3b97a0b84ad1eea6b682403ab2bc4d6b40f1eecfc30422458</t>
  </si>
  <si>
    <t>200414B01005</t>
  </si>
  <si>
    <t>9350c7c4d44f42ca4f88a42283a61f5c00cc7b8dae2d350319ad607644ffca0c</t>
  </si>
  <si>
    <t>200414C01005</t>
  </si>
  <si>
    <t>ac51f7dba2d4a920fd559b47a3fee68f55bf3c07252282165be4cf59fa8aa9e8</t>
  </si>
  <si>
    <t>200414E01005</t>
  </si>
  <si>
    <t>c6d7786b33983787a1802454c77ec36bace7dd9a330c634a05ef674987c68bf6</t>
  </si>
  <si>
    <t>200415B01005</t>
  </si>
  <si>
    <t>9ae631990a73f18275b01483949cac170e3317d4f8f2a49b4f3a6084c8fddb31</t>
  </si>
  <si>
    <t>200415C01005</t>
  </si>
  <si>
    <t>358e928b137564a51a32edc4d6c5d6c737bf2b0b0912d6ef99333dfec5fc9ad8</t>
  </si>
  <si>
    <t>200415C02005</t>
  </si>
  <si>
    <t>b6c604bc54d4f65f322b4d1a8be83827ab1c5e39bef4da4c680b2135805a2fbf</t>
  </si>
  <si>
    <t>200416B01005</t>
  </si>
  <si>
    <t>96044a5e76b22ae36c36371c73e6f7acd0e7ec7d6b8a6d95fb09ef3d9002886f</t>
  </si>
  <si>
    <t>200416E01005</t>
  </si>
  <si>
    <t>6e06789cb1dfcc6c2be746b46e4569c452c1d292dd4221b6c4181194f01bee8f</t>
  </si>
  <si>
    <t>200417B01005</t>
  </si>
  <si>
    <t>4821160b0826a68cf8d049b3cc03df60dcfdd2bc04d27ae496c5f2ef83b12f8e</t>
  </si>
  <si>
    <t>200417E01005</t>
  </si>
  <si>
    <t>798676bad7171ef758fa47adb999cd76f46dac809fcd06c0761c0e5c82a4ba86</t>
  </si>
  <si>
    <t>200418B01005</t>
  </si>
  <si>
    <t>77313fd769ac9dccfd5c434c5a5145a25d8040de5f47604d6298cadf01add657</t>
  </si>
  <si>
    <t>200419B01005</t>
  </si>
  <si>
    <t>3f06652fd08923845f2f1ee4cd2d528a5447ffda61a0a127d707716c5e9693d9</t>
  </si>
  <si>
    <t>200419E01005</t>
  </si>
  <si>
    <t>e721e2477e083639beacc8807b54d85044aca75eeef9bc9fb359135d94801671</t>
  </si>
  <si>
    <t>200420B01005</t>
  </si>
  <si>
    <t>3fbd54eae519e434b37f826191e8e81b6bc8807f8a01cf2d1aea8cb01248d677</t>
  </si>
  <si>
    <t>200420C01005</t>
  </si>
  <si>
    <t>828d30a5a586f21c7f9a415c6d0e4af8765115eabb4028cb7060011a45597e46</t>
  </si>
  <si>
    <t>200420C02005</t>
  </si>
  <si>
    <t>b8f763c2f4a11bca6bfea0c6ac0ef9ac7065a05262e7b0e05f40fafecf8447ed</t>
  </si>
  <si>
    <t>200420E01005</t>
  </si>
  <si>
    <t>6bd861e28547ca7e0a9546c946f1ffa187302497089008a2d875c64e317eb6ef</t>
  </si>
  <si>
    <t>200421B01005</t>
  </si>
  <si>
    <t>5dcb9df2cd28b7b6e1e1468d9a2dce75d0d52f35251c00781c09e4a8302d5af9</t>
  </si>
  <si>
    <t>200432B01005</t>
  </si>
  <si>
    <t>MIAHUATLAN DE PORFIRIO DIAZ</t>
  </si>
  <si>
    <t>87cd43f3932dae37d3a575be2b53866d4b727732f8b7be6af6e467a7d6405087</t>
  </si>
  <si>
    <t>200432C01005</t>
  </si>
  <si>
    <t>af9345ee1c842015042471192cc43f1ef8098ece09867f46866e941d1bb0cc94</t>
  </si>
  <si>
    <t>200432C02005</t>
  </si>
  <si>
    <t>87aeebaf6f77e19b0c73c8f6f768467dbb9297bfd09a2ffc9db2cf3543821508</t>
  </si>
  <si>
    <t>200432E01005</t>
  </si>
  <si>
    <t>779abf71862d094f65b82b147f8aa6d4a580aac47c34fd063a423ca16ac6d716</t>
  </si>
  <si>
    <t>200432S01006</t>
  </si>
  <si>
    <t>ad24770d5ec0d993aab5afc3eb851b0ddff66f1567e16c5f871547305e872d72</t>
  </si>
  <si>
    <t>200433B01005</t>
  </si>
  <si>
    <t>c8e742cd6c249bbfc81ce74bf5f3190381b73107cf14549eb97301adf1c5725c</t>
  </si>
  <si>
    <t>200433C01005</t>
  </si>
  <si>
    <t>f8c6014903be0559ff09685538440c830956f03839696936d8055c2d29802235</t>
  </si>
  <si>
    <t>200433C02005</t>
  </si>
  <si>
    <t>8a753fbead6d6a4b3bd466bbb615a679e15ae823e262f8dbf2019455bcaf8e50</t>
  </si>
  <si>
    <t>200433C03005</t>
  </si>
  <si>
    <t>9f5989ef7b0cb750aceb9e754cd6afe00989bd4a134acb9dac947f007e2c0ede</t>
  </si>
  <si>
    <t>200433C04005</t>
  </si>
  <si>
    <t>ee344aa481c36be4f1e748dfe06dc47f9f1c94e3c6036c8aa72260b2a9df877e</t>
  </si>
  <si>
    <t>200434B01005</t>
  </si>
  <si>
    <t>2783b084bd0aa0c4a743275bc44d812b6265b1331f89d0eafb3d0a97a612f2e1</t>
  </si>
  <si>
    <t>200434C01005</t>
  </si>
  <si>
    <t>0420746bc1e6b3749b1d5eb54e6031a10b81ea5e05498ab8df9ad941a023bbb9</t>
  </si>
  <si>
    <t>200434C02005</t>
  </si>
  <si>
    <t>2fd082903905f9542e2a1189db38b5469aa4645a5774a32864f6e87e6766702f</t>
  </si>
  <si>
    <t>200434E01005</t>
  </si>
  <si>
    <t>ad1bf64fab97d7f51b1c12e7d032678ed06e86bc1e8699f12feb4287718640e2</t>
  </si>
  <si>
    <t>200435B01005</t>
  </si>
  <si>
    <t>47c6b7c07df44ec72d893de609a8b40e76e5ca29948c1a4631e5fbe36be98bb9</t>
  </si>
  <si>
    <t>200435C01005</t>
  </si>
  <si>
    <t>f1f5d129155399a7a2a3164ca3afc0ac6626d22141a70381fe2b0ade1952568d</t>
  </si>
  <si>
    <t>200436B01005</t>
  </si>
  <si>
    <t>e8d775e8998ca7a682c9a9b4b87683800067c203fcb401e9c12be773e39c144c</t>
  </si>
  <si>
    <t>200436C01005</t>
  </si>
  <si>
    <t>c18653b2b1b7db7c60c5eca11ce25e8b2cb1b588a7015ce3404c31e12303b7eb</t>
  </si>
  <si>
    <t>200437B01005</t>
  </si>
  <si>
    <t>045e417c500ce2f94c9dbcd67ee7744b1f7e0cdb1b514ed2cce4d3bbf0eb80db</t>
  </si>
  <si>
    <t>200437C01005</t>
  </si>
  <si>
    <t>83fff2c2c59282cd2b354e792ccaf53ee4ed8a32487c0123ef22b3eef257ab9d</t>
  </si>
  <si>
    <t>200437C02005</t>
  </si>
  <si>
    <t>bc681c45713fff47a9e91481b7eb822710dd9186d9434f87d527aeb9d4a30f7c</t>
  </si>
  <si>
    <t>200438B01005</t>
  </si>
  <si>
    <t>3c85e566a92519bc372d79f3dec445119d3f98f9c130b03624ee56700b4492e1</t>
  </si>
  <si>
    <t>200438C01005</t>
  </si>
  <si>
    <t>36ace799e492e56a4fb127fc11520f81314920b209de4ffe5aa08b6c41001678</t>
  </si>
  <si>
    <t>200438C02005</t>
  </si>
  <si>
    <t>cf7136135f5eec8719829cc26052fe28f76836688f21769145d62cff2688ce4a</t>
  </si>
  <si>
    <t>200438C03005</t>
  </si>
  <si>
    <t>31c48c14024a6bfdddf4118d88799302ea4bd9020b7d7d3f334891a8b3dae497</t>
  </si>
  <si>
    <t>200439B01005</t>
  </si>
  <si>
    <t>5fac9ccbc4a7970706cc1f1899ff422138100e6d91aff1da6242f6dc4736ae37</t>
  </si>
  <si>
    <t>200439C01005</t>
  </si>
  <si>
    <t>935bbffea3179f8003f6706bf2c60e1dc918076582b1c24506cfc39098f048a9</t>
  </si>
  <si>
    <t>200440B01005</t>
  </si>
  <si>
    <t>d8a9b89fde186d017305371ae72b48699b6ca89d207ec98573bc3f1f940a079e</t>
  </si>
  <si>
    <t>200440C01005</t>
  </si>
  <si>
    <t>bf21ae29bef687678f7c5722f46d309115b90261d512c1ed6ab327d62854b7af</t>
  </si>
  <si>
    <t>200440C02005</t>
  </si>
  <si>
    <t>3bd0f69d61058f56ed384861b38cea14709d596cb04b9b634435af9a192ad808</t>
  </si>
  <si>
    <t>200440C03005</t>
  </si>
  <si>
    <t>6af725365b8026445b7242b1842d854acb17024effadf518d1bfb5e372a97df5</t>
  </si>
  <si>
    <t>200440S01006</t>
  </si>
  <si>
    <t>8e047550c5a8b9535b5430966be20d946c2103acf9edf5943687d9a683a951fe</t>
  </si>
  <si>
    <t>200441B01005</t>
  </si>
  <si>
    <t>24d1956fa30e68105c9be410089a7cc5abe6c42b2ff30018288a8ac9426b6292</t>
  </si>
  <si>
    <t>200441C01005</t>
  </si>
  <si>
    <t>1c801d7793b92b872eb688f150e681f2df9f0e63f886f6307eafcb9670b27fef</t>
  </si>
  <si>
    <t>200441C02005</t>
  </si>
  <si>
    <t>8b930e589b6e8fd8085d05092bd5ad2cc4ffa75fdc58a87c0e98e4720bffb999</t>
  </si>
  <si>
    <t>200441C03005</t>
  </si>
  <si>
    <t>3d539be468b37682ddd509e25e1b0f8bd7ee26d8f3777899a97bc75608dbb979</t>
  </si>
  <si>
    <t>200441C04005</t>
  </si>
  <si>
    <t>e80b4aebaed67e9a6aa6fec0fcf9af2d8feab6f901a663deb19a2e422214b1a2</t>
  </si>
  <si>
    <t>200442B01005</t>
  </si>
  <si>
    <t>ca3047cd9dc55bc5f695b1fb3a377d4ae0a56ef932fbd52f9de16b2101b808a3</t>
  </si>
  <si>
    <t>200442E01005</t>
  </si>
  <si>
    <t>b8f52a7b0f4ac0f8b45876c562ec3f82065cac12d9cbd8ccbcc4849066cc0466</t>
  </si>
  <si>
    <t>200442E01015</t>
  </si>
  <si>
    <t>15f3ec6f4fb83689d5d927624cfc6ee847770f283157dc6ff7352c90800ef308</t>
  </si>
  <si>
    <t>200443B01005</t>
  </si>
  <si>
    <t>d79b6d01bec043e67c3ca920c4ab26f76cf1b973d51a978e24fc873fe108f794</t>
  </si>
  <si>
    <t>200444B01005</t>
  </si>
  <si>
    <t>d44c2e8cba4aecfa2c09965fc1ac19f6a37b86c3e443710d3a0217b628b7b564</t>
  </si>
  <si>
    <t>200444C01005</t>
  </si>
  <si>
    <t>1232f8e75ec5c3610c0895e47847f2629f23e54b1d2248f9e02e9724f1d5e78d</t>
  </si>
  <si>
    <t>200445B01005</t>
  </si>
  <si>
    <t>826ebca36abfae6f25b5397d6ea3c10a2cb50e37d47912dbea90a847794bbb8a</t>
  </si>
  <si>
    <t>200445E01005</t>
  </si>
  <si>
    <t>0e075a988fd05b3e0de9538f16565bdc559e54f254e1805bde9d96e48b30f075</t>
  </si>
  <si>
    <t>200446B01005</t>
  </si>
  <si>
    <t>a1f447d6e4f7f5214ec0dcadfc9217e579024c41e8de5ce780aa05e81fe5c29d</t>
  </si>
  <si>
    <t>200446C01005</t>
  </si>
  <si>
    <t>45acdeb821f6cb38afc923703819e0d7ceb605e66e4264f0236de6bc1c95dac1</t>
  </si>
  <si>
    <t>200446E01005</t>
  </si>
  <si>
    <t>8fb5e5ae5a60e3453ec4c9c3ac1f9f0dd868bcec1f6e7776ae0af0bec66760ec</t>
  </si>
  <si>
    <t>200446E02005</t>
  </si>
  <si>
    <t>602019815cfbddaef4e0273d8b8c53a8eef0ba3989e969def8db487806f55c8e</t>
  </si>
  <si>
    <t>200447B01005</t>
  </si>
  <si>
    <t>8192d62ea7dca1a0788abf7efa8b4a00209e29d7c19964abb5b5b45b99742850</t>
  </si>
  <si>
    <t>200447E01005</t>
  </si>
  <si>
    <t>e785c14daec3d59faceb54159860a876f153c1f74488f4c89762fbd090dce061</t>
  </si>
  <si>
    <t>200448B01005</t>
  </si>
  <si>
    <t>0fc85bbdba47b923ac2975c3cb95a7c84925504a472956a8c4c6e598e31e2a1a</t>
  </si>
  <si>
    <t>200449B01005</t>
  </si>
  <si>
    <t>b3530ec85df1e517a2f292fca807af0b11bb0c3c49acb0ba9db225f6b4184a4b</t>
  </si>
  <si>
    <t>200449C01005</t>
  </si>
  <si>
    <t>e93c7b9926516bb7a442b74c87a38186c61fd7a5be3c8e07b09bd6ec7b673bba</t>
  </si>
  <si>
    <t>200450B01005</t>
  </si>
  <si>
    <t>badce365df99aed9ade172ead8905d23dd91aa82d8cae8ea0cbdc43eafeeff0c</t>
  </si>
  <si>
    <t>200451B01005</t>
  </si>
  <si>
    <t>78538c7c09d4508e052990947b3065f270bfacb641583f9409be2d8326e232c6</t>
  </si>
  <si>
    <t>200452B01005</t>
  </si>
  <si>
    <t>d0c93589f59c2aeb29db7aca63d288329f8d4f49501b963e03c496ddd23be902</t>
  </si>
  <si>
    <t>200452C01005</t>
  </si>
  <si>
    <t>6c53c58a0a5024860676d91678990cc68a3605525067c0e05afcc735bd81387f</t>
  </si>
  <si>
    <t>200453B01005</t>
  </si>
  <si>
    <t>fee46de8ea31b3fef68848db26341ea4322066ebb60e9655b537f12005fb8010</t>
  </si>
  <si>
    <t>200470B01005</t>
  </si>
  <si>
    <t>OAXACA DE JUAREZ</t>
  </si>
  <si>
    <t>7a11e173d0b7392b1b06d21b348fbc02d275c39ba6a1909b9773e333142ac28b</t>
  </si>
  <si>
    <t>200470C01005</t>
  </si>
  <si>
    <t>c9380ca495ee611a9565bf8ba2a2d1de6d783e57659c84ced7465e809776ac71</t>
  </si>
  <si>
    <t>200470E01005</t>
  </si>
  <si>
    <t>439efd2fef017a1d3777c086b9945d54f8df4da82c9a00a9e75c48296e09ab18</t>
  </si>
  <si>
    <t>200470E01015</t>
  </si>
  <si>
    <t>4949458f4e68f8029e8f5876470fdfcbb658dfddc349a0717332bfa7896c5338</t>
  </si>
  <si>
    <t>200470E02005</t>
  </si>
  <si>
    <t>9c25e158734a9fc35671ae2e02c2ef2829d8a3c0ecedc23bc00b3e8a262fa1fb</t>
  </si>
  <si>
    <t>200470E03005</t>
  </si>
  <si>
    <t>3e72d4496bacc5c72b935e3ba95e980ac5ba885156a9855bffb5765220805b04</t>
  </si>
  <si>
    <t>200470E03015</t>
  </si>
  <si>
    <t>3ddf24001edef07c05723212076295ed531028027c47912ad924fbcd5c97ad20</t>
  </si>
  <si>
    <t>200470E04005</t>
  </si>
  <si>
    <t>a8a36323f473930f58ec63f5f2a1b2298b7f8f4ff4635fc26dad2eae549cc381</t>
  </si>
  <si>
    <t>200470E04015</t>
  </si>
  <si>
    <t>b80e64162cf538e536c771be08336e9ecbd002c8bd65b29779335e7502b5b08e</t>
  </si>
  <si>
    <t>200470E04025</t>
  </si>
  <si>
    <t>1e93b820f385174735e8fe8def973c2e3c73398805dd242908286a2f9f985600</t>
  </si>
  <si>
    <t>200470E05005</t>
  </si>
  <si>
    <t>aa06b0cbb7b7f43b967d0d86559249653a03bad1a3e811e65ec2a55a1e66ef32</t>
  </si>
  <si>
    <t>200470E05015</t>
  </si>
  <si>
    <t>fdf2425218604317e6d627a95a15f9b8ef66a75438d4c66e8e76c65712b7d4b7</t>
  </si>
  <si>
    <t>200470E06005</t>
  </si>
  <si>
    <t>91dbe45149ff066c9a1df4f88d456afb3c65ed222825fb9dd9d627d35af7e54e</t>
  </si>
  <si>
    <t>200470E06015</t>
  </si>
  <si>
    <t>be445bcda8483bb11cb8ee9916fd7515d1740d7443ae8c9e697063dd40b45e9d</t>
  </si>
  <si>
    <t>200471B01005</t>
  </si>
  <si>
    <t>64254d7e4739e010ea9332e995411c56ef500ce53e28f14849a4adac60a6750d</t>
  </si>
  <si>
    <t>200471C01005</t>
  </si>
  <si>
    <t>f6fd61103499ca5f2bc3e993e56cefbb6badadf2d4652282df7e67cae8b859a5</t>
  </si>
  <si>
    <t>200471C02005</t>
  </si>
  <si>
    <t>76e504bbadb8335bd1face0e7df70292e1ae23d094d345de7c41f5e357e3f7c2</t>
  </si>
  <si>
    <t>200471C03005</t>
  </si>
  <si>
    <t>73c4d5441ebbf644bade6ad904b9c71ebb5095d40b7191bf3a1916d901095656</t>
  </si>
  <si>
    <t>200471E01005</t>
  </si>
  <si>
    <t>c23fa2a5e50ee83480bec4c875b29f70c2b7641cb076b7b7fa93889147da9fee</t>
  </si>
  <si>
    <t>200471E01015</t>
  </si>
  <si>
    <t>02b265d606a48ad38a799ee856f04ff66670cc1986175b03084ff6c7f4bc7fe9</t>
  </si>
  <si>
    <t>200471E01025</t>
  </si>
  <si>
    <t>237fe0b0092ec2f3aa09d71814795ccfc7aa3c6aaea20a16efb4b94259160e98</t>
  </si>
  <si>
    <t>200471E02005</t>
  </si>
  <si>
    <t>8e4d6bd8b7ec4bad68aca2e582aad19d60c507658ea80b7554337c862a5b5f79</t>
  </si>
  <si>
    <t>200471E02015</t>
  </si>
  <si>
    <t>5bb343ec55645c6a1ee1b8ee011d6cef57001ca3a68e19770d8a027ffd54609d</t>
  </si>
  <si>
    <t>200471E02025</t>
  </si>
  <si>
    <t>e934ebe20c4d9cad7d72d3923be89d97ff112deb73086620c2bcb8f1749a9bb3</t>
  </si>
  <si>
    <t>200472B01005</t>
  </si>
  <si>
    <t>36dae5057acda5b34c6a8d2279b32e5856df4dbd7417e727de3517d7c485d9ef</t>
  </si>
  <si>
    <t>200472C01005</t>
  </si>
  <si>
    <t>afc8d75440c9eb696a775ff3a0d90a2ec9a72094b585ec0042edc0715cd60013</t>
  </si>
  <si>
    <t>200472C02005</t>
  </si>
  <si>
    <t>ae5d722acac58e4f4b667878702946db63f76d83884a278c54db2eb7ff59a0fb</t>
  </si>
  <si>
    <t>200472C03005</t>
  </si>
  <si>
    <t>bec6b9e73f8b8a2f87d660413882882df9b93628b39e637fee2fa2c3ba4ccf50</t>
  </si>
  <si>
    <t>200473B01005</t>
  </si>
  <si>
    <t>e42e990e9015d1c4e3ebf579b43c9260c537747f3286f03f809816d091d0df2e</t>
  </si>
  <si>
    <t>200473C01005</t>
  </si>
  <si>
    <t>c485709acaebe02ddbcf80929987c56594aaa7c3633c59fcf0768213d82fe949</t>
  </si>
  <si>
    <t>200473C02005</t>
  </si>
  <si>
    <t>8426d1083a57af8a09d44da4266183a868ab62226f833d9dd44f0865b89f6baf</t>
  </si>
  <si>
    <t>200474B01005</t>
  </si>
  <si>
    <t>ad2ceb40bce096786a39b26481894f0f95b18af93cc49dddb53b0df8ea2a9b70</t>
  </si>
  <si>
    <t>200474C01005</t>
  </si>
  <si>
    <t>18b4bd8955a7881b40112e1f9cc228efb123a6890dd67378cac7b271ac3b3f14</t>
  </si>
  <si>
    <t>200474C02005</t>
  </si>
  <si>
    <t>21915d766bbd16d1b4344ebf1d8b68f661e56f3fb5f997ed123b8eccae21cfc1</t>
  </si>
  <si>
    <t>200475B01005</t>
  </si>
  <si>
    <t>1d3bc9704fa39d3469e13bfa1b491c466505e78af3d4089d6cbd7b6f086f1728</t>
  </si>
  <si>
    <t>200475C01005</t>
  </si>
  <si>
    <t>50c138e3f90412d14b0439abeb97aab798e9eae497076a46c295ebec62278bfe</t>
  </si>
  <si>
    <t>200475C02005</t>
  </si>
  <si>
    <t>22acc55bdd940edae3141f4e7b855e39d9e0b79397a0ccde310b7b9aff20568d</t>
  </si>
  <si>
    <t>200476B01005</t>
  </si>
  <si>
    <t>35ae3a626a2b3b30ed0ebf6e7a00e00a3cc40e33881153e43e8033211db5782a</t>
  </si>
  <si>
    <t>200476C01005</t>
  </si>
  <si>
    <t>b08bc52a37a642fa0a4c470537e30ac8fe9539731b65a615c3a8f5c2eb0d070b</t>
  </si>
  <si>
    <t>200476C02005</t>
  </si>
  <si>
    <t>4aee4052e56712f1e1c36fc0417767f6d643901f0d9dd7dcce90853c5daa02c3</t>
  </si>
  <si>
    <t>200477B01005</t>
  </si>
  <si>
    <t>e44eb9cba09f9b45a9675d82d183f699062dad9556290a6856e3f633eff95dc5</t>
  </si>
  <si>
    <t>200477C01005</t>
  </si>
  <si>
    <t>9791c63fc50fb55f8c96bf4ed8ae726efa3f508ac869029568dd972a77318cbf</t>
  </si>
  <si>
    <t>200477C02005</t>
  </si>
  <si>
    <t>11030854422471a97477185193e638c5d44a47598f0fdcc959a4b529c6696f04</t>
  </si>
  <si>
    <t>200478B01005</t>
  </si>
  <si>
    <t>3e9f0ab11c8c822ecf4cd7ee811955d6448e0e2162aebc6368bba27072c716bd</t>
  </si>
  <si>
    <t>200478C01005</t>
  </si>
  <si>
    <t>e83ff2c5860eb058928b8208bc32a6aadf757b67b13a77fce17b8b8ff694828b</t>
  </si>
  <si>
    <t>200478C02005</t>
  </si>
  <si>
    <t>52e8d07a254c6616671455dccdbee95e62851ba23b18ae8a64d9089c2936da39</t>
  </si>
  <si>
    <t>200478C03005</t>
  </si>
  <si>
    <t>9499099911d7ae141bb16142edd1e857294832c2430d375e552abedd411a24c6</t>
  </si>
  <si>
    <t>200478C04005</t>
  </si>
  <si>
    <t>fafabc9d5ebe23c96da6fbfa2b6fd44526ae4c6b37b9d0cfbb64cba050f1756d</t>
  </si>
  <si>
    <t>200479B01005</t>
  </si>
  <si>
    <t>39aca55954f3f4141fa5c300ff06fc292e4ec6e35f5764d8cc41dec067439779</t>
  </si>
  <si>
    <t>200479C01005</t>
  </si>
  <si>
    <t>55977b5e21426496c1a908d78cf623674566e6e2842c2fe19c31155a63cf1345</t>
  </si>
  <si>
    <t>200479C02005</t>
  </si>
  <si>
    <t>0f6c6aa0e4406c9abe9c5852e10b573d57cdee494e4c8a927e9648e1afcf0304</t>
  </si>
  <si>
    <t>200480B01005</t>
  </si>
  <si>
    <t>a67c4fc9d39ffc3a16db51623d1ca44925684474980d0baa8835b1e4e7ed5c25</t>
  </si>
  <si>
    <t>200480C01005</t>
  </si>
  <si>
    <t>05564ae3d0cc13f4ba5c3232f13bf751aaa696abaea1eb043e1cf214656dee0d</t>
  </si>
  <si>
    <t>200480C02005</t>
  </si>
  <si>
    <t>5e8ab10c454d5ff874c7cfceb6160e5491df7bb06982a1e20a2c77040f2ca1e6</t>
  </si>
  <si>
    <t>200481B01005</t>
  </si>
  <si>
    <t>ad0549c49fd89b9611309431f8879dd9d36aea2b025efc0cc7fea8f2ec188ce1</t>
  </si>
  <si>
    <t>200481C01005</t>
  </si>
  <si>
    <t>c282d0422376408e4ccda756e262d0f945921f685def64315f6ee38d7d9c7d8d</t>
  </si>
  <si>
    <t>200481C02005</t>
  </si>
  <si>
    <t>00ebfd6d4c234691eef64202b91c3560112170149f20200a71ec556c4925cefd</t>
  </si>
  <si>
    <t>200481C03005</t>
  </si>
  <si>
    <t>35fde0f23b6dbf34560025295c32e16d708319e950869bc47bf93074ed97be2f</t>
  </si>
  <si>
    <t>200481C04005</t>
  </si>
  <si>
    <t>acdbd96e9243b6721588314fe4d46b959dd2d07fd4da846ab32b78ad9c43fe23</t>
  </si>
  <si>
    <t>200482B01005</t>
  </si>
  <si>
    <t>4ac83247cc3e04fe25555f0f15ab823d3c0977124398d0c53f5141eef31f0fbd</t>
  </si>
  <si>
    <t>200482C01005</t>
  </si>
  <si>
    <t>36979f2fd0c2ca9f7616aaafc39d1e6fe59050c106f890b460cc324cd83ecfc5</t>
  </si>
  <si>
    <t>200482C02005</t>
  </si>
  <si>
    <t>777415fb5d138cbcccd502fc441379cb9fb48cc2c77d410071ccf750879d2244</t>
  </si>
  <si>
    <t>200482E01005</t>
  </si>
  <si>
    <t>ecf2ccf89d570ae82d51c86f099fb3149a1a8f710ba1c333d052fb3ab24d2ee5</t>
  </si>
  <si>
    <t>200482E01015</t>
  </si>
  <si>
    <t>2417a34b83de1cad046053f8da69c270bb7d726b721ce043511578cb49b16de5</t>
  </si>
  <si>
    <t>200482E02005</t>
  </si>
  <si>
    <t>5cdf1dd471ab77da70b4a4c529c6587da9de2f86aeab0361f0e3ec5ecb488cb8</t>
  </si>
  <si>
    <t>200482E02015</t>
  </si>
  <si>
    <t>3b767f679afe79ebb068898a53126b30deb2904c2e851abc9d058dfbdbd6cea4</t>
  </si>
  <si>
    <t>200482E02025</t>
  </si>
  <si>
    <t>b87ee379d70f640305bb238d85c006dbf6c27c0ca8a58b708fe74dc4a8252f37</t>
  </si>
  <si>
    <t>200483B01005</t>
  </si>
  <si>
    <t>f829a9431ed153a45c91d3d5842ac6fa688708dc39f6e628cae66b3ea01c685c</t>
  </si>
  <si>
    <t>200483C01005</t>
  </si>
  <si>
    <t>e391af9017064d1b64d26fe7b44ae209914c754700db91d66869eed670d10e57</t>
  </si>
  <si>
    <t>200483C02005</t>
  </si>
  <si>
    <t>a5c89719f9c45bfda6982bc19f7e910690182cca0066169ce7fdc6fab0ced823</t>
  </si>
  <si>
    <t>200484B01005</t>
  </si>
  <si>
    <t>a4c28c5604d005053b2a8787ed091b9a4ee523bcfdc9f8a226dbf71dc5f2bc85</t>
  </si>
  <si>
    <t>200484C01005</t>
  </si>
  <si>
    <t>6a7e47d3c0d1d6af0aba6a80e8eb677175582563d51b745ab07bbad433b3c13c</t>
  </si>
  <si>
    <t>200485B01005</t>
  </si>
  <si>
    <t>165a712e8398c2209c88eafdbaa5cd030195e49c80c3f32ac1f40a254a0f48a1</t>
  </si>
  <si>
    <t>200485C01005</t>
  </si>
  <si>
    <t>5c817fae2b89c945885edef35d0ec7235ece007209bb40fe278a8781929bb311</t>
  </si>
  <si>
    <t>200486B01005</t>
  </si>
  <si>
    <t>d1986835e01fc0f26b5a927f18dcc368f6e5b200ef9796d9aedf42bea1cb8b43</t>
  </si>
  <si>
    <t>200486C01005</t>
  </si>
  <si>
    <t>9e77a794d2b6189b432f3430ee614d0ca9131d7301d148a16635da00ae24e091</t>
  </si>
  <si>
    <t>200487B01005</t>
  </si>
  <si>
    <t>8506c8e3d58de8c0cce247db302c300bc69b79603fc3b3acb31fe388529fe72a</t>
  </si>
  <si>
    <t>200487C01005</t>
  </si>
  <si>
    <t>28fe96f4d4a83d30011f173bae6f97004ea41f0b0c293cd33487154fc8f44a49</t>
  </si>
  <si>
    <t>200487C02005</t>
  </si>
  <si>
    <t>1f060c933a6cd041f31053a0e7d775eef3f0831c59e97ed0477cd9e94cf79b9b</t>
  </si>
  <si>
    <t>200488B01005</t>
  </si>
  <si>
    <t>9f5f80f522732642bd2443af99a6824c2c28761c4b518d42ccae761d03cdbe9c</t>
  </si>
  <si>
    <t>200488C01005</t>
  </si>
  <si>
    <t>02d292d20bd4cc3c902ca3763c8c39b3db5a10bb18a342089a086f833d697e9e</t>
  </si>
  <si>
    <t>200488C02005</t>
  </si>
  <si>
    <t>9bc46b180da745afa54643185665ceca67b96b5d06042be90879685b11834cdd</t>
  </si>
  <si>
    <t>200489B01005</t>
  </si>
  <si>
    <t>2c94e41b8843179c6d681e5eb0f1baf812f0e1bbc8377d5a48c8a72b53834154</t>
  </si>
  <si>
    <t>200489C01005</t>
  </si>
  <si>
    <t>0831d899f624b4768aa21cf49805a53422bd8a7520f5b89341c30accc1298084</t>
  </si>
  <si>
    <t>200489C02005</t>
  </si>
  <si>
    <t>ff22d6ebdcd963d858dd1a399a74e19f6b8120078d10b81a3e4f7780dd0f65a8</t>
  </si>
  <si>
    <t>200490B01005</t>
  </si>
  <si>
    <t>98192e75d62ac692c570ea15de1cdd5c860d9fa01782032313aebef9d896c031</t>
  </si>
  <si>
    <t>200490C01005</t>
  </si>
  <si>
    <t>96446906182abdd462fac1adfbe10e08085a4a6c91f1ba4aff174ae222d92f19</t>
  </si>
  <si>
    <t>200491B01005</t>
  </si>
  <si>
    <t>62804476f2522ea5c5ed4c147a9f136a53fb950f4bb60011a0d8ae0961e6a626</t>
  </si>
  <si>
    <t>200491C01005</t>
  </si>
  <si>
    <t>02552d5204a689c58bc8b04a9c674a0ec8d624790e293e54660ec9e8a99361ba</t>
  </si>
  <si>
    <t>200492B01005</t>
  </si>
  <si>
    <t>8f70edbf6bdb70d286c26fd23e551b388b943a2c9a90471b085525b633981e18</t>
  </si>
  <si>
    <t>200492C01005</t>
  </si>
  <si>
    <t>0d46d7c9bbc00fc78ae7426603f2000791eb5517aaf0a7e38ed26ff46a4a8cea</t>
  </si>
  <si>
    <t>200492C02005</t>
  </si>
  <si>
    <t>be60533560b139f651298c1abfd41b0fe2b8676ff66d2a8df4f078f33c4e068d</t>
  </si>
  <si>
    <t>200493B01005</t>
  </si>
  <si>
    <t>37f188a5b3b9fbe760a7e88d35ac13a0048da54999dc33aaf0d7c11e80e326eb</t>
  </si>
  <si>
    <t>200493C01005</t>
  </si>
  <si>
    <t>b6b665c22d0e2ad4deadc047d2ae547014d4ace2a22c92c6f61ce5b688fd3617</t>
  </si>
  <si>
    <t>200493C02005</t>
  </si>
  <si>
    <t>d3972ad09b568e21681b85227673da046c869217ddeff7600dc23ee849778f5b</t>
  </si>
  <si>
    <t>200493C03005</t>
  </si>
  <si>
    <t>e43636ca0ebfef69af9aeb2fc5316f7642e0ac97268f47ea493412aef54a8264</t>
  </si>
  <si>
    <t>200493C04005</t>
  </si>
  <si>
    <t>964e3c48eb2e2e8c0379bdde7ebd0ebad27a7f39013c11d0c0d3742fdc3749cd</t>
  </si>
  <si>
    <t>200493C05005</t>
  </si>
  <si>
    <t>3357704d510b6b59e83d137428213f3c38da0184b1eee2d9518a39c4c56cbe8a</t>
  </si>
  <si>
    <t>200494B01005</t>
  </si>
  <si>
    <t>6ad8a785c13cdb9b5e7d778ade55c45488d8d55323419eaea93a3044f0bafa8b</t>
  </si>
  <si>
    <t>200494C01005</t>
  </si>
  <si>
    <t>5a8bbf992fa7c155ffb18bc8b3af3cd40faee9b517e58256b758eab32fc4b4af</t>
  </si>
  <si>
    <t>200494C02005</t>
  </si>
  <si>
    <t>a04b746bae654600cda3b4284fdd08f5324cdf16d39dc73093bbae0e04ba41ce</t>
  </si>
  <si>
    <t>200495B01005</t>
  </si>
  <si>
    <t>9841f737066d7c1c7f2bb196c7491a6d9b5ca1947d548bb9cd9aa55b28b42e5d</t>
  </si>
  <si>
    <t>200495C01005</t>
  </si>
  <si>
    <t>1f4aca8c3b443bc307b737b8a6c825eccc474111fcc19518b46a0b53c1fe7694</t>
  </si>
  <si>
    <t>200495C02005</t>
  </si>
  <si>
    <t>4d8fcf86db71c2ff06fc7f34dd6e296e51e1bce0efd7dcbc94b08a7f7e51d799</t>
  </si>
  <si>
    <t>200496B01005</t>
  </si>
  <si>
    <t>5a20c6d5a5f279c9cd9da0aeb3c7916b04a3857b0d6c5e949025cd5327b19957</t>
  </si>
  <si>
    <t>200496C01005</t>
  </si>
  <si>
    <t>b712d6e1e0525812d322f22945262b6e3e520139dffa8c1b00337d853dd73c4e</t>
  </si>
  <si>
    <t>200497B01005</t>
  </si>
  <si>
    <t>d590d684164a64086cd59c26e0219bb00ee46fa53028d311f7e282ccbcf5e208</t>
  </si>
  <si>
    <t>200497C01005</t>
  </si>
  <si>
    <t>3a1b8409a07d73948de39d3a45b687f46ce8d0e343c9f440d7ab5f4a358b3b1b</t>
  </si>
  <si>
    <t>200498B01005</t>
  </si>
  <si>
    <t>b9d9c8f030f1450966a9aaefbec412f0303f4ea71f7f450dfeaf7920adb24ada</t>
  </si>
  <si>
    <t>200498C01005</t>
  </si>
  <si>
    <t>6ad2dedf38de9693ec20a0ad2a1f64a75053621ca00ebfa481d422b0fcc6227e</t>
  </si>
  <si>
    <t>200499B01005</t>
  </si>
  <si>
    <t>aa4a94eb6c015d395d2a937e65754b5cd4461f1dce81e8e8055bfdd3f3abb9f9</t>
  </si>
  <si>
    <t>200499C01005</t>
  </si>
  <si>
    <t>dbd3ab2029ad1ed45d1d9ef456559595b1fba383f6b23e21ebd407e42715b604</t>
  </si>
  <si>
    <t>200500B01005</t>
  </si>
  <si>
    <t>f0ef36bf5696184fa385c6ca20d28be3456fe1618c4f8ba0b8aae25e9e71d60d</t>
  </si>
  <si>
    <t>200500C01005</t>
  </si>
  <si>
    <t>9618f34f636d5dcc641a5ccda8fa2b32f21bba3a3e64307e274cf4ab582e7f47</t>
  </si>
  <si>
    <t>200500C02005</t>
  </si>
  <si>
    <t>6d151a4b99ff852e55d1c20d63d232ef426e95115487d43c7534aae52cb00021</t>
  </si>
  <si>
    <t>200500C03005</t>
  </si>
  <si>
    <t>c4a45cbceb6a5cd1b2028b70fbd4bcd827d09b7af223c71e93954ee4509201f2</t>
  </si>
  <si>
    <t>200500C04005</t>
  </si>
  <si>
    <t>48bf48c63b0955fe038ba4c5f92ebc02d67c8bc16a696ac26061b3c5c4e7e03d</t>
  </si>
  <si>
    <t>200500C05005</t>
  </si>
  <si>
    <t>1d3bc2ce1174c9cd2cdbcf2ecc9420e604dcc71450e7e83658de422278d49547</t>
  </si>
  <si>
    <t>200501B01005</t>
  </si>
  <si>
    <t>be6fffe7a765d3b63eb251bc2b7759b0445fdf1fdaee6ab2b7e33618a6d5872b</t>
  </si>
  <si>
    <t>200501C01005</t>
  </si>
  <si>
    <t>470d44b4f2bacefe5b86d6830cd8a1f4055162ca7facf56970381dbbb1502998</t>
  </si>
  <si>
    <t>200501C02005</t>
  </si>
  <si>
    <t>7721ec50e906638a94d595b89903fcddbc0d537a5be37b3de55bb952bab52a99</t>
  </si>
  <si>
    <t>200502B01005</t>
  </si>
  <si>
    <t>74ff19f1dbe4875d584d199724f6fd784045028e77e7733398957c7a290f1f3f</t>
  </si>
  <si>
    <t>200502C01005</t>
  </si>
  <si>
    <t>ddb8971a963dd333eab18e1356132e435f7dbb30ad7f33a5b5d302a61c1bc019</t>
  </si>
  <si>
    <t>200502C02005</t>
  </si>
  <si>
    <t>01dd4aab3c0139fe5ba01f6fc83145dc24c71d28f9d46b389e51a6a3f56b1874</t>
  </si>
  <si>
    <t>200502C03005</t>
  </si>
  <si>
    <t>d845d8e215d08919c77078cb3f35c7e2390930293e58b1819b4443135cd3e425</t>
  </si>
  <si>
    <t>200503B01005</t>
  </si>
  <si>
    <t>cfdbd6e836e7a4d7c27f4c43ae85cc1fca5581bae20890386b1079689f97b51d</t>
  </si>
  <si>
    <t>200503C01005</t>
  </si>
  <si>
    <t>8605c458aaf8a0f632e89176f547c16a171c2bc8cc5542333ed59b57977dd081</t>
  </si>
  <si>
    <t>200504B01005</t>
  </si>
  <si>
    <t>fbb9f2a8970e2b7e32a10f9c0236fd23cb211cd04de5db435c55a221005c807a</t>
  </si>
  <si>
    <t>200504C01005</t>
  </si>
  <si>
    <t>f4d5e7a594ca93292039a7e6395616b79ed94498519a066e2d3e1f9f871eae32</t>
  </si>
  <si>
    <t>200504C02005</t>
  </si>
  <si>
    <t>adfa9f62ab067f5a65e1f6f0a620332eef4392b1316b94662504dc7f4b73793a</t>
  </si>
  <si>
    <t>200505B01005</t>
  </si>
  <si>
    <t>bd22930820b68bc7defd79253d43373bc2e4fec4ac3b0108f4574c8f55c24802</t>
  </si>
  <si>
    <t>200505C01005</t>
  </si>
  <si>
    <t>1c91534cfa43ef276dd994fb536d5facf9b3a38911c71c5b815db5822a81c6a2</t>
  </si>
  <si>
    <t>200506B01005</t>
  </si>
  <si>
    <t>1bb476b0d9255d033ab3254dc2cc59aca953fa755e4d431135a7b524377270f3</t>
  </si>
  <si>
    <t>200506C01005</t>
  </si>
  <si>
    <t>215edcef468ad07ec836bbcc4722e8aa1dabbc47eed294931e9acf5b425a905a</t>
  </si>
  <si>
    <t>200507B01005</t>
  </si>
  <si>
    <t>521b688bb2d8bf3a0b55bd6a98ded47b5ce3602ebd4633a0d298dcbb015385ec</t>
  </si>
  <si>
    <t>200507C01005</t>
  </si>
  <si>
    <t>fefca46120d08392c05a5f2c14124e3ac45b74ba4be0b2656a21cc61f6214814</t>
  </si>
  <si>
    <t>200507C02005</t>
  </si>
  <si>
    <t>08ed00d53a554a2591adadb9c044aa67182f861195ff29bd49f0f16d05be4a06</t>
  </si>
  <si>
    <t>200508B01005</t>
  </si>
  <si>
    <t>ffde818d8e613a50f240f39b0e5351e3c748a22f7d9615a6d656d141a3037f47</t>
  </si>
  <si>
    <t>200508C01005</t>
  </si>
  <si>
    <t>790b5735ad10edcc8743449b1b342f72917dda1e30341a2bc4c7dfdb3badecf2</t>
  </si>
  <si>
    <t>200509B01005</t>
  </si>
  <si>
    <t>6874b65306bc06dd53c1a19d002368c628c0c58cd56842e3e1a5a95802e14e24</t>
  </si>
  <si>
    <t>200509C01005</t>
  </si>
  <si>
    <t>90cdaadf6d3e8942f1593378c6c97693ecdf932ac89d90c126ecf180e8fccd44</t>
  </si>
  <si>
    <t>200509S01006</t>
  </si>
  <si>
    <t>163c02a3ad8651c9b258f5a2cf44164309b65f0b84afdef844d7814f875ba1a2</t>
  </si>
  <si>
    <t>200509S02006</t>
  </si>
  <si>
    <t>0a830943a7598a2f9c7fc6d3248b6428351dd3d55e71dd63c45534d55d7a69b2</t>
  </si>
  <si>
    <t>200510B01005</t>
  </si>
  <si>
    <t>4bb4ea96dec041243264ba8e824e4cee4594589bee7223f6b7d748d3012ca531</t>
  </si>
  <si>
    <t>200510C01005</t>
  </si>
  <si>
    <t>12a6f79b862d3ccaabc6820e11f0aae8752573ffd61d9d64945d493943525ed0</t>
  </si>
  <si>
    <t>200511B01005</t>
  </si>
  <si>
    <t>1047ae870ff10cf7922a6ad4ea6b69d3fd4236a3fa94eaef04437b43dc7da12b</t>
  </si>
  <si>
    <t>200511C01005</t>
  </si>
  <si>
    <t>6834a0adfa1750d8a3020d7b41e2ab735206f5064fd6768daf036069fb508706</t>
  </si>
  <si>
    <t>200511C02005</t>
  </si>
  <si>
    <t>7513a27880f67308583563fccc1e1cf39b40756ebfa796a60f48b2d9ed2750ab</t>
  </si>
  <si>
    <t>200512B01005</t>
  </si>
  <si>
    <t>06d2cfac2ba1b9ad33156a1ba187632ad8300ac73d8158f0978fe99459403da3</t>
  </si>
  <si>
    <t>200512C01005</t>
  </si>
  <si>
    <t>281615f0ae4d6929218e68ef8199fce9106a725ae86f0f61a5d9e3adc2d19a9f</t>
  </si>
  <si>
    <t>200513B01005</t>
  </si>
  <si>
    <t>09688730a2335da2267f45401c0b0baf69089b00fb3ab9ac1667f90b964f4077</t>
  </si>
  <si>
    <t>200513C01005</t>
  </si>
  <si>
    <t>30d6dcabea94dbf5d420b26f76ce2f7f7a2cd537b2f305c18ed085c95898a807</t>
  </si>
  <si>
    <t>200514B01005</t>
  </si>
  <si>
    <t>c4ffe7c90c91b9497751d47d3fe4dc486f85f1b83996f3c82df20a58c479a0d9</t>
  </si>
  <si>
    <t>200514C01005</t>
  </si>
  <si>
    <t>b3503165505c37d84f35e13ff6b969a8da7ecbaad6364df75d084310db11c6ea</t>
  </si>
  <si>
    <t>200515B01005</t>
  </si>
  <si>
    <t>089601648c1caa269e71466016802905fed26488577cdf7a6b83f05572ee94e5</t>
  </si>
  <si>
    <t>200515C01005</t>
  </si>
  <si>
    <t>77445228c2269d4a402bf83204c55dddd8f6efb4e52458fda74d07a59de96665</t>
  </si>
  <si>
    <t>200516B01005</t>
  </si>
  <si>
    <t>4f65fd4d1fdf9d59d365097ad488ed303f6c46c306ab7e681ce79ac317ad82ad</t>
  </si>
  <si>
    <t>200516C01005</t>
  </si>
  <si>
    <t>1b03f572430b7d661f3653fd84ac4fbe0e05cd953ea0f6dae71a6741d737d6bc</t>
  </si>
  <si>
    <t>200517B01005</t>
  </si>
  <si>
    <t>e274c50effbdac5ea46b6749b5d1f76f76dea8beec390d8a062d92d978b22cc4</t>
  </si>
  <si>
    <t>200517C01005</t>
  </si>
  <si>
    <t>de211106f62e7e651fc06cf0f1c3d8dd3e821c9dca90865963a99880a996feba</t>
  </si>
  <si>
    <t>200518B01005</t>
  </si>
  <si>
    <t>2144988473b16891d8d8c4fc7ced954eceedd5972a4c0a7bbd9a0775730a41cc</t>
  </si>
  <si>
    <t>200518C01005</t>
  </si>
  <si>
    <t>7aec028fa50c9f6571366bc13d2a538b60862cd16072644bb65e0f85c20bdfd9</t>
  </si>
  <si>
    <t>200519B01005</t>
  </si>
  <si>
    <t>a6fa14ada9a83e700ce5b57b26dd69e5fe50c38485e8e871e8bed2a1f972c9af</t>
  </si>
  <si>
    <t>200519C01005</t>
  </si>
  <si>
    <t>da9df1e6cb1f56205a95a0fa8d17733f593e6fc9a77b47ee1f35989353257261</t>
  </si>
  <si>
    <t>200520B01005</t>
  </si>
  <si>
    <t>cbc171f76f13af420924328e986c16132a42ed4642f88c8b2d8cb7103a6298b7</t>
  </si>
  <si>
    <t>200520C01005</t>
  </si>
  <si>
    <t>c200c07178a60493594249dc70fdae139beeffe5b85aeb448f8fcfed1eab083d</t>
  </si>
  <si>
    <t>200521B01005</t>
  </si>
  <si>
    <t>02d77f1eaf6e7ceb777c5cc1aaccbdd97df4fb5b7068925c6676769edfafa040</t>
  </si>
  <si>
    <t>200521C01005</t>
  </si>
  <si>
    <t>466b71fad953e3dcb1e0894515b70f3c5caba9cef89c0693efa05b70d708965c</t>
  </si>
  <si>
    <t>200521C02005</t>
  </si>
  <si>
    <t>784f324a9e0fb176777dd7d2a115248525e69607749cc0e3bb9cdce4e20412ce</t>
  </si>
  <si>
    <t>200522B01005</t>
  </si>
  <si>
    <t>78ebf678bf75a6939d7acb16cf340d538ca4163dc342a95f74f5370c20445ea0</t>
  </si>
  <si>
    <t>200522C01005</t>
  </si>
  <si>
    <t>9556e2aa02f1388499ac3eee986666379c2598f415a4e468fa74479f4e3cef6c</t>
  </si>
  <si>
    <t>200523B01005</t>
  </si>
  <si>
    <t>ffdf0844d768b82110c9391e506bb14f648871b0f7e2e4322d592be844552cd5</t>
  </si>
  <si>
    <t>200523C01005</t>
  </si>
  <si>
    <t>66ea4336836d3a5af62710b87ad95462b965eeb5b8be367fa3407559e29f175b</t>
  </si>
  <si>
    <t>200524B01005</t>
  </si>
  <si>
    <t>34f985fa0d9a348c31843912bb690b55f196ac7ca3eddcce54ea3f5b01155b61</t>
  </si>
  <si>
    <t>200524C01005</t>
  </si>
  <si>
    <t>74227e93ebb32c3f7452a6793004476f159970ff5f228337531c0f319910250d</t>
  </si>
  <si>
    <t>200524C02005</t>
  </si>
  <si>
    <t>64e53a791a37c52dea21cfda359eb433a99aa9f103666f2ffb1dade93e801d30</t>
  </si>
  <si>
    <t>200524C03005</t>
  </si>
  <si>
    <t>bd73616faaa983ac5f6a74f5e5c4e9b7de9a15afffccfc833734288bd2d19f9f</t>
  </si>
  <si>
    <t>200524C04005</t>
  </si>
  <si>
    <t>a446542ec6d295d45324d27cbfd8e5d161b06d48dc6e07340d52852ab052776a</t>
  </si>
  <si>
    <t>200525B01005</t>
  </si>
  <si>
    <t>ec7fdf815b2d8c2fd79538ce3e4bbf4740858e42b678c3dc36fdaa120cef4969</t>
  </si>
  <si>
    <t>200525C01005</t>
  </si>
  <si>
    <t>0f462cf88de433856edf584b54648d64b5624879eaa261678361c016a2cd2ef5</t>
  </si>
  <si>
    <t>200526B01005</t>
  </si>
  <si>
    <t>2362efd881689a1e2748a3f0d80a475edcd8e673c8daac2651ae7057f8687fb9</t>
  </si>
  <si>
    <t>200526C01005</t>
  </si>
  <si>
    <t>ef46d346a1fdd41b0861df4c3083658cca02f5feb61101d4131414c6dda3b455</t>
  </si>
  <si>
    <t>200527B01005</t>
  </si>
  <si>
    <t>080856073c717008c068026fee5a5a22305e637b3d55f5db3ac4d281d90663ab</t>
  </si>
  <si>
    <t>200527C01005</t>
  </si>
  <si>
    <t>16d57275320fd8079f0d354eb0258732a5c6125dc87af6ada4fe4d3c046295b8</t>
  </si>
  <si>
    <t>200528B01005</t>
  </si>
  <si>
    <t>4c7a2baa502255597f1e617074e9526ed1dc294b60de28baefe164028f7be468</t>
  </si>
  <si>
    <t>200528C01005</t>
  </si>
  <si>
    <t>5ba915a69e0cf7da2558ac7623f12583230b21314a3e6b2ad49f3bf605a96a2d</t>
  </si>
  <si>
    <t>200528C02005</t>
  </si>
  <si>
    <t>e158dde458da6a3712c4c41ee50c21c4d6f7932c469d9a1c12487e95d78d20f7</t>
  </si>
  <si>
    <t>200529B01005</t>
  </si>
  <si>
    <t>47ce1d1e6bbc3d873c04fb570819806548c3f0a29ff85474514b85019f6c02ba</t>
  </si>
  <si>
    <t>200529C01005</t>
  </si>
  <si>
    <t>36c5f1c209342d7aeabc6e43a5558c17f5f656ea8507904b6ca825535b81cfac</t>
  </si>
  <si>
    <t>200530B01005</t>
  </si>
  <si>
    <t>e4e49f4649f01f2abd80de59c582f0f1f606797f45fc32150cb3088fc5f976fa</t>
  </si>
  <si>
    <t>200530C01005</t>
  </si>
  <si>
    <t>3a99f92e1f1353b51f140d8ea88633e6ec39a6adf5b19efa22e9af08e264b125</t>
  </si>
  <si>
    <t>200531B01005</t>
  </si>
  <si>
    <t>05677345541532d97ffc34ad4417063b80198fe41144804f36ffebbf450d938c</t>
  </si>
  <si>
    <t>200531C01005</t>
  </si>
  <si>
    <t>4e7d00d1ce41ae2bec0efd313c8c80403cad99e5180607a05321037b3f019bae</t>
  </si>
  <si>
    <t>200532B01005</t>
  </si>
  <si>
    <t>c4b91edb20aa4c3ac03525a3d53b6224936989ef3e38ef4d39acfb4f88f5bcc1</t>
  </si>
  <si>
    <t>200532C01005</t>
  </si>
  <si>
    <t>0e0013b1147dbcf7c18e3927d761c415af72b36b1cd1c97717b3307e6b954d05</t>
  </si>
  <si>
    <t>200533B01005</t>
  </si>
  <si>
    <t>2bb5522b181684eb9162df97ce64bd018e346b5203aa12142ab0c65efe4ae6bd</t>
  </si>
  <si>
    <t>200534B01005</t>
  </si>
  <si>
    <t>012521e235da4794ebb1c9b8cb3a73cb87f75a32edd330e788d525dd5160270d</t>
  </si>
  <si>
    <t>200534C01005</t>
  </si>
  <si>
    <t>18dc98f9fc5c4b3d7ee0ddfcd6482071ba8f3f049e06114522d5ef0e10183ce7</t>
  </si>
  <si>
    <t>200535B01005</t>
  </si>
  <si>
    <t>852b58031864cbd264ebd1342346f296c957d066cf5f69b816f53a5e83ade566</t>
  </si>
  <si>
    <t>200535C01005</t>
  </si>
  <si>
    <t>c1b64837a443c2cad2e1e5abda140ca7f97ef8c1fa82656a44c187e612f53d52</t>
  </si>
  <si>
    <t>200535S01006</t>
  </si>
  <si>
    <t>08535d81a13168d9781ed35708f3917654af0338eb29b792dc63ea25def4f534</t>
  </si>
  <si>
    <t>200536B01005</t>
  </si>
  <si>
    <t>8a146954ab994387fb407ddc43eebbaed97ae7d21d3955dd544d9667370ee9ee</t>
  </si>
  <si>
    <t>200537B01005</t>
  </si>
  <si>
    <t>a101036368992176da10a9a00230e1dfc11864342a2b9c03d7edfd51d36c2881</t>
  </si>
  <si>
    <t>200537C01005</t>
  </si>
  <si>
    <t>a3a68fc082a2f8a20e1f8157c970d63dc2813016d09ce9fac406daa23ff7e955</t>
  </si>
  <si>
    <t>200538B01005</t>
  </si>
  <si>
    <t>35217baf3b739861bcbd49f37f6d10aa31b754f83bac0a5c43904647597966cb</t>
  </si>
  <si>
    <t>200538C01005</t>
  </si>
  <si>
    <t>82576b5458bd0ad9c7b0b2c3fdde12bb6b90f25777d041a925a5b45d10ca75a0</t>
  </si>
  <si>
    <t>200539B01005</t>
  </si>
  <si>
    <t>62d944e18e301074d263cb1ccb40c80f23af2929688d8638ab88ef7f025d0795</t>
  </si>
  <si>
    <t>200539C01005</t>
  </si>
  <si>
    <t>57aca1852f1bf82b265b63381ddc9ec24cbf7422fc0bf4b8cbdcf602d14f1aa3</t>
  </si>
  <si>
    <t>200540B01005</t>
  </si>
  <si>
    <t>15b70738f159e74e3592a3e278acc56ba56988b50eafe361386e7d62d62d42eb</t>
  </si>
  <si>
    <t>200540C01005</t>
  </si>
  <si>
    <t>89b85e8a704a26659ad754796d7066101bc32368beb6153ef2b743ca9b669643</t>
  </si>
  <si>
    <t>200540C02005</t>
  </si>
  <si>
    <t>8522effcb0aed418a775a63c81e938ae9bc23fb8ced832739c24fd05d4f2edab</t>
  </si>
  <si>
    <t>200541B01005</t>
  </si>
  <si>
    <t>84373780e51e3722a5af464729c2a98d11a98ffe443f37af9d3dade8d37f2e1a</t>
  </si>
  <si>
    <t>200541C01005</t>
  </si>
  <si>
    <t>1adca2e45eca8969714cd305fdc8a1d06e1b44954961b35d9d0f2dfc2142332d</t>
  </si>
  <si>
    <t>200541C02005</t>
  </si>
  <si>
    <t>3b4278896e77a1ab34b170d840bc937fa64a143182d7b05d87abf1f8c29f1c87</t>
  </si>
  <si>
    <t>200541C03005</t>
  </si>
  <si>
    <t>e026c72a72ce56a617b43ebc853eba07d5315220ef7a136764bdb5c17abaa27e</t>
  </si>
  <si>
    <t>200542B01005</t>
  </si>
  <si>
    <t>b65ea790ca996283f2685dee25aa7503f600cd09a4bb546a724306233760cb82</t>
  </si>
  <si>
    <t>200542C01005</t>
  </si>
  <si>
    <t>13b78fdb9ca55f58d53d135d56b042077d80690f06e04186cac7983e7f8babe1</t>
  </si>
  <si>
    <t>200543B01005</t>
  </si>
  <si>
    <t>cffa3fe1b27f91b09bd50bbfd05c7e737f3acbd6570c34dd8fe930032c93ca47</t>
  </si>
  <si>
    <t>200543C01005</t>
  </si>
  <si>
    <t>6e0c005a096abf558d643356c0a3606583a5a8dcef344684521590f8f91f8b07</t>
  </si>
  <si>
    <t>200543C02005</t>
  </si>
  <si>
    <t>45fe82b9d9fbe6fe77493f581a91ae02a47b4756d35ada5f9a8d5cdd7a8deea9</t>
  </si>
  <si>
    <t>200543C03005</t>
  </si>
  <si>
    <t>ac45657c4cb2b095b9a93e6953f59962d0bd10a7ee7872e36d5bc68580c9455d</t>
  </si>
  <si>
    <t>200543E01005</t>
  </si>
  <si>
    <t>77b1f4100e4c17c2c37372b914fd306c6a2eb093d53f8056ade6dd392f58e179</t>
  </si>
  <si>
    <t>200543E01015</t>
  </si>
  <si>
    <t>9b2858fdda62c4b10af4001d7b551c2550205ec893771fce066b1e66292c65c9</t>
  </si>
  <si>
    <t>200543E01025</t>
  </si>
  <si>
    <t>9c739b582ba62a91cb2425325082979f774ccedf60f26ea3a014ab53eadcea73</t>
  </si>
  <si>
    <t>200543E01035</t>
  </si>
  <si>
    <t>e596d6d075fd4b10656b9aa53e79e66730c021b3295cc74425cdbd77cf27c98f</t>
  </si>
  <si>
    <t>200544B01005</t>
  </si>
  <si>
    <t>73acf002de8583b07467dd47887ef050be3db161783081318a6db3a451bbf39f</t>
  </si>
  <si>
    <t>200544C01005</t>
  </si>
  <si>
    <t>77a1dec35f9db15e79be1ef838731a47012b6f6a80c7e00b82b7efbddde2bb9b</t>
  </si>
  <si>
    <t>200545B01005</t>
  </si>
  <si>
    <t>7a7388c8f349f0c5d0ecc299e266e50bdf21bd8cb704ae4cf9fcf493d46205b7</t>
  </si>
  <si>
    <t>200545C01005</t>
  </si>
  <si>
    <t>94c6ea7b16e5a1a9f1eb70bc6a202bc90eb6cc8390782a68a7cf47fb1deab44c</t>
  </si>
  <si>
    <t>200545S01006</t>
  </si>
  <si>
    <t>7bbad871779cd7d139edd54be5c867f63fbbbdf9791e8d4b456cad844ec44dd4</t>
  </si>
  <si>
    <t>200546B01005</t>
  </si>
  <si>
    <t>eb109325f73ac2ecdc8cc11dc33196cccb835bf4188817cfb8a10eeb91cbd60a</t>
  </si>
  <si>
    <t>200547B01005</t>
  </si>
  <si>
    <t>0a4a560121ed0cddbc3612af48a7be8deb54f3c13bd0224b1dc5239b68f30cda</t>
  </si>
  <si>
    <t>200547C01005</t>
  </si>
  <si>
    <t>708cea840eb96caf45e71ec3addfa542ba758f53882ee340cf0f3f27b8af6dcb</t>
  </si>
  <si>
    <t>200548B01005</t>
  </si>
  <si>
    <t>218bec95df2255ecdd238dd3eac4768daa722c74f57005d762361f6f02349ed5</t>
  </si>
  <si>
    <t>200548C01005</t>
  </si>
  <si>
    <t>41d5fef78af7fa932bd04f52fc645927771ce1fce3028f1f9641df6971f3c753</t>
  </si>
  <si>
    <t>200549B01005</t>
  </si>
  <si>
    <t>eb0f96316f1c456ba29399b25b8446c71cc273c0e359940ed200015e2871d45d</t>
  </si>
  <si>
    <t>200550B01005</t>
  </si>
  <si>
    <t>b08d9ebf311aa416c31cda3409a3ba755d0d960366a49e82784e2936a0b35d4d</t>
  </si>
  <si>
    <t>200551B01005</t>
  </si>
  <si>
    <t>5ae5dd6c543bd1e0348631308fa5ca0ad35d62e69ddb3a910533200eb11f4693</t>
  </si>
  <si>
    <t>200551C01005</t>
  </si>
  <si>
    <t>96ee5892269abe98806acfc17985e8d0c947baca0890db3c77874bf7d69ca708</t>
  </si>
  <si>
    <t>200552B01005</t>
  </si>
  <si>
    <t>cb6f85704cdc3ddcccc75180d423d0226c071e3afccbea2b5cf8f045890e16aa</t>
  </si>
  <si>
    <t>200552C01005</t>
  </si>
  <si>
    <t>6cf4fe8b5c2ab01c515d5d6f7468b830e0a9612751178d63994af30fd0c67970</t>
  </si>
  <si>
    <t>200553B01005</t>
  </si>
  <si>
    <t>9727e55b01f469fd0718c070c8efac2fa1f7ff516f79dd6fb68a92d256bf812c</t>
  </si>
  <si>
    <t>200553C01005</t>
  </si>
  <si>
    <t>5f56a88b6b838ad85efb8689e82a44989c435797540e897f000164f6444b9df5</t>
  </si>
  <si>
    <t>200553C02005</t>
  </si>
  <si>
    <t>0c0a589fd06c58c0be6a339573c72287c1b925b4b52211edbfaffd4954e77eb0</t>
  </si>
  <si>
    <t>200553S01006</t>
  </si>
  <si>
    <t>4df11b10d84ee0966c3f5724e195002d96f4d365db0ad582fa862f734b29af0d</t>
  </si>
  <si>
    <t>200554B01005</t>
  </si>
  <si>
    <t>95979c8374f8477e793f6885243d5699acc5a0c41cbd2ea35bd2b0f246745ee8</t>
  </si>
  <si>
    <t>200554C01005</t>
  </si>
  <si>
    <t>5d06ba9f5c0bc82365ec2a013d83f1b02905599c9bf60aa58652f1162b85805b</t>
  </si>
  <si>
    <t>200555B01005</t>
  </si>
  <si>
    <t>e145f3b2fa44de4f18037938e2f9ec3239c4ac34a63837e0d6307acab4f8f569</t>
  </si>
  <si>
    <t>200555C01005</t>
  </si>
  <si>
    <t>92b792d65ac4ebe313f5931fe1902192cebea6e8c5517232629da03467303a3a</t>
  </si>
  <si>
    <t>200556B01005</t>
  </si>
  <si>
    <t>dad90e5f8d92d4dd04d778ac4d228fc352958974439dcdce6f1a99be46d81f94</t>
  </si>
  <si>
    <t>200557B01005</t>
  </si>
  <si>
    <t>5330035d93298b0a575c2266f4295b61bd09367d5b0fa614ce8e28e9cf6e93cb</t>
  </si>
  <si>
    <t>200557C01005</t>
  </si>
  <si>
    <t>a13f69d9e986bdce2336d8fd757ea1d78f3144d3ebea171e467e7a03cdcb17bd</t>
  </si>
  <si>
    <t>200558B01005</t>
  </si>
  <si>
    <t>5855150bdb73248a4f54446971ccaa661d116ddd91ee21426039a0eb996f6812</t>
  </si>
  <si>
    <t>200558C01005</t>
  </si>
  <si>
    <t>93d9bd102a8c16b03049f5c59a8646691a14a8a02dade4a3886471452496b7ec</t>
  </si>
  <si>
    <t>200559B01005</t>
  </si>
  <si>
    <t>2f700e5d81a5102cb07f980695bec2ca13691027c886addc22827764bc1a3c9e</t>
  </si>
  <si>
    <t>200559C01005</t>
  </si>
  <si>
    <t>bc7793deb2da00efdb53c6a0291e8290569be6d330a0851ee607b38ae7fe0a1b</t>
  </si>
  <si>
    <t>200559C02005</t>
  </si>
  <si>
    <t>cd06ddc462ad3b9d20ddc01660ca407efc7794caaf22ee6a88ec34e7055d12b1</t>
  </si>
  <si>
    <t>200560B01005</t>
  </si>
  <si>
    <t>06118811463b9dd51a893ffe551d9535f1572f5b8198e3a8c40f4919d0dea33c</t>
  </si>
  <si>
    <t>200560C01005</t>
  </si>
  <si>
    <t>6d1963df06b4d81261d788b77fe7731081892ea907fa3ef92dd000f7f167efc8</t>
  </si>
  <si>
    <t>200560C02005</t>
  </si>
  <si>
    <t>de5f3c45c97a07b875467a448dbf156c4b83e87b57b949366c87c5cd166b39b2</t>
  </si>
  <si>
    <t>200560C03005</t>
  </si>
  <si>
    <t>ef287b0f9e4186a38c763e398c95ce322ab7cd68bbd8dbbef0912179fed0e165</t>
  </si>
  <si>
    <t>200561B01005</t>
  </si>
  <si>
    <t>d2a4bf9e44fbc8a38c084d351fe6906b754768a37c1ae7ec0263ca508049e663</t>
  </si>
  <si>
    <t>200561C01005</t>
  </si>
  <si>
    <t>6385e2c06eadc04a433feffb7c0bd2dbd01278da5460713bfe0d5d814cae814d</t>
  </si>
  <si>
    <t>200562B01005</t>
  </si>
  <si>
    <t>e665844e8c3ea47a5d5b89c0fbc59d9e03d38ca4c9aa996f28ff6e84f957af2f</t>
  </si>
  <si>
    <t>200562C01005</t>
  </si>
  <si>
    <t>c6d16553e5d64dac437aa1071013b3ea08a2a3b40dd3f151971cf5a258dfe393</t>
  </si>
  <si>
    <t>200563B01005</t>
  </si>
  <si>
    <t>a4e1c70e9935e3a1c569e389f0317aa4c4a496812dcabab97054d580babf81c2</t>
  </si>
  <si>
    <t>200563C01005</t>
  </si>
  <si>
    <t>03d3bdddf58e06cbd30595fea769b5c997946e3bfeb3afd2facd28fdbf7a14ee</t>
  </si>
  <si>
    <t>200564B01005</t>
  </si>
  <si>
    <t>171b856df853219c81b4dcb5b698dd7bda710938c3f4d22a96e31c62160a1667</t>
  </si>
  <si>
    <t>200564C01005</t>
  </si>
  <si>
    <t>4d128b6825f016d0fbce2d7279de1dbb4964955de669427a8f01278990693707</t>
  </si>
  <si>
    <t>200565B01005</t>
  </si>
  <si>
    <t>8eeec10365b1089e7c647b53a2a27453c947b0e19541c3ff3a8f8bb59457e253</t>
  </si>
  <si>
    <t>200565C01005</t>
  </si>
  <si>
    <t>1d40d33e2dc97f62253c564cbf4ceda158d067c5c86c8b467d5866866ffd6404</t>
  </si>
  <si>
    <t>200566B01005</t>
  </si>
  <si>
    <t>b48b1d9ce34f1d11740e00feda34ffd286f23ef0f74c0bd4363cf4141932890b</t>
  </si>
  <si>
    <t>200566C01005</t>
  </si>
  <si>
    <t>000bf3547b777b13c7c512b0386305be25c0d0c8b3a72f21e83724f1bc2ebc32</t>
  </si>
  <si>
    <t>200567B01005</t>
  </si>
  <si>
    <t>b0c335a9f0483b522cea3df86413351ed1bfd29af1a74195e45855d7ee0e32cf</t>
  </si>
  <si>
    <t>200568B01005</t>
  </si>
  <si>
    <t>8481e371d0b4cac4f079886463ebeb6d70eab36aab2bcaae7ee9fbd2ab5b239f</t>
  </si>
  <si>
    <t>200568C01005</t>
  </si>
  <si>
    <t>2b30e26348148942f9ee73cdbbf8f163e066fce4c0f74fb92343547efc788c03</t>
  </si>
  <si>
    <t>200569B01005</t>
  </si>
  <si>
    <t>39b7ed82ee12a3586ab86895a8b9debd9d08ea9c707d90f8f590f4ea73b1f126</t>
  </si>
  <si>
    <t>200569C01005</t>
  </si>
  <si>
    <t>32166674e626c1d3ac94cb1914924f56a98a10b615565633f9ac109b5d2cd6c3</t>
  </si>
  <si>
    <t>200570B01005</t>
  </si>
  <si>
    <t>35b0b8811105a130749c9af94bc120e2207ad78fcfb02a5cf536a6ba43fff8b1</t>
  </si>
  <si>
    <t>200570C01005</t>
  </si>
  <si>
    <t>805e8d47cb6132f46e2af299aa202ee861bd6f641127247406e7df74cdb5e638</t>
  </si>
  <si>
    <t>200571B01005</t>
  </si>
  <si>
    <t>9442c4aede21aa6f1751b92181213d453c554aba15d4e5737b37d6afb35e6073</t>
  </si>
  <si>
    <t>200572B01005</t>
  </si>
  <si>
    <t>010f369dc946f3482f8ba521ffdce699c0c97a95fe31654a32e43561a0ce1882</t>
  </si>
  <si>
    <t>200572C01005</t>
  </si>
  <si>
    <t>c9f760a3bd246be8a082b536f953df57dcf0e22a3d41d66672401afcbdfb60c9</t>
  </si>
  <si>
    <t>200573B01005</t>
  </si>
  <si>
    <t>47dbef5fb155e5fdc685a7874c5543f71eeca9f4471f4989b41a705fd9b4d057</t>
  </si>
  <si>
    <t>200573C01005</t>
  </si>
  <si>
    <t>174a1b20d570fe68a890d60f157d88ed69dc41a04a3f91a95d65fecb90e40a2f</t>
  </si>
  <si>
    <t>200574B01005</t>
  </si>
  <si>
    <t>11773c4d5866e52662166165e189a74e2904ab622ad23cacbc0f68c889c3507d</t>
  </si>
  <si>
    <t>200574C01005</t>
  </si>
  <si>
    <t>557d602acec80a025cc2fff7ce43b3a6f80f807e18bc6f4831983ed941ef7716</t>
  </si>
  <si>
    <t>200575B01005</t>
  </si>
  <si>
    <t>6dc27c5224dfa0909539e1392726df9f94faa219ee45a1afc8085643c6ebfe40</t>
  </si>
  <si>
    <t>200575C01005</t>
  </si>
  <si>
    <t>b5942c70c9ea559fe8e81ca4eee41edb089b19428ad64426f000fe2a8ebf6294</t>
  </si>
  <si>
    <t>200576B01005</t>
  </si>
  <si>
    <t>5c82a7236eb443ad8662149ed65e52f3511078f07738fc68fcbdae05ff69663b</t>
  </si>
  <si>
    <t>200576C01005</t>
  </si>
  <si>
    <t>827e9c8d0502f3872c91b431ac25a8ade566e18b0f129efbdcecaadec1f1344b</t>
  </si>
  <si>
    <t>200576C02005</t>
  </si>
  <si>
    <t>e9d4a1c9d6a6af2ff9e2598ef2f70683d3c01d1c231064d6b3c50a49dde1ce82</t>
  </si>
  <si>
    <t>200577B01005</t>
  </si>
  <si>
    <t>2aa414251a8df1bc85bc370f79e325e53397946e8e145c8d884f5f393c7e3e0e</t>
  </si>
  <si>
    <t>200577C01005</t>
  </si>
  <si>
    <t>87f5a72e23ebadb172a1d85c9c9865a3d22b5d9286ee4af0b2ac88512cb8807d</t>
  </si>
  <si>
    <t>200578B01005</t>
  </si>
  <si>
    <t>3184f17a3708572df8cd42598b817847df70a5445339127c648e356f61092577</t>
  </si>
  <si>
    <t>200578C01005</t>
  </si>
  <si>
    <t>564d3f23c274d301cccf9ab2bd324fbaae0042c5d01aff524f99d172d842b555</t>
  </si>
  <si>
    <t>200578C02005</t>
  </si>
  <si>
    <t>4ae5be97db2754fa9637b6aab8ea00756b32774561cd1d78eee63deeecb5794d</t>
  </si>
  <si>
    <t>200579B01005</t>
  </si>
  <si>
    <t>15dca456f85fc180dc564e06d2efe3e0321d69ac4b60b4d821c42cb571b6dffe</t>
  </si>
  <si>
    <t>200579C01005</t>
  </si>
  <si>
    <t>2ec68f57ca950440ad3946a1ef677200108be576bb34324285b44dbacbf1e64b</t>
  </si>
  <si>
    <t>200579C02005</t>
  </si>
  <si>
    <t>79f0ae3ed665defce75ded0c63459c50b6fcf18994b1125d7abded7a80ee5f04</t>
  </si>
  <si>
    <t>200580B01005</t>
  </si>
  <si>
    <t>f2d44f545a9809fdcb4985701cb03a4f1ae31d43084a50d917ddbae75f2ba2cb</t>
  </si>
  <si>
    <t>200580C01005</t>
  </si>
  <si>
    <t>a1c6f233e4e7c02c4dccc123b2da630bb4113138f289409d1cc7b8989481e42e</t>
  </si>
  <si>
    <t>200581B01005</t>
  </si>
  <si>
    <t>64d079ac7ceef551de0bcdc4f96d68a604c69dc7f0a5b7dd792340bc34e246f0</t>
  </si>
  <si>
    <t>200581C01005</t>
  </si>
  <si>
    <t>99b526f71a4e1aa66571944047bd7f80d1471190e8376d048719acabd4a19261</t>
  </si>
  <si>
    <t>200581S01006</t>
  </si>
  <si>
    <t>bac615531b4a02d2592bd09dd6854b90db59c29113b3a7babbac5f8b9aa8cca5</t>
  </si>
  <si>
    <t>200582B01005</t>
  </si>
  <si>
    <t>e188df1984c20ce31923b9baf3d2f079460204db62eb3f855ef2bc1f96cec234</t>
  </si>
  <si>
    <t>200582C01005</t>
  </si>
  <si>
    <t>08e010685d0f95c4e67d04bd284d10463a6cb0b65ff9b8eb843c5dde5ada29a0</t>
  </si>
  <si>
    <t>200583B01005</t>
  </si>
  <si>
    <t>1590bcd6ca65daa6acafbd3f2be0c5dc20c6eee2be83bd841a345fa859da06dc</t>
  </si>
  <si>
    <t>200583C01005</t>
  </si>
  <si>
    <t>62a57635412c1ba5c1fb6a9c7b4f2bed8b264750e91686934ce3da641a26de41</t>
  </si>
  <si>
    <t>200584B01005</t>
  </si>
  <si>
    <t>e369a71cd1bcf8910e10af84638eebed84021ca542fa7a916bed5efb35460ee6</t>
  </si>
  <si>
    <t>200584C01005</t>
  </si>
  <si>
    <t>674fa797f09d133ea9426748b0de2cbc92b739a43b98a0906d0e84d80879b133</t>
  </si>
  <si>
    <t>200585B01005</t>
  </si>
  <si>
    <t>db08c50963a93de4fedb6f437dbc702cb32b094d5c1e9e72912e8b27ac121620</t>
  </si>
  <si>
    <t>200585C01005</t>
  </si>
  <si>
    <t>b42307c5795f479c446ba056e975d34e644e2204fbfa0e118a910b18437b4321</t>
  </si>
  <si>
    <t>200586B01005</t>
  </si>
  <si>
    <t>005631dace2eb5ef10aa9213031b9a7362d5605543bfbc7673a523e1031be24d</t>
  </si>
  <si>
    <t>200586C01005</t>
  </si>
  <si>
    <t>94bb000372395234416429cbd85712da69aed6805dcb978f005fa36f3d920bda</t>
  </si>
  <si>
    <t>200587B01005</t>
  </si>
  <si>
    <t>1c11c111a30e71674660caf7fa552add6b7ca7136eca725a7f455c61e7452109</t>
  </si>
  <si>
    <t>200587C01005</t>
  </si>
  <si>
    <t>b8d0594408db57bc7307c8640f27c61f80f94f827c55d9b300e883cc6ef93efb</t>
  </si>
  <si>
    <t>200588B01005</t>
  </si>
  <si>
    <t>3ef91113e1740b16961b2c539431695d909bf664a7e1ae0316bf1a6a17fa5c91</t>
  </si>
  <si>
    <t>200588C01005</t>
  </si>
  <si>
    <t>5fbdc6d1c974385f48cc1a998d4a6846c4fa61c6ec97ced9b2b39ebcbdcb181c</t>
  </si>
  <si>
    <t>200589B01005</t>
  </si>
  <si>
    <t>162efc9d0b6b23bd0cd6bfd5f51cc185d6c3ac2aebebf6fc4167fede13f306b9</t>
  </si>
  <si>
    <t>200589C01005</t>
  </si>
  <si>
    <t>325bfbb2ddfd4275cfa72dd6f90fc1d8e7162b8905047a9ee406008663f5d92d</t>
  </si>
  <si>
    <t>200590B01005</t>
  </si>
  <si>
    <t>8728812062e393743c92c39051c6944a1c41513196f666e09f933019b5e18e1e</t>
  </si>
  <si>
    <t>200590C01005</t>
  </si>
  <si>
    <t>8bd129cea23ab792a82f7994d9ca4c947730220643a0241fc63ac69711eded22</t>
  </si>
  <si>
    <t>200591B01005</t>
  </si>
  <si>
    <t>ba12e386561ee9f7f07f9db964e2e94b13b909de776b3a7fc505c14ec8cbfeb0</t>
  </si>
  <si>
    <t>200591C01005</t>
  </si>
  <si>
    <t>4cec8f6bf1584c01101e8dee3db1bd6cb4e99ab36512e436e5d1eeedc3474905</t>
  </si>
  <si>
    <t>200592B01005</t>
  </si>
  <si>
    <t>cce9a1343da2ff2c61becfb17d09bd1d6e19404cd597758278ad9aac68d07380</t>
  </si>
  <si>
    <t>200592C01005</t>
  </si>
  <si>
    <t>6093766d7e6ce7b2993bd418d8e4f636499fb83d7b23b2635633f75a975bc3e4</t>
  </si>
  <si>
    <t>200593B01005</t>
  </si>
  <si>
    <t>6140aa15c6149c9f5f34496a3060e2ebaef3ed2bf3b15586455011f07ffea168</t>
  </si>
  <si>
    <t>200593C01005</t>
  </si>
  <si>
    <t>7c7c7289af547291848d91b3234a3e4cad39405f16480f91d2fd222d47c69851</t>
  </si>
  <si>
    <t>200593C02005</t>
  </si>
  <si>
    <t>6a6f2e95d0ca4abe0d5374ac237f0dcdef4bf88a2687bf0f1d8c0f757b868c99</t>
  </si>
  <si>
    <t>200593C03005</t>
  </si>
  <si>
    <t>a57a53bc4e72d0aae66fd501fad031f9c1c238d3cbdb6abb99dc13e775edd061</t>
  </si>
  <si>
    <t>200593C04005</t>
  </si>
  <si>
    <t>b599fd7a26dcc9ac5e65b6707cadb3be4f1d924a53dff9d903cedd48908a2fcd</t>
  </si>
  <si>
    <t>200594B01005</t>
  </si>
  <si>
    <t>3787086ef9814b0a5bf745beee0787be687904ad15b9b34537db2710d8ff1378</t>
  </si>
  <si>
    <t>200594C01005</t>
  </si>
  <si>
    <t>b7ba2d0cfb4844871e2bce1762f8e2ca25217b3eab8534fa978e90ebe0888609</t>
  </si>
  <si>
    <t>200594C02005</t>
  </si>
  <si>
    <t>63470d5719b28345cb13432ed6a5cf1c461664b21abb8b2b2a39ccb488464c25</t>
  </si>
  <si>
    <t>200595B01005</t>
  </si>
  <si>
    <t>e27a372df1232801535bf68c856cd71591ffd1bf838d3d8dbc1d45f32fba7bee</t>
  </si>
  <si>
    <t>200595C01005</t>
  </si>
  <si>
    <t>6803282f07c24973b70c93807ed857a2161d640c36acf36ea05e95fdfe551da1</t>
  </si>
  <si>
    <t>200596B01005</t>
  </si>
  <si>
    <t>8ec0458a94116f077c820040facdbd554606ff2669835dcd68c72b240572540d</t>
  </si>
  <si>
    <t>200596C01005</t>
  </si>
  <si>
    <t>96d45e0ba3474396c9f30483cf7cbf8dc6d889d112899630700746cdf9dc5023</t>
  </si>
  <si>
    <t>200596C02005</t>
  </si>
  <si>
    <t>1bc57842368b7bb2c35532401965603517e8927c0d7b6ab51965af591341cbee</t>
  </si>
  <si>
    <t>200597B01005</t>
  </si>
  <si>
    <t>1d0f37a619b54849dfe5ed9df39fd383f47acc9ef0a585c1191b7f94b4a5507f</t>
  </si>
  <si>
    <t>200597C01005</t>
  </si>
  <si>
    <t>88d018c0ed891db52bf4e904e5056d563a3a932b0ab8c00374d926e034a323f3</t>
  </si>
  <si>
    <t>200598B01005</t>
  </si>
  <si>
    <t>5717152a4c9954c9fc2766b189c86cd9043ca28ba401d61c321a1e1506b436e4</t>
  </si>
  <si>
    <t>200599B01005</t>
  </si>
  <si>
    <t>5e61e83075c63eb4670aa34b9a95634a7c61739d93b3b9850dc19f6e8eff9e68</t>
  </si>
  <si>
    <t>200599C01005</t>
  </si>
  <si>
    <t>3b2bb88f30ec2a33c7d84179c88277f54da3a6fba89262960cdedd9afbfb36a0</t>
  </si>
  <si>
    <t>200600B01005</t>
  </si>
  <si>
    <t>62ab40da3e4a5484343fe121832ff794f34bae66d259aadc7e21719add03d243</t>
  </si>
  <si>
    <t>200600C01005</t>
  </si>
  <si>
    <t>6f03d15b01a56847d45f2190fd5ff79842daa264be0f5884d803471ab2489118</t>
  </si>
  <si>
    <t>200600C02005</t>
  </si>
  <si>
    <t>078b419f8646998a3669c7ea17cd410cda1f00be28c6661af87cfa4e84437bfa</t>
  </si>
  <si>
    <t>200601B01005</t>
  </si>
  <si>
    <t>06593811362dd3f16d793e3d26981282da1290ceaf9058143deb084f93bfc53c</t>
  </si>
  <si>
    <t>200601C01005</t>
  </si>
  <si>
    <t>4bec438efc0a75cbe9807656b7c0eeaafe2562d4cd3e7af53b75e6b6f26ba68c</t>
  </si>
  <si>
    <t>200602B01005</t>
  </si>
  <si>
    <t>306222579a4a86c9e3fe289857f07bd08b6bc6f71be568c70af1cbd9b2cc0880</t>
  </si>
  <si>
    <t>200602C01005</t>
  </si>
  <si>
    <t>dc51fa98bb77f77f41325cf3afcaf5e51ef6862284e231ac98b8ed4b7b878102</t>
  </si>
  <si>
    <t>200603B01005</t>
  </si>
  <si>
    <t>942a214c2fe7f2b98c296ef8c64f7d4e2217926ad4b45df846d02d4a8a13879c</t>
  </si>
  <si>
    <t>200604B01005</t>
  </si>
  <si>
    <t>febd7b7912158c12650adeb016ba6225bf4c2ee770114e607d06a3c5143e52b0</t>
  </si>
  <si>
    <t>200604C01005</t>
  </si>
  <si>
    <t>b989ca223bcb0032d2ed277385130eec41ea9c6e12bb9430bcabf9f0a40fa389</t>
  </si>
  <si>
    <t>200605B01005</t>
  </si>
  <si>
    <t>a0cfd707ed122ff64949935495b65b626fac4f283bd2bab3efaedeb608392795</t>
  </si>
  <si>
    <t>200605C01005</t>
  </si>
  <si>
    <t>fd53b8c672672e1b16a7f32a0a8d5903669c01215b19fbd602fec1c330286cc3</t>
  </si>
  <si>
    <t>200606B01005</t>
  </si>
  <si>
    <t>9e1eacbcc4a191a2375f5003adf687e90ac397466f0f542a86eecf02982a5088</t>
  </si>
  <si>
    <t>200606C01005</t>
  </si>
  <si>
    <t>9561797a503f69ed319c0b75a121d2d82d549663304bf7594b08f540d89eb554</t>
  </si>
  <si>
    <t>200607B01005</t>
  </si>
  <si>
    <t>ce6e9a0a8c88c3df6ec548401e9be0131f5f90cbfce3c669306fdcdacad5a2d3</t>
  </si>
  <si>
    <t>200607C01005</t>
  </si>
  <si>
    <t>a59086a0a404cb7fca5077ed3422826e5f4ffc8f44477cbc8baccbe17df466a6</t>
  </si>
  <si>
    <t>200608B01005</t>
  </si>
  <si>
    <t>795596dc2b3660b41cd5523e538879e4b34934cb832237daffbea25c2a13bece</t>
  </si>
  <si>
    <t>200608C01005</t>
  </si>
  <si>
    <t>d8ae3917a0de8206bc43bd0241c263fecd6805dc211c8ad598a57e91e1dd077c</t>
  </si>
  <si>
    <t>200609B01005</t>
  </si>
  <si>
    <t>d871fae3e06192243436b65bac1fd816aaf3ec4d8184892e377122aff10774c2</t>
  </si>
  <si>
    <t>200609C01005</t>
  </si>
  <si>
    <t>e6f84bf1c1f1abb6c8dfaeee861d57e41052b3943f4b778ce61ff1f2c20634b2</t>
  </si>
  <si>
    <t>200609C02005</t>
  </si>
  <si>
    <t>5f52b0cb42d4b2a1c03acd80c78df2fd0753ea72221253fb347956454c929d91</t>
  </si>
  <si>
    <t>200609C03005</t>
  </si>
  <si>
    <t>f1aad768ef4b7e0852eb55ed111fd8512b873f2bad9fafdc1be760e9d3d4f1ea</t>
  </si>
  <si>
    <t>200609C04005</t>
  </si>
  <si>
    <t>ad100f555de634d89054c009875762bcf290c3a1cfca410f1f45cdd02876a630</t>
  </si>
  <si>
    <t>200610B01005</t>
  </si>
  <si>
    <t>065ec231625f5b9132317b2db4d6170fc9eb53a03b92c289411dc05a93614e86</t>
  </si>
  <si>
    <t>200610C01005</t>
  </si>
  <si>
    <t>44ba87dcf9ba60be2fd2110bfcfa4f8ee5c1474cf07d6f6a03f5240398d4519f</t>
  </si>
  <si>
    <t>200611B01005</t>
  </si>
  <si>
    <t>e9b8a94719fa8f3a71e175cf807d3ce7b10e9f90ca34aa3634daa1c5c8a9a401</t>
  </si>
  <si>
    <t>200611C01005</t>
  </si>
  <si>
    <t>f2c334c401565a5e4a5ec0a9f4208fda7f2451d6e93031876b5dfa98cdc8752e</t>
  </si>
  <si>
    <t>200612B01005</t>
  </si>
  <si>
    <t>8c84de1489bb1f3669af0798d7d2c1c726f030456b996eabd6757be7302db42e</t>
  </si>
  <si>
    <t>200612C01005</t>
  </si>
  <si>
    <t>3fdd30129e527a8ee89211724cf3d15cb3683dc7afd1e25699768108d5ca04fe</t>
  </si>
  <si>
    <t>200613B01005</t>
  </si>
  <si>
    <t>9b432086a0cc85b4b0c326bae3b9e86cc640f2eb08970f4173fafc4b1021c2e9</t>
  </si>
  <si>
    <t>200613C01005</t>
  </si>
  <si>
    <t>84d4ae43d714880ac5d3c92bef17057f2fafe0d7768eccd3d5d56d026dfbaacc</t>
  </si>
  <si>
    <t>200614B01005</t>
  </si>
  <si>
    <t>409ac17735bea91f8f9770b159fb88c8b1dac1c9797701bbec15e9c598b1e0ee</t>
  </si>
  <si>
    <t>200614C01005</t>
  </si>
  <si>
    <t>f706cb281d756f2000e17aee5e10480df65198e1d4271c4a064b731b17f0b3d7</t>
  </si>
  <si>
    <t>200615B01005</t>
  </si>
  <si>
    <t>470bd0beb1cd22a610a0b86c4a6542f6bd5256f0b00037b1e99c0bf5157a400a</t>
  </si>
  <si>
    <t>200615C01005</t>
  </si>
  <si>
    <t>2050f556d718abc79fa00585d7f6961d7559b042c04baf9359a958a78aa945c7</t>
  </si>
  <si>
    <t>200616B01005</t>
  </si>
  <si>
    <t>f90573e46534056e0743846add65645663789159c1e18771474bd3fa6a3a61dd</t>
  </si>
  <si>
    <t>200616C01005</t>
  </si>
  <si>
    <t>d1c66482bebe6a1d77b729db651453e5eb63d314875d8cd69076f11fa3493c76</t>
  </si>
  <si>
    <t>200616C02005</t>
  </si>
  <si>
    <t>9cd6463a3926379c7271003800f032dbfbd7f60051370e36d064aad803c15e3d</t>
  </si>
  <si>
    <t>200616C03005</t>
  </si>
  <si>
    <t>55adbf630d26b0bcce1a2a7449d4640e5726d9579e5674e9b0d70e88b427dc20</t>
  </si>
  <si>
    <t>200616C04005</t>
  </si>
  <si>
    <t>c5fcb51427790bfd78c7112ef916c57f6f6179cb851003b1b3fa12b737a4cffd</t>
  </si>
  <si>
    <t>200616C05005</t>
  </si>
  <si>
    <t>b5bc9bc4300a1a5ca6f60fb6ccddaa134d9c0c4b21f37d32793bd5ee02fe8f79</t>
  </si>
  <si>
    <t>202454B01005</t>
  </si>
  <si>
    <t>87944083c6090d55c2034f850a6643e48d5267d93bead77f3bf98c6983887b49</t>
  </si>
  <si>
    <t>200617B01005</t>
  </si>
  <si>
    <t>OCOTLAN DE MORELOS</t>
  </si>
  <si>
    <t>6538bfc234f45179789603f5182afcb75373cf9dadc093f31e5f8fc6bd3f4383</t>
  </si>
  <si>
    <t>200617C01005</t>
  </si>
  <si>
    <t>676ac8d4afa410f05ddef561d97dd0e8045733d97deaaecf20793e120f25b4a9</t>
  </si>
  <si>
    <t>200617S01006</t>
  </si>
  <si>
    <t>88b8fdaabb737afa8effe5078c11c7fd97328abfb343a8a9558e322228f685d5</t>
  </si>
  <si>
    <t>200618B01005</t>
  </si>
  <si>
    <t>52b90c48adfde2f9784307e507415d17163d0464f568186f3dcce43a776d5b34</t>
  </si>
  <si>
    <t>200618C01005</t>
  </si>
  <si>
    <t>db2aaf0af7b8b1650b7e51f3f735cc1006c8ed05a2326843e06283b289d63737</t>
  </si>
  <si>
    <t>200618C02005</t>
  </si>
  <si>
    <t>b6abea753f51ffb83d4c3a58eb0e9612646f42986ca64065abbf81cb6698c3af</t>
  </si>
  <si>
    <t>200619B01005</t>
  </si>
  <si>
    <t>bad52543e14ac664d91217da86dc91bc0de1e0c3112a44df168d4914e2d03ed6</t>
  </si>
  <si>
    <t>200619C01005</t>
  </si>
  <si>
    <t>cca5bfd94fa3607bc9b5635c38a2bced320608612e834659a2bd88787eb7cb00</t>
  </si>
  <si>
    <t>200619C02005</t>
  </si>
  <si>
    <t>6cc5bbcb7c049400511cfb96222fd159d6de39d83aefe4d95b2b08bf8439c942</t>
  </si>
  <si>
    <t>200620B01005</t>
  </si>
  <si>
    <t>d028c47d127a830ef39d9faed1877f79dfecc8b45ae79ebeae5154549870e6da</t>
  </si>
  <si>
    <t>200620C01005</t>
  </si>
  <si>
    <t>3dd8f43ad6967014f14d9136236f163b1fdb17625473010aba0a39dfa5587b97</t>
  </si>
  <si>
    <t>200620C02005</t>
  </si>
  <si>
    <t>d6d9d038f70a00808058b1dcdbcf57e817a70573402bf9cd6efa0bbab6667f95</t>
  </si>
  <si>
    <t>200620C03005</t>
  </si>
  <si>
    <t>5fe2fedd3b8e5b4a19b6123d3f5381e86abc3cd81079d17529ac8ea61e2447da</t>
  </si>
  <si>
    <t>200621B01005</t>
  </si>
  <si>
    <t>d0bc04c03e41c265be899f57aa506275ef39e5162037f640e3545f7a2e3cdd42</t>
  </si>
  <si>
    <t>200621C01005</t>
  </si>
  <si>
    <t>e5b846643dd0fd649048313157488af8ef19cc0e5b6fe70cbe0c2175020db743</t>
  </si>
  <si>
    <t>200621C02005</t>
  </si>
  <si>
    <t>f29af383490550a3635ec06a27422cabbbab3cd9667d6b4c86b19fd5c3602531</t>
  </si>
  <si>
    <t>200622B01005</t>
  </si>
  <si>
    <t>8a94afc64ce76009f29ed5ff15fe62a813da7c5cdaccf8883b0f790e6d06781d</t>
  </si>
  <si>
    <t>200622C01005</t>
  </si>
  <si>
    <t>59497cfe6b8ccfea12b251c55e9f7bc2cb821f343d14147ff2756c999b550bd9</t>
  </si>
  <si>
    <t>200622C02005</t>
  </si>
  <si>
    <t>897735518db144810edbf041cf8723f8043418d092f29d0c0726b97a8a5be982</t>
  </si>
  <si>
    <t>200623B01005</t>
  </si>
  <si>
    <t>e70737c1a393d939ef82c71bc15706e306a6358d95c6cf8fe6394a2fcb57c341</t>
  </si>
  <si>
    <t>200623C01005</t>
  </si>
  <si>
    <t>446283031a5aef00d49c99af95d6ea068a6cba62deadd775847730849f308fce</t>
  </si>
  <si>
    <t>200624B01005</t>
  </si>
  <si>
    <t>b10fc7e2aa1fc259743b00a04f95eed104d65dc47057e276e36e580575b768b4</t>
  </si>
  <si>
    <t>200625B01005</t>
  </si>
  <si>
    <t>673534692321c6d9a948164b9812bf36506f262e6ae27b82c7baacf894307280</t>
  </si>
  <si>
    <t>200626B01005</t>
  </si>
  <si>
    <t>13da6efde8766e6713bb975dec0f99d9a0ef038b89d306f428ace129da5a1a7f</t>
  </si>
  <si>
    <t>200627B01005</t>
  </si>
  <si>
    <t>f2b0275b1349f93490a2deec8ce54836c4a1ef01d548bb5bc73f12cb35eddd07</t>
  </si>
  <si>
    <t>200628B01005</t>
  </si>
  <si>
    <t>359e0c58c373ba6dac4d1195c3f6d802169c1d13d01dee50d245159339b2e4aa</t>
  </si>
  <si>
    <t>200629B01005</t>
  </si>
  <si>
    <t>ceaf91ae33064601b06044e6c128620c88620521c336c3857951853cfad1bd85</t>
  </si>
  <si>
    <t>200630B01005</t>
  </si>
  <si>
    <t>7d2f3c771d66b9a7466215d2b5dd83b1f1f32bb7511d240619a77a100b0ef77b</t>
  </si>
  <si>
    <t>200630C01005</t>
  </si>
  <si>
    <t>12ab800de3ad0b94555640883828bbc68ea76d5b9aa9fc18102eb5a616be9593</t>
  </si>
  <si>
    <t>200631B01005</t>
  </si>
  <si>
    <t>b2aa5dfb68e10af6599cb7bd5aba565c30c4b9013d13c11777529029d265a5f3</t>
  </si>
  <si>
    <t>200633B01005</t>
  </si>
  <si>
    <t>PINOTEPA DE DON LUIS</t>
  </si>
  <si>
    <t>51fa28226f8a1bad476f1c91fa64880ae93b0e61a63366f5f1237bf5984ca7d4</t>
  </si>
  <si>
    <t>200633C01005</t>
  </si>
  <si>
    <t>fbf242050b7c7a77cd52a4339d02455939b2af3e0ab19f797e274f361782950a</t>
  </si>
  <si>
    <t>200634B01005</t>
  </si>
  <si>
    <t>e61b0435583069a3c071d98a576e9d58d8b286a1450378b17152bd9288a9c72c</t>
  </si>
  <si>
    <t>200634C01005</t>
  </si>
  <si>
    <t>dd952670e50150a78128bd3a6e75783c55d67edd65ce42167e3e901c3dd5c04c</t>
  </si>
  <si>
    <t>200635B01005</t>
  </si>
  <si>
    <t>f030fbf0151451337e2ad3def8b2b009cdae198c93b73155f2c8b4923bae1fd2</t>
  </si>
  <si>
    <t>200636B01005</t>
  </si>
  <si>
    <t>c41c10cea2b757d07606df49cb62cf91b22d682badfea1d05250eb5108263269</t>
  </si>
  <si>
    <t>200636C01005</t>
  </si>
  <si>
    <t>e1b91d3f469500b481ac5fec56b261a31abcd5f1ea1d2ffc6a47c0fd7cd008dd</t>
  </si>
  <si>
    <t>200637B01005</t>
  </si>
  <si>
    <t>3e7915b14d08c90ab3a5e58e83c29a6b2eb9d9ab8f3c2025a4f2e56e2e62fcff</t>
  </si>
  <si>
    <t>200637E01005</t>
  </si>
  <si>
    <t>8f46b0526b2cf7ba7297f339fae5c9dbf4e9ac9be33f98ce6cd4e34298c68069</t>
  </si>
  <si>
    <t>200643B01005</t>
  </si>
  <si>
    <t>PUTLA VILLA DE GUERRERO</t>
  </si>
  <si>
    <t>64c4ec29dc21251c73ddc008e1f36be277116bd2919dc5750f33746187fe627a</t>
  </si>
  <si>
    <t>200643C01005</t>
  </si>
  <si>
    <t>d3e9c874c2fabb1c2ee2b70a2d6e38b25dd0c39713fadfb139668e48b01d3d44</t>
  </si>
  <si>
    <t>200643C02005</t>
  </si>
  <si>
    <t>790cd3a44500662fc8fc8453bb1f4879a803662120f6c130ec52ed8c7d819b94</t>
  </si>
  <si>
    <t>200643E01005</t>
  </si>
  <si>
    <t>f4c45ea8cd0ad7e1b22ee65d74743e03a7c2c63374c776df71e05527c714ff51</t>
  </si>
  <si>
    <t>200644B01005</t>
  </si>
  <si>
    <t>80bbf7169abbe6d86eabb028e61ffa0c21b8be95f268fd66e427a4de2f39baac</t>
  </si>
  <si>
    <t>200644C01005</t>
  </si>
  <si>
    <t>4619102c302ac536b6df4b80a9e80898405f2a7e05fecfd4d9dd30bca69f6acc</t>
  </si>
  <si>
    <t>200644C02005</t>
  </si>
  <si>
    <t>aa2e3ebdbbae9348c3c837f7c0c637ac5e2abaf1c4211a9c0ade69f6132d0103</t>
  </si>
  <si>
    <t>200645B01005</t>
  </si>
  <si>
    <t>915d845ba24112ad8a6108505ae665725439bf035362e36b830b7f686a63428c</t>
  </si>
  <si>
    <t>200645C01005</t>
  </si>
  <si>
    <t>d69a5b3a2ab2996ad5293a7c8a4227bd39c1db829f8e85f149900a8b1d4accc1</t>
  </si>
  <si>
    <t>200645C02005</t>
  </si>
  <si>
    <t>76dc1226f5b6b639bfd27dbd13a06fe30ec017577238ac3ea869d395f7cc8fa2</t>
  </si>
  <si>
    <t>200645E01005</t>
  </si>
  <si>
    <t>3c8c3920321cee619902e51465cfa48e5c0e7983abb96319dd836704da78c77b</t>
  </si>
  <si>
    <t>200646B01005</t>
  </si>
  <si>
    <t>7a5348af5313c5d145183e988b9ee250f516b789f0f3d578cb841d8d746cf945</t>
  </si>
  <si>
    <t>200646C01005</t>
  </si>
  <si>
    <t>3a4bb5db61697c1ed16f7277db2b608b1d0e8e3547dcb0306349806b8cc8f195</t>
  </si>
  <si>
    <t>200646C02005</t>
  </si>
  <si>
    <t>5853b9984ceab6c293325ce6c913736033fbd2c0a2988fd6fa883a129e90bc5b</t>
  </si>
  <si>
    <t>200646S01006</t>
  </si>
  <si>
    <t>ffdd57d6f392cdb9417f8338be977fdc12520422f06acd44756726761ad473d6</t>
  </si>
  <si>
    <t>200646S02006</t>
  </si>
  <si>
    <t>b23937a491ad082bdbc947de99e097f50b377377dd02674875e18efc7ddf853a</t>
  </si>
  <si>
    <t>200647B01005</t>
  </si>
  <si>
    <t>4b54a4b9d6ff13db784fc7107acf23d8697374ad4b6020a2010290b0dffbe4bc</t>
  </si>
  <si>
    <t>200647C01005</t>
  </si>
  <si>
    <t>b4f14eed88c2ff95f6f9072ab40b8d2ceff58b744b403339e0fff97deb0013d1</t>
  </si>
  <si>
    <t>200647C02005</t>
  </si>
  <si>
    <t>ee94002cd9925ec07741affc604a26e7b87bc846b67e77666bf836292a5aaade</t>
  </si>
  <si>
    <t>200648B01005</t>
  </si>
  <si>
    <t>15b160a78e6d510039e0da6423c87d0731b667097e164f75f04eadda3fd3df88</t>
  </si>
  <si>
    <t>200648C01005</t>
  </si>
  <si>
    <t>b0e311d65ae8c7ebfbcca04e6de1097213e4efcd53b21d3bd82b3aa557d3f347</t>
  </si>
  <si>
    <t>200648E01005</t>
  </si>
  <si>
    <t>c0f134c83a871e6ef59e10aedfcb8723eeb2c04026b2848145f190c78b535f25</t>
  </si>
  <si>
    <t>200648E01015</t>
  </si>
  <si>
    <t>71e08d0011a6192510316e5fc2fd2319d09b2a848be9ad5cb9e4de446f75fca3</t>
  </si>
  <si>
    <t>200649B01005</t>
  </si>
  <si>
    <t>f08f2096a9b804ce3c21bf57738085be3762ad7fdd4574405178f153ede4df61</t>
  </si>
  <si>
    <t>200649E01005</t>
  </si>
  <si>
    <t>f22aa5176bd949a2f424bd5837a0e7bd922d777c7a8fc475508e8ba8e89ec634</t>
  </si>
  <si>
    <t>200650B01005</t>
  </si>
  <si>
    <t>87b0fb509ce32c2994b4b053e25ce69b559653fb0e7c3a904dbd7abf406e80c2</t>
  </si>
  <si>
    <t>200650C01005</t>
  </si>
  <si>
    <t>a4e49d0d2112431c7266b1a35abc8aaba93811a8e70b7ffc7ba87af06305c010</t>
  </si>
  <si>
    <t>200651B01005</t>
  </si>
  <si>
    <t>e4e948acf8982ec23abf7593f91e63a79308a1b61aeb2b41eb8282b29c992865</t>
  </si>
  <si>
    <t>200652B01005</t>
  </si>
  <si>
    <t>d32c28b2baacfc9e9638016bed7b85af08da4b3598b9f74aab26392dc92899b6</t>
  </si>
  <si>
    <t>200653B01005</t>
  </si>
  <si>
    <t>1758b45de52f1c03d4db54657bb87dd778267bf555a9b35157d5e0b72166b53d</t>
  </si>
  <si>
    <t>200654B01005</t>
  </si>
  <si>
    <t>7b9e514a336e8d13427dfb54ea67fb557517a028a08b7e693ca5545689aafd8a</t>
  </si>
  <si>
    <t>200654E01005</t>
  </si>
  <si>
    <t>e80b2b4d644b62d5b23d682299ca782bb1778b55377d57e886e29a779be2b8cf</t>
  </si>
  <si>
    <t>200655B01005</t>
  </si>
  <si>
    <t>10728ef47a80854c30c7bb866619c0e1fd6af75f655d8365fa8c5da4127eeada</t>
  </si>
  <si>
    <t>200655C01005</t>
  </si>
  <si>
    <t>4837137b0ed6eee7e3d6ff8f3eef753a1aa12b24a5ae329763d9de8b6a7f11fd</t>
  </si>
  <si>
    <t>200656B01005</t>
  </si>
  <si>
    <t>fef6e3748c96544aa066e64bcaabeed38ecfb2482acc4e561ef5a7ba89fc5cd5</t>
  </si>
  <si>
    <t>200656C01005</t>
  </si>
  <si>
    <t>2e0b5658ead129ef18c856a9b251f19df448d618f52e08f5987697a7d1ea5334</t>
  </si>
  <si>
    <t>200657B01005</t>
  </si>
  <si>
    <t>06e3f9ecceeb7a049fb1317281994806c8e4e2178002a0e08a2fe8b93b937eb4</t>
  </si>
  <si>
    <t>200657C01005</t>
  </si>
  <si>
    <t>e59efc631f8926ee7c9d96b67ba5c05d79e09e78959f7dc182b94b6f0387b8df</t>
  </si>
  <si>
    <t>200658B01005</t>
  </si>
  <si>
    <t>06137808c8ab9c77f1d0deb1242c225fae3255ec64618055fd17e2f2247d6f5d</t>
  </si>
  <si>
    <t>200659B01005</t>
  </si>
  <si>
    <t>5b5238c51941efecfd6a555105302ea822a39497b73c5d944ff13930470f3588</t>
  </si>
  <si>
    <t>200659C01005</t>
  </si>
  <si>
    <t>269ca4879a016d33d6aae1bd817d1918931d98ddd6cb7ad0919457377961a300</t>
  </si>
  <si>
    <t>200659E01005</t>
  </si>
  <si>
    <t>e30c4eb0e09c8780ab4ee997621c4ba790ca96540cb5234f4682aaecdfc1d324</t>
  </si>
  <si>
    <t>200660B01005</t>
  </si>
  <si>
    <t>791f863128d0c15bb83f2009d52455461e77bbe850aae3515e787c90015c933d</t>
  </si>
  <si>
    <t>200660C01005</t>
  </si>
  <si>
    <t>29fd876c63ece60ef00221cd9aea33276cba697c54efef2cee2bc239c4e4ae0e</t>
  </si>
  <si>
    <t>200661B01005</t>
  </si>
  <si>
    <t>REFORMA DE PINEDA</t>
  </si>
  <si>
    <t>b8dd7c2c0609464dd7fdb044eb6d9b59d8aa954ed3a473917dd433b3ed75adbe</t>
  </si>
  <si>
    <t>200661C01005</t>
  </si>
  <si>
    <t>49b9b80239caa851ddf25b9e9b43dc62758ce39ae4302d862218d3b5d79be8d0</t>
  </si>
  <si>
    <t>200662B01005</t>
  </si>
  <si>
    <t>c465ed50f015dd4ed57f7063174235be03085fff1757acd5e9bed29ccada9bb6</t>
  </si>
  <si>
    <t>200662C01005</t>
  </si>
  <si>
    <t>cd478260c8b4b46cac8529970bf23e9da148db99144b4b3689e8ef08bfe212d2</t>
  </si>
  <si>
    <t>200669B01005</t>
  </si>
  <si>
    <t>SALINA CRUZ</t>
  </si>
  <si>
    <t>2f37668960488ad42e925b0f95d1091da9f29f67f978c1c767a22719129e9026</t>
  </si>
  <si>
    <t>200669C01005</t>
  </si>
  <si>
    <t>c9faf8b19a6b8adf0b6431ebaad4fa16a482b1a157b436320185ab27a02a65dd</t>
  </si>
  <si>
    <t>200669C02005</t>
  </si>
  <si>
    <t>e15eb29f261c800838893e2069e1ef92b8ac9aa355e59fe79914e618875460ce</t>
  </si>
  <si>
    <t>200669C03005</t>
  </si>
  <si>
    <t>2f2b14de66809be638364b06380e0ea6e0b27ce8a77eef10c741c7c7417d728d</t>
  </si>
  <si>
    <t>200669E01005</t>
  </si>
  <si>
    <t>a1a30e4d669b1be5c9ae71fa3ec5ba8c30d9d4b605896f499326e78794800c67</t>
  </si>
  <si>
    <t>200669E01015</t>
  </si>
  <si>
    <t>7a130c0666a6a28b65132eeeff2aa4b627a894ad0ad204515641d942dfc42578</t>
  </si>
  <si>
    <t>200669E01025</t>
  </si>
  <si>
    <t>0b04e133b61d170b236eea67e17b408045ba664a8536d78a1e13039d16dc756c</t>
  </si>
  <si>
    <t>200670B01005</t>
  </si>
  <si>
    <t>405b5b7a566a14fb3a0c382a6beeb5f77fbec6e8f88b393eeb0feaa0b12b9b2c</t>
  </si>
  <si>
    <t>200670C01005</t>
  </si>
  <si>
    <t>7e90dd86a01335489a6320d4f73e6e6953222307d03be4252abcfa8273fd92b1</t>
  </si>
  <si>
    <t>200670C02005</t>
  </si>
  <si>
    <t>37e5c50b615c0e35e8fcfbee09791acdce49ae48cd9c8d167a316ce13e001670</t>
  </si>
  <si>
    <t>200670C03005</t>
  </si>
  <si>
    <t>60eded866c73f813f254008e268748cc12ae928cc70683d4034b0494e87f8c7b</t>
  </si>
  <si>
    <t>200671B01005</t>
  </si>
  <si>
    <t>e2b3ad3cc64b32650701075e943ac4ae00f046c733c798dab611cf6343fc7cc7</t>
  </si>
  <si>
    <t>200671C01005</t>
  </si>
  <si>
    <t>2dec1f8dd38ecd1f5617f94302560a052b91120e05eb2ddf390cbf02552b92a4</t>
  </si>
  <si>
    <t>200672B01005</t>
  </si>
  <si>
    <t>05dd6b1e395fc23226306e93ac02626fe9e71af0407969ecba7f2dba5a73f17b</t>
  </si>
  <si>
    <t>200672C01005</t>
  </si>
  <si>
    <t>bb87ac8c890b9837a05e395f0180bb0384ec038a490acdf92c4e6644323bdf0c</t>
  </si>
  <si>
    <t>200672C02005</t>
  </si>
  <si>
    <t>69c8aa52e8ef205dbaa52e3939097b0ce82f3c4b07d8aec3dd3882b221429519</t>
  </si>
  <si>
    <t>200673B01005</t>
  </si>
  <si>
    <t>194bc23df6500d9da90bc6ac3569daef395dc1c71f743559cda8d21a87d39ad3</t>
  </si>
  <si>
    <t>200673C01005</t>
  </si>
  <si>
    <t>099e5a8505dc93867fdef435ad88287ae60122f243497d86b6022bb9bed320d5</t>
  </si>
  <si>
    <t>200673C02005</t>
  </si>
  <si>
    <t>5084b04a20e55a06d2ff4109d779057549afc732624df087ccfef2ad8365aeba</t>
  </si>
  <si>
    <t>200673C03005</t>
  </si>
  <si>
    <t>e85dc01e42fb1cc21f1517ff83e460f1863b49aa0adac56e507a896dbfc10150</t>
  </si>
  <si>
    <t>200673E01005</t>
  </si>
  <si>
    <t>42af0bd26b96ee34ded7d74309868c934bb134503ce14a9a6ed6c87797256759</t>
  </si>
  <si>
    <t>200673E01015</t>
  </si>
  <si>
    <t>d1e9e836ebd7bac892b0e49b01fff514452eb2a1c13cf08d4ef661f21a8de980</t>
  </si>
  <si>
    <t>200673E01025</t>
  </si>
  <si>
    <t>1032bdf304100916a206581c00f1b6f9a43615f987ff80a5766d9960a24cebd2</t>
  </si>
  <si>
    <t>200673E01035</t>
  </si>
  <si>
    <t>5e204903f5ef29c1bedbb29ebfc786c5c875e059e0a2c843a9dffd51722b26cd</t>
  </si>
  <si>
    <t>200674B01005</t>
  </si>
  <si>
    <t>eff805942bbb2a4f3cc7fad851068f031e7789e5f2fb826140163b606bb9c3c7</t>
  </si>
  <si>
    <t>200674C01005</t>
  </si>
  <si>
    <t>f49bd0ec8f9c77026d29f1035e5df027d28b44825494278082a74d95e942ef9f</t>
  </si>
  <si>
    <t>200675B01005</t>
  </si>
  <si>
    <t>9fa888c4ff264bbc4556b1392bbf24831dce138d1175bd80318c583b2105898f</t>
  </si>
  <si>
    <t>200675C01005</t>
  </si>
  <si>
    <t>e6ca83eae37e33b86b09d9ebed41d4df049833071c37623cac4c4531121b0ce6</t>
  </si>
  <si>
    <t>200676B01005</t>
  </si>
  <si>
    <t>b65f2b94cf40ae2c3ba3aa88379a037427cdab8300afbb5543cded336f34a5cc</t>
  </si>
  <si>
    <t>200676C01005</t>
  </si>
  <si>
    <t>46d5370dadb8f4e66e97866deac3a0026dcece5b276f9cf10c0a1aab79b31110</t>
  </si>
  <si>
    <t>200677B01005</t>
  </si>
  <si>
    <t>dc9fb8429c4d6a7d56a0cb4e9b5a914c1d8f55c5a158b45ab755e82b87276fb0</t>
  </si>
  <si>
    <t>200677C01005</t>
  </si>
  <si>
    <t>f8ccb1062d6d2b88f3ef208e73fb1fc2343fb0dda8758df6dd4a793d62c0d77e</t>
  </si>
  <si>
    <t>200678B01005</t>
  </si>
  <si>
    <t>a07f2152eb8a938e5325908fc35b791b9862f983b4f0a8726a513590d2615828</t>
  </si>
  <si>
    <t>200678C01005</t>
  </si>
  <si>
    <t>6746fb17c6b9971040a1a3758dd2d195455e5563e4c2ef5d1107f9c8083b8370</t>
  </si>
  <si>
    <t>200678C02005</t>
  </si>
  <si>
    <t>d007c4944cdf2ed6f1d19b07ac28034973ce8d82205bd1f0d13648f3132838bd</t>
  </si>
  <si>
    <t>200679B01005</t>
  </si>
  <si>
    <t>fbf3b1c9f844b2881bf0a7aa8cab4401751184818c2f5bde445386ad6309e0ac</t>
  </si>
  <si>
    <t>200679C01005</t>
  </si>
  <si>
    <t>d215950b72c7dc63e60988151959f4f1afc3bf4082d3f6c0589b51a7cd16d51e</t>
  </si>
  <si>
    <t>200679C02005</t>
  </si>
  <si>
    <t>f549bed313517b2709834fe1144b1e40ddf446313cd99f721364fac6f02b86ec</t>
  </si>
  <si>
    <t>200679C03005</t>
  </si>
  <si>
    <t>d33707143272469ed283546bbdea9600e2fe1d52f424a3a9e8376e5dbba11bf9</t>
  </si>
  <si>
    <t>200680B01005</t>
  </si>
  <si>
    <t>fff14c73caa25936d58b91cd1f0643e2abd3a5b0c0c321b4a37af77628ad9413</t>
  </si>
  <si>
    <t>200680C01005</t>
  </si>
  <si>
    <t>b1b7bd3e8ddd23a5171265b0ed70fe1b5690a1b182e01e6edebda87c89dc7f6a</t>
  </si>
  <si>
    <t>200680S01006</t>
  </si>
  <si>
    <t>f554ccbddff78d7b26ea391f9eaa263d4e7d51f37f8faed28fcb0030f1a0c39c</t>
  </si>
  <si>
    <t>200681B01005</t>
  </si>
  <si>
    <t>0bffc311485398e445fb16922aec51805a7bc0a008439d410d14a45a00aaddf7</t>
  </si>
  <si>
    <t>200681C01005</t>
  </si>
  <si>
    <t>413feb9b87727979b9b77adac79e9d7310404a29742d59ca9c59a6721045f750</t>
  </si>
  <si>
    <t>200682B01005</t>
  </si>
  <si>
    <t>7849fe284a0b19ced40f9546a5beb5d2fee701a693265c2359d82b0fe254ba77</t>
  </si>
  <si>
    <t>200682C01005</t>
  </si>
  <si>
    <t>5aaa44257d88cc2ab5549381fb16f8f922e1628bb17944603cb22ba015c3441d</t>
  </si>
  <si>
    <t>200682C02005</t>
  </si>
  <si>
    <t>cdec210dfb1ad67f5a64c9e94dba751dc9a6444158ccf58a1ede824eed9dc43b</t>
  </si>
  <si>
    <t>200683B01005</t>
  </si>
  <si>
    <t>60157eeacacc82554c6d4982c4ba72eb61d8a883a6d11dd5c2f876890263b786</t>
  </si>
  <si>
    <t>200683C01005</t>
  </si>
  <si>
    <t>5360af96747f554bd0505c733cd72637c4496d72c1f657aa203fed715fe44388</t>
  </si>
  <si>
    <t>200683C02005</t>
  </si>
  <si>
    <t>fcd31db1062a27aec97dcbd9332acc78d077064e90cf72f1b53966b86f6d817e</t>
  </si>
  <si>
    <t>200684B01005</t>
  </si>
  <si>
    <t>fe48cf2a0f7ae347e1c5268d1320d83b909e05b1e17c1db70e73f72be27a89d8</t>
  </si>
  <si>
    <t>200684C01005</t>
  </si>
  <si>
    <t>54c1387358a323e16ad1cd4be0406b71745f956a6572ed76a659bcdc8c68e190</t>
  </si>
  <si>
    <t>200684C02005</t>
  </si>
  <si>
    <t>0a076399bfbc57b58f904b322a23486ebda358bef1f00b74862bcd56b38dfe39</t>
  </si>
  <si>
    <t>200685B01005</t>
  </si>
  <si>
    <t>2995e15b206a2eb594e21959f0d7b8fcc20f1e691b218ef15adce2d85af904f6</t>
  </si>
  <si>
    <t>200685C01005</t>
  </si>
  <si>
    <t>9d93e32d8d25f86d96ad2b94882004e9971f00b8890a720a30e0ceb1a7b1382e</t>
  </si>
  <si>
    <t>200685C02005</t>
  </si>
  <si>
    <t>08cf674321acbeca5cb3d6a4d613791f735813ed49dcc2d73da3696f21cd3c8c</t>
  </si>
  <si>
    <t>200686B01005</t>
  </si>
  <si>
    <t>9b1b4ae91283a03cbc8ec0ce3ffb2d51afeaaa9af20cdc8966ff1e4c425cd642</t>
  </si>
  <si>
    <t>200686C01005</t>
  </si>
  <si>
    <t>b6e28771cafe35ef79f221db43584a2092cdac801742fb4cdfaa4277e000f89c</t>
  </si>
  <si>
    <t>200686C02005</t>
  </si>
  <si>
    <t>ca6b7239472dd362d3b8f2a8f016e80b97f0bc8c8fdb4308d8652d61adef67fd</t>
  </si>
  <si>
    <t>200686C03005</t>
  </si>
  <si>
    <t>8f3d4e8569f7febe852eb2dcbd448a7440216f2a6d50c317a14525fb81bafba6</t>
  </si>
  <si>
    <t>200687B01005</t>
  </si>
  <si>
    <t>01e4cd9eff7d630acf7f416be4b44f908c507fb013c5aa972bc08e94e7b3e184</t>
  </si>
  <si>
    <t>200687C01005</t>
  </si>
  <si>
    <t>72ce95cd1d96cbd5cd2ebb1411651a545f7b6c132c97053ecac7959ef0e32742</t>
  </si>
  <si>
    <t>200687C02005</t>
  </si>
  <si>
    <t>9a9aa08b195a95ba964a1e30f9236e284abd33f87afc065926a59611309d7137</t>
  </si>
  <si>
    <t>200688B01005</t>
  </si>
  <si>
    <t>528aaecb00f524827712d420407818f341bd03324dc0751c7d57a9fb90e0ebdc</t>
  </si>
  <si>
    <t>200688C01005</t>
  </si>
  <si>
    <t>2a42a069df3000c1edc5e5cd7011b2081d4a38943f8bd060afce395f7bcba7e6</t>
  </si>
  <si>
    <t>200689B01005</t>
  </si>
  <si>
    <t>fc201d978c14a003da60360eb88c5de6cbe126bb9b6cc47ec9953aa2824c6a7b</t>
  </si>
  <si>
    <t>200689C01005</t>
  </si>
  <si>
    <t>f8eca78e5ba9faeee337eb61c6ab2db86b03c4e6f1912c4deb3d84bb3ec53553</t>
  </si>
  <si>
    <t>200690B01005</t>
  </si>
  <si>
    <t>4c5b82e9d35dca9c8be2bf2c8287a0fa1dc8943f4fe5b46caf17e792d1bdfc5a</t>
  </si>
  <si>
    <t>200691B01005</t>
  </si>
  <si>
    <t>ca1fe81067c6d67f7298e65d9a31dc3c1bc8d4e4be36bfc8028eab9e8aaff541</t>
  </si>
  <si>
    <t>200691C01005</t>
  </si>
  <si>
    <t>e91c5085361a816a7d90edd781586bb2cdbe5bf841269e61e63f6a30d63478df</t>
  </si>
  <si>
    <t>200692B01005</t>
  </si>
  <si>
    <t>a1006d2af4edbc83b4d89ee7f5e5abc8666a319bce34b8dd0eb122a7dceb2175</t>
  </si>
  <si>
    <t>200692C01005</t>
  </si>
  <si>
    <t>757055f7cda40ee8bb80aac8be8ab31e2d7f2eee48e3e084a8bfc51fdd27b60c</t>
  </si>
  <si>
    <t>200693B01005</t>
  </si>
  <si>
    <t>17c62b00249f6c93955eb3b5530447900181fa25a126ab6e9011b359b50d7636</t>
  </si>
  <si>
    <t>200693C01005</t>
  </si>
  <si>
    <t>d9daf630c6a05d150c2b6d5652ff1daefab335da622561c1b459c7c15e2d1dd5</t>
  </si>
  <si>
    <t>200693C02005</t>
  </si>
  <si>
    <t>1c6b4442d5ac99bdb9f599ff1a5b27db29afd6a2439ca39ee63c2338205cbdc5</t>
  </si>
  <si>
    <t>200694B01005</t>
  </si>
  <si>
    <t>0cbb9d74c6fa9caa0ccc01b0c941a64f73781c46ca52969233e3b112d3f39478</t>
  </si>
  <si>
    <t>200694C01005</t>
  </si>
  <si>
    <t>599bf0c7241929e9d2fc0893548998180e9d4f74eda17aeab24e352429fab887</t>
  </si>
  <si>
    <t>200695B01005</t>
  </si>
  <si>
    <t>e0f130baf52c362f219292d890ba8409efc8dcba794f6f907ce56dae51d60b79</t>
  </si>
  <si>
    <t>200695C01005</t>
  </si>
  <si>
    <t>d01f9c7dc0ec8b99d8cb4656adfb3b10166bf058d65479dee36d52d73a7f0328</t>
  </si>
  <si>
    <t>200696B01005</t>
  </si>
  <si>
    <t>3e690a78ebc996b383845afe027cac7c4a7f919fe4f56df8c2161cec2fabdfec</t>
  </si>
  <si>
    <t>200696C01005</t>
  </si>
  <si>
    <t>d4be2f7818252f243883a128797740b3971e6b48c6ba793f9786517c9777f32d</t>
  </si>
  <si>
    <t>200696S01006</t>
  </si>
  <si>
    <t>7678bc377c52137b12a137f5b3b42eebcc87ebb60eaa8f755519f2cf2df61e43</t>
  </si>
  <si>
    <t>200697B01005</t>
  </si>
  <si>
    <t>1e32ac1a3eb9ef8d48c635c4508983cfc26881ce068c5912438f00e1bd35165c</t>
  </si>
  <si>
    <t>200697C01005</t>
  </si>
  <si>
    <t>c695ee8c4d7d8c3a001706bf21f0b79bd53c9e1ff4b879c1f55a8d1a815eeb9e</t>
  </si>
  <si>
    <t>200698B01005</t>
  </si>
  <si>
    <t>a6e77ee63bcddfa78b2dcfc025096588524e6b10a4f3b51ef61e52097024e83d</t>
  </si>
  <si>
    <t>200699B01005</t>
  </si>
  <si>
    <t>d909c624057dbbe721afe03f2a5c7da91a2429371ab5a93040395ec7bb96fc06</t>
  </si>
  <si>
    <t>200699C01005</t>
  </si>
  <si>
    <t>ac0e69fdb841a6ad832743db54d36ec6bf5a6204cec27bd4e4c87b3310324065</t>
  </si>
  <si>
    <t>200700B01005</t>
  </si>
  <si>
    <t>b2607aeb13f878f247d4053add81729c143b9314f6ebfcee8fb016fc2c51e999</t>
  </si>
  <si>
    <t>200700C01005</t>
  </si>
  <si>
    <t>fd029fb702198ebb583f8088c0bb96aa265a1baa40ee94102acaa5a612ca8b42</t>
  </si>
  <si>
    <t>200701B01005</t>
  </si>
  <si>
    <t>ff803e1cc1d2eef9474633df51d6cb6180ff2fe228160c6e4b741271cbb08598</t>
  </si>
  <si>
    <t>200701C01005</t>
  </si>
  <si>
    <t>5e67bd2762db1a84cc007018b42cd88bb08ab25b51758c3b0f2e270bdce8c897</t>
  </si>
  <si>
    <t>200702B01005</t>
  </si>
  <si>
    <t>d7032b1b26fb6d2efb24ea5b139396f4e74f7fcc70b295a7b3baad98abf3c322</t>
  </si>
  <si>
    <t>200702C01005</t>
  </si>
  <si>
    <t>3d074043af26aef1985c4817463115502e29c5028456ffb660bfdc0289dac2f8</t>
  </si>
  <si>
    <t>200703B01005</t>
  </si>
  <si>
    <t>b8aa742cdb43a3a695973e694c36f089a3d11691328b06b4bbd1d30955392acd</t>
  </si>
  <si>
    <t>200703C01005</t>
  </si>
  <si>
    <t>8cebe96fb1c81ee4ef95efcc25451a3324c1f5d38514f993c455feab643fe5d0</t>
  </si>
  <si>
    <t>200703C02005</t>
  </si>
  <si>
    <t>44075facbf30128a335b16c70446b245c085034d1cfe62683e422f0c1c4a9042</t>
  </si>
  <si>
    <t>200704B01005</t>
  </si>
  <si>
    <t>ad9064752cc73edb8730068ff89591e24178367d6315e03725d9a8883d3c1fef</t>
  </si>
  <si>
    <t>200705B01005</t>
  </si>
  <si>
    <t>17da62acc93cca2d49672d923ea116323af85511afb203eab4c1617626848a82</t>
  </si>
  <si>
    <t>200706B01005</t>
  </si>
  <si>
    <t>decf34a0b32356ab8c8c7d954122b50e7aa6d92028c55f99394c4dffd305d22b</t>
  </si>
  <si>
    <t>200707B01005</t>
  </si>
  <si>
    <t>95a417cf4ada1005ebf87f2266b87e56c670e0c2805b5f95b2fd80bd7310d04a</t>
  </si>
  <si>
    <t>200707C01005</t>
  </si>
  <si>
    <t>e9ce1679802e21b6e27dc23bdfbf45d7b9bca7eb69484b87f68313c53ed6ce22</t>
  </si>
  <si>
    <t>200708B01005</t>
  </si>
  <si>
    <t>7fba02ffadc971b3ef33327f857a8ae574db05c7508731c62c139c20a782dfa1</t>
  </si>
  <si>
    <t>200708C01005</t>
  </si>
  <si>
    <t>eaa322ea91d37703eec1e76f1325a79788e3760d168a3cec25cf655884b915bc</t>
  </si>
  <si>
    <t>200708C02005</t>
  </si>
  <si>
    <t>0fc538926a1f445d8e9289665796714ed4f11ae6f93a4db374a096be4447dae2</t>
  </si>
  <si>
    <t>200708E01005</t>
  </si>
  <si>
    <t>a08da4c7688220cafb9adcb3ae228d55ace355b54ec4237f9eec91a0dfb4923e</t>
  </si>
  <si>
    <t>200709B01005</t>
  </si>
  <si>
    <t>f9c53d44f1becf769cf1f4f022f4a87ddf0780220f915c81a03fb69563160134</t>
  </si>
  <si>
    <t>200709C01005</t>
  </si>
  <si>
    <t>472e66a64a0e15d346123ac97a2bbff773a0c29d3634cf4c9049efaf19e61b67</t>
  </si>
  <si>
    <t>200710B01005</t>
  </si>
  <si>
    <t>SAN AGUSTIN AMATENGO</t>
  </si>
  <si>
    <t>7f1690889e3d4315c996ee80da6a1c9d415fc8abfb90a3cb7ecc43382366aa89</t>
  </si>
  <si>
    <t>200711B01005</t>
  </si>
  <si>
    <t>d105ade538c4a26ad5bd030300b217d854263b1c181dff63c290d26e192f1f60</t>
  </si>
  <si>
    <t>200712B01005</t>
  </si>
  <si>
    <t>SAN AGUSTIN ATENANGO</t>
  </si>
  <si>
    <t>39db7477fbf58a529866dcd0a429a14d0bfcf11714e8310e477f4e0900bc7e96</t>
  </si>
  <si>
    <t>200712C01005</t>
  </si>
  <si>
    <t>e77b9ab6c172118ad1c0636f99bc08bd684dd0045b658838d96779339fca2efc</t>
  </si>
  <si>
    <t>200713B01005</t>
  </si>
  <si>
    <t>b49f7c4d6fcbd16cf3a7890574345792f85dddcadceb1e9778f31aefdba4927d</t>
  </si>
  <si>
    <t>200738B01005</t>
  </si>
  <si>
    <t>SAN ANDRES CABECERA NUEVA</t>
  </si>
  <si>
    <t>ec89865dc2664c83f58ea2a12eb0f7e506448061c20c3a2ec99cf963c0f96af7</t>
  </si>
  <si>
    <t>200738C01005</t>
  </si>
  <si>
    <t>0c1fad79527f7d36d7be3be6d0a96f5afc3804e99619d61ec1969ae5e7fdeeb7</t>
  </si>
  <si>
    <t>200739B01005</t>
  </si>
  <si>
    <t>03abd2bb12539f8acc4e84ef7e3a7e5c6da9bbdee7403fbdc43e915801073184</t>
  </si>
  <si>
    <t>200740B01005</t>
  </si>
  <si>
    <t>be87fa9fdb9ae432d6e753e4992c3dd5340a773eb606c4d550f446b9cc8ade31</t>
  </si>
  <si>
    <t>200741B01005</t>
  </si>
  <si>
    <t>SAN ANDRES DINICUITI</t>
  </si>
  <si>
    <t>6bb2b9295706b0a12a10f2b61a21f544504077487e86b49390e6822aa9589d0d</t>
  </si>
  <si>
    <t>200741C01005</t>
  </si>
  <si>
    <t>8319e47652a74dd4776530af750a184e3515b0cc5ee99ba588b30478fbc4c581</t>
  </si>
  <si>
    <t>200741E01005</t>
  </si>
  <si>
    <t>1f2967d84cf5ea7d8d5ae20f75f1a7f23a8cd9d62d01b3079b01f111c863dd8d</t>
  </si>
  <si>
    <t>200742B01005</t>
  </si>
  <si>
    <t>78122f57d1ea57b677d8ce8eba0e570f241b5da5bd0a72c928016b96f146b5c6</t>
  </si>
  <si>
    <t>200742E01005</t>
  </si>
  <si>
    <t>178f8da6b95619c6f03be4e508ccee4493bd3c75007c1dd59cd5f937567f67d7</t>
  </si>
  <si>
    <t>200743B01005</t>
  </si>
  <si>
    <t>3282f606c16ee075137d4025b157221aa27ba9d532cacf4075fa95286f770f95</t>
  </si>
  <si>
    <t>200744B01005</t>
  </si>
  <si>
    <t>SAN ANDRES HUAXPALTEPEC</t>
  </si>
  <si>
    <t>d4853e3092009e0c33f3d04351f233fe12957be58a5955ff2e2287d7c0f1b411</t>
  </si>
  <si>
    <t>200744C01005</t>
  </si>
  <si>
    <t>95518f3617140952c7e9ac3c837d6fd99366cb3ecbc0a9afd6d543a431048e30</t>
  </si>
  <si>
    <t>200744C02005</t>
  </si>
  <si>
    <t>20919e467dadc2452017b60dcacfd7d46a3119c57cbbafb516c8dc5e4c0a2302</t>
  </si>
  <si>
    <t>200745B01005</t>
  </si>
  <si>
    <t>1dbeda7aa099d7b704e3652ca2bb3d5d1da21795584189d771681a8e83053abe</t>
  </si>
  <si>
    <t>200745C01005</t>
  </si>
  <si>
    <t>045b3b2f463d0e4565846a3d1efacc5de1d4a4471546031d7af55de205553181</t>
  </si>
  <si>
    <t>200746B01005</t>
  </si>
  <si>
    <t>64a7fb8dfc7e29179ea3c921ae695db4f31e6288c1a5a4a4cb3a76ee366ad888</t>
  </si>
  <si>
    <t>200746C01005</t>
  </si>
  <si>
    <t>f7040e30b4a878023902b8aad966cbf38ab0dd89cb7061195c33b4a1f8de1e4e</t>
  </si>
  <si>
    <t>200764B01005</t>
  </si>
  <si>
    <t>SAN ANDRES ZAUTLA</t>
  </si>
  <si>
    <t>f0463b965b62d73b2e2256ab5030471f28320bb609e6df67288141fe0c2326dd</t>
  </si>
  <si>
    <t>200764C01005</t>
  </si>
  <si>
    <t>ddd20a4538b0bea0d0856b54ead2474c0094a5129310043bacab94a4d386e212</t>
  </si>
  <si>
    <t>200764C02005</t>
  </si>
  <si>
    <t>0bf6fc3fff0c69bff853290caf35fd8e61a64729e78093c5e1c28dacf396679a</t>
  </si>
  <si>
    <t>200765B01005</t>
  </si>
  <si>
    <t>ead441de267265ccc4e7e978d6f223c566f85cb39cd6c7bcec7736c8c6062cf2</t>
  </si>
  <si>
    <t>200765C01005</t>
  </si>
  <si>
    <t>2bd85c4f229d9cec516916d7af04f8d24ee3c984168b5c166b81efc2ba7a5c96</t>
  </si>
  <si>
    <t>200766B01005</t>
  </si>
  <si>
    <t>SAN ANTONINO CASTILLO VELASCO</t>
  </si>
  <si>
    <t>c77243a620317d795a89a3c9a60d8958ea7ff499f29e48abde656532b6b4b7f9</t>
  </si>
  <si>
    <t>200766C01005</t>
  </si>
  <si>
    <t>43fd2c31ec653555288880ade18674318015f7afd27fe473f0cbc3aa1352d8f0</t>
  </si>
  <si>
    <t>200767B01005</t>
  </si>
  <si>
    <t>d02583b9a931a8117d4ccf25d64408ceea58a7ee332a312e1d1498cc8df71334</t>
  </si>
  <si>
    <t>200767C01005</t>
  </si>
  <si>
    <t>d5354351b6d711c31d27fbc70a857cf7b0393b915e856fa20b2c2a826ba51b16</t>
  </si>
  <si>
    <t>200768B01005</t>
  </si>
  <si>
    <t>9cc252a93aed59c411fd37b631851ed61e039097e8fa811b9e02f7149eb91a92</t>
  </si>
  <si>
    <t>200768C01005</t>
  </si>
  <si>
    <t>44dfea9c8a815fe5c2c36f5a621a6f6fc4a1c588f1c0295ccc77e018d2846ab6</t>
  </si>
  <si>
    <t>200769B01005</t>
  </si>
  <si>
    <t>8abdb1d0c3c61515ed68c46c1980bf38766a6b8f756ba8bae9da77ed8807a830</t>
  </si>
  <si>
    <t>200769C01005</t>
  </si>
  <si>
    <t>9457f207e9836a1a13e75d451c93d35d0a989132b132dc00298fb8dd0094925c</t>
  </si>
  <si>
    <t>200792B01005</t>
  </si>
  <si>
    <t>SAN BALTAZAR CHICHICAPAM</t>
  </si>
  <si>
    <t>003a2e999036aaf65a64fd62497f8969a669fd9c67a5a1efc554f7233c2d2a2a</t>
  </si>
  <si>
    <t>200792C01005</t>
  </si>
  <si>
    <t>22a61e7189bdb8fad33a84f276d11947824cca8cc8300390c5ae4086014ee3d9</t>
  </si>
  <si>
    <t>200793B01005</t>
  </si>
  <si>
    <t>fa9fbc0e290def685c9fdea6ede5f885cf64f5add0fe18a99d21428551314ca6</t>
  </si>
  <si>
    <t>200793C01005</t>
  </si>
  <si>
    <t>faffca993556677ac62b189b94fefea9800b8719d4f411ced1be3ecb39664a85</t>
  </si>
  <si>
    <t>200804B01005</t>
  </si>
  <si>
    <t>SAN BARTOLOME AYAUTLA</t>
  </si>
  <si>
    <t>77da65be43f5de3840e0190bb5411a2b43ae2a75a38687daa8b8d93ef73dc1e1</t>
  </si>
  <si>
    <t>200804C01005</t>
  </si>
  <si>
    <t>797e1d70fdd60bc725e79cc1a908203c1eadab8b3082fd1d110dffb5a56c5336</t>
  </si>
  <si>
    <t>200805B01005</t>
  </si>
  <si>
    <t>0e666466d3ec815291e6ba18c9c458a972a4511217f7d49aaacd065e633e205c</t>
  </si>
  <si>
    <t>200805C01005</t>
  </si>
  <si>
    <t>a627c1fecec78bdaa7f8cffe322a901402c57f9b1c573746dd66bc88699cd8b2</t>
  </si>
  <si>
    <t>200806B01005</t>
  </si>
  <si>
    <t>6fe1ad8f90d6400abccdacf132c35e8fc0de22cebbdb95487de0e04cf0d7b4b2</t>
  </si>
  <si>
    <t>200814B01005</t>
  </si>
  <si>
    <t>SAN BLAS ATEMPA</t>
  </si>
  <si>
    <t>3aeb70ba13ac4cb528e0573adab83b98499fc1e9398885e38fe0b1c288959bdb</t>
  </si>
  <si>
    <t>200814C01005</t>
  </si>
  <si>
    <t>ae82b3feaf15fdb885125c75fba0511223e4bd262cea9295a686c1a3c725376f</t>
  </si>
  <si>
    <t>200814C02005</t>
  </si>
  <si>
    <t>cce94e6a83ff2450301adb44c3fd1207056798bdd94d37679cad6aeed7f1807a</t>
  </si>
  <si>
    <t>200815B01005</t>
  </si>
  <si>
    <t>766d541251c93199a0923ba54dd41412bd07c862d067578c0475e500f8945ac1</t>
  </si>
  <si>
    <t>200815C01005</t>
  </si>
  <si>
    <t>6663b04dfb5b83c525b03271cd86907ee48079c19f8b4f7523d4a309383ea39f</t>
  </si>
  <si>
    <t>200815C02005</t>
  </si>
  <si>
    <t>b9f0ac50cc363210f637fe47b82fb3ae49cf65317a9bdb20af16cd01e75e4414</t>
  </si>
  <si>
    <t>200815C03005</t>
  </si>
  <si>
    <t>5dc69500c05a8ceb4c81451f2fc612b7afc502de08fc1e16d9288b476ebf173b</t>
  </si>
  <si>
    <t>200815C04005</t>
  </si>
  <si>
    <t>904e11273cbe8e32384ca5b50fce30bf21a5b93fc6830877113f19732ae8e394</t>
  </si>
  <si>
    <t>200816B01005</t>
  </si>
  <si>
    <t>f3993f4968c6a2df9e7f5fae27cf5446c29a50a1640ab06a4d75c61fff3e9d3b</t>
  </si>
  <si>
    <t>200816C01005</t>
  </si>
  <si>
    <t>d1d91013697f27329b3c2c984d227ccd2134818b04a5272f3b92e565b6400bb4</t>
  </si>
  <si>
    <t>200816C02005</t>
  </si>
  <si>
    <t>1bde17f116a6a251adbf8a4aab5c175f3dddd36b936e1b7beab668085971c804</t>
  </si>
  <si>
    <t>200817B01005</t>
  </si>
  <si>
    <t>f0ae46687ecde4ca99d2cda03f06125776c210679592eb598819c7b21364fa5f</t>
  </si>
  <si>
    <t>200817C01005</t>
  </si>
  <si>
    <t>ee4cf0a44e73f2d0000f255d0a3d89b1e4978187be90e47737e2d0ba5b7ee1f3</t>
  </si>
  <si>
    <t>200817C02005</t>
  </si>
  <si>
    <t>ae53c93091fc13e9efb5299f4824ad686e31f3f3498103cdab1b116b8c1f4376</t>
  </si>
  <si>
    <t>200818B01005</t>
  </si>
  <si>
    <t>a6de36fe7a5d4bee1c1f7e2d354ff5c8642d828e93afae1f54ed40d3f969a5e0</t>
  </si>
  <si>
    <t>200818C01005</t>
  </si>
  <si>
    <t>96636c0930452e5f57fa2095aaf03dda711745a90ae73def5aed08b220f9a484</t>
  </si>
  <si>
    <t>200818C02005</t>
  </si>
  <si>
    <t>5180d06c0b358896acb8786ab77120cf0602669f43d550a498af557df6de9583</t>
  </si>
  <si>
    <t>200818E01005</t>
  </si>
  <si>
    <t>601b400672314938ef6e1c1f7476232e81722149e613b8e1ede9043a97139c4b</t>
  </si>
  <si>
    <t>200818E02005</t>
  </si>
  <si>
    <t>f13400d5d1c4d8b1d774af9439c776f0e08a9bac2cacd7c9ae162352951723b8</t>
  </si>
  <si>
    <t>200819B01005</t>
  </si>
  <si>
    <t>1c51b79537b19719e4e3eae72ab7d8a959a3ef15801bf867ebdb0c3b87eda86f</t>
  </si>
  <si>
    <t>200819C01005</t>
  </si>
  <si>
    <t>dc94cee64a2f38dfd27273d044113e39379dc9dca4d52672c6cca87f0e9272da</t>
  </si>
  <si>
    <t>200819C02005</t>
  </si>
  <si>
    <t>1cb158b236a6bab0318b26e4defcea034a69ae552cde88ee98751f9dbeaf8504</t>
  </si>
  <si>
    <t>200819E01005</t>
  </si>
  <si>
    <t>0ac8b68b3ab938824635fe1baf7c9f050f5a158a4cc0d19d23283fe17d6a73a5</t>
  </si>
  <si>
    <t>200838B01005</t>
  </si>
  <si>
    <t>SAN DIONISIO DEL MAR</t>
  </si>
  <si>
    <t>efc09f54b06882bbac74f480d4130e2e7545d7c9d19900c0644880728b60c72f</t>
  </si>
  <si>
    <t>200838C01005</t>
  </si>
  <si>
    <t>05d5a7e331ab44d2dfe7ca925bdbd9d7e36128a104711b12ec0d39686a8836ba</t>
  </si>
  <si>
    <t>200838C02005</t>
  </si>
  <si>
    <t>1e416134c782fa8c4b807a4d351fcf805ed8c2d4fd12e047ea1058647b9c2c6c</t>
  </si>
  <si>
    <t>200839B01005</t>
  </si>
  <si>
    <t>ceab80bb68031839ebee06410fd78f7216ecf0852881f4c976584f5733bd9404</t>
  </si>
  <si>
    <t>200839C01005</t>
  </si>
  <si>
    <t>01bff36d4334bc38d2c0b3a9b70dba3ce03b79504274dbb355a1026631b9bf24</t>
  </si>
  <si>
    <t>200840B01005</t>
  </si>
  <si>
    <t>5555541f27567cc3db3a1a9d5684deb6bd89347bc2c122f98342c0229feafb6d</t>
  </si>
  <si>
    <t>200840C01005</t>
  </si>
  <si>
    <t>911a51914f2c9615ff0eba61ff1ddb1bf19e94951ee5db6db996ac8d2c272e8c</t>
  </si>
  <si>
    <t>200851B01005</t>
  </si>
  <si>
    <t>SAN FELIPE JALAPA DE DIAZ</t>
  </si>
  <si>
    <t>189cd7a3006aa16cdf04830da7a56381d61b79ca7497621ac59b0bb87be55837</t>
  </si>
  <si>
    <t>200851C01005</t>
  </si>
  <si>
    <t>f9342f3e89e3c5ca478cc90878ac29d440edf316994f3fb95d93f38643103440</t>
  </si>
  <si>
    <t>200851C02005</t>
  </si>
  <si>
    <t>9cae15e312c21dabdc1d2bf65bc46bd7eb5f0dd619d62463aa6cd69bcce62c34</t>
  </si>
  <si>
    <t>200852B01005</t>
  </si>
  <si>
    <t>8f30fc82b4cbd54246db0d760aae461865a9fe16a00cc1f9e423e2480269ad17</t>
  </si>
  <si>
    <t>200852C01005</t>
  </si>
  <si>
    <t>0e580a776481ea75dd01314f4448b6a159a86caa928733a7420492066871af4b</t>
  </si>
  <si>
    <t>200853B01005</t>
  </si>
  <si>
    <t>875182360e3a26e8547ab06541872f04568625b8566b31d1941f42b81c1a23cc</t>
  </si>
  <si>
    <t>200853C01005</t>
  </si>
  <si>
    <t>8362241803db4bc48128a20df0c8326a47b09c38f52ad06f26bb1169464d9c07</t>
  </si>
  <si>
    <t>200853E01005</t>
  </si>
  <si>
    <t>348602079cbd14fa5107b7c488a15c8aa02ed8119893000b3de68ff4bff1857a</t>
  </si>
  <si>
    <t>200854B01005</t>
  </si>
  <si>
    <t>2f082041834be65c371f791d00ccaf09cbd003343f76fc85df2a365f097a9270</t>
  </si>
  <si>
    <t>200854C01005</t>
  </si>
  <si>
    <t>b2d4c2b13eafa49179ca45f94a66af6bb7614d3572f841ad77337f8f2558f408</t>
  </si>
  <si>
    <t>200854C02005</t>
  </si>
  <si>
    <t>00341d1fbcf21beec3bd0e7420b86b24455a1044bf3a2448a158ccc6da9edc54</t>
  </si>
  <si>
    <t>200854E01005</t>
  </si>
  <si>
    <t>effb73cf885d36a9ff621e35f2c19536067ba26db0b72457ed7ffc5be00fa2fa</t>
  </si>
  <si>
    <t>200855B01005</t>
  </si>
  <si>
    <t>ad7287fe7f9e59c2e102aa26b8722ea8af2853fd90ebac41386871eb66ea13fc</t>
  </si>
  <si>
    <t>200855C01005</t>
  </si>
  <si>
    <t>a6a1abf069d82a7cd87cdc843c33a4dda565ccd88d649e43b859ca2f6b5d1653</t>
  </si>
  <si>
    <t>200856B01005</t>
  </si>
  <si>
    <t>b9d253433bc78a10db1e6ceeb109b2204ca443cb6b1b84ecab958e85f904cfe4</t>
  </si>
  <si>
    <t>200856C01005</t>
  </si>
  <si>
    <t>7d3b037faebda96766c06bb12cbb9df5de460370e9ec45e888f6ebf331e19a3b</t>
  </si>
  <si>
    <t>200856E01005</t>
  </si>
  <si>
    <t>6524497146efb5a1f2804cf0e7a30f57fe4706a84c9416c413aa71e53d504bca</t>
  </si>
  <si>
    <t>200856E02005</t>
  </si>
  <si>
    <t>3ab7c0d6a3a32105769ab2dfbbb56a9be1ef542c5c01b30ccbb26161b73fd576</t>
  </si>
  <si>
    <t>200857B01005</t>
  </si>
  <si>
    <t>f1a13f7c490dbff13b03a53cb448fdd1ce414445212da38c85a995ae35f0614f</t>
  </si>
  <si>
    <t>200857C01005</t>
  </si>
  <si>
    <t>e0e58b64d37a8d75a31cdd3f39f938db127a6ef327f0c87d56ed4bfda1937a47</t>
  </si>
  <si>
    <t>200857E01005</t>
  </si>
  <si>
    <t>cb6a2711b9ff10ac1a889ddf2f2ba3f4b710c21d2dbd8dd27eee6f64ab6e5c40</t>
  </si>
  <si>
    <t>200857E02005</t>
  </si>
  <si>
    <t>de0726ffaa10089c5c4f795e7f0a09b9daeb889c317ab784cab34e2739b05a02</t>
  </si>
  <si>
    <t>200857E03005</t>
  </si>
  <si>
    <t>56bb7de793f0df8647ab04847d2e1647c471045e6128de23dc655e94c0f1bd14</t>
  </si>
  <si>
    <t>200858B01005</t>
  </si>
  <si>
    <t>0fc823529abd8ef75788331146412489f4e59383afe6ce481bb9b6d97c4c2fbf</t>
  </si>
  <si>
    <t>200858C01005</t>
  </si>
  <si>
    <t>e8b7e4de68f8ec31965aaed75b4ee6ec3e3fb6cc3c233507030981f3c3aacf50</t>
  </si>
  <si>
    <t>200858E01005</t>
  </si>
  <si>
    <t>03a167c4ab48c90a6554be827ac3b653c212541958c70c6f45de05188d4e576c</t>
  </si>
  <si>
    <t>200858E01015</t>
  </si>
  <si>
    <t>ff12b92037bf2fef1d92f6cc9a74cdb0412dece875390138f2b16a8d108829b7</t>
  </si>
  <si>
    <t>200858E02005</t>
  </si>
  <si>
    <t>99dd8074e9a08045d37824b3e2a98eaf403120781e01f3ad65e9c1cf7429288f</t>
  </si>
  <si>
    <t>200859B01005</t>
  </si>
  <si>
    <t>9921564d2ab080f1b73ea742f662ceb3e11f891bbc4a47ea4191eaa012ff05e1</t>
  </si>
  <si>
    <t>200859C01005</t>
  </si>
  <si>
    <t>022346489225a40274bbb8b1d86af0e4dccbf4eef16d03adf024978a1bf41b7c</t>
  </si>
  <si>
    <t>200860B01005</t>
  </si>
  <si>
    <t>09d12c013ab540e8fa12b51c5e9be2f4710b2d46b1447f061d9c4f427b66a095</t>
  </si>
  <si>
    <t>200861B01005</t>
  </si>
  <si>
    <t>7b0dcbea2181cdb40f921b61b3cb1f90d24c22275a9e89e6510f90fbdc35198e</t>
  </si>
  <si>
    <t>200861C01005</t>
  </si>
  <si>
    <t>78db228104f281b8cd2c0f03d47cf87f988383faf11732b0e9856118ac36c3c7</t>
  </si>
  <si>
    <t>200861E01005</t>
  </si>
  <si>
    <t>3a4ef0bbc15aa3773e2549dc50452ebc583657251c60178a6f663c29c22ae70c</t>
  </si>
  <si>
    <t>200861E02005</t>
  </si>
  <si>
    <t>69d00a226a250c7455628fc270953d2b856e420f5385d0da5df8ac52a87aede7</t>
  </si>
  <si>
    <t>200866B01005</t>
  </si>
  <si>
    <t>SAN FELIPE USILA</t>
  </si>
  <si>
    <t>2cec611bcc5fca662ffbf15ea05dcf98ea7ba087609013ca25574415cd5210d4</t>
  </si>
  <si>
    <t>200866C01005</t>
  </si>
  <si>
    <t>f2e0e59609dd1e856624e99a5a8b61add6c2c8338e15f74217becae561430c29</t>
  </si>
  <si>
    <t>200866C02005</t>
  </si>
  <si>
    <t>141e24385d3d825a55c217bdc8d0ced73b8b14c2fb70a2d09eb2641b5f873cff</t>
  </si>
  <si>
    <t>200867B01005</t>
  </si>
  <si>
    <t>ac7ee8f6b14834f1fbdd943b1ab2114a2fa526b7d945b9bbdc53139cf23a87fc</t>
  </si>
  <si>
    <t>200867C01005</t>
  </si>
  <si>
    <t>27f0cac14ba797154af948a227f7556b6d13605382f1d0eb7e877c6a60121c7e</t>
  </si>
  <si>
    <t>200867C02005</t>
  </si>
  <si>
    <t>65fecf53980477bc0c5b009a803b0202da5d6b9ba77109918531f862f5a6a7f4</t>
  </si>
  <si>
    <t>200867C03005</t>
  </si>
  <si>
    <t>6acbf1dd83244e4ab1869fb9d8852b7ac5b74a0fe858ca49759b048d605d19a8</t>
  </si>
  <si>
    <t>200868B01005</t>
  </si>
  <si>
    <t>f99f2d65e79ec2a44771269cc15d84efbed57e729df7fc29e29740582a165a96</t>
  </si>
  <si>
    <t>200868C01005</t>
  </si>
  <si>
    <t>db68980af981f2e40e9758008ebb32d46c39ab40a9f95f4945a1137c3e0f2f21</t>
  </si>
  <si>
    <t>200868E01005</t>
  </si>
  <si>
    <t>38821e9637a9f2eb7a137ac462bb4ec026d33d99361b460eacbd3975453bb744</t>
  </si>
  <si>
    <t>200868E02005</t>
  </si>
  <si>
    <t>99db62b7452316424cdc185349bd0457566e8a70c9fce441c69bf9b199bb51a6</t>
  </si>
  <si>
    <t>200869B01005</t>
  </si>
  <si>
    <t>d973626bff011465bb1262275134e5bee76d1326ebe3543d43768aeac3b2d977</t>
  </si>
  <si>
    <t>200869C01005</t>
  </si>
  <si>
    <t>482a3f975441ad29559afa137c5003f1c765cf5097de7033e3202c30dfecfb07</t>
  </si>
  <si>
    <t>200870B01005</t>
  </si>
  <si>
    <t>bf108f23e149882eaca8e3ee3a496881003f27acf441208f2f04f4ec6b81d5c4</t>
  </si>
  <si>
    <t>200877B01005</t>
  </si>
  <si>
    <t>SAN FRANCISCO DEL MAR</t>
  </si>
  <si>
    <t>cd3766b9e3d2f5e72d78085b85d04c498698906a1190f014134572a42ac0f807</t>
  </si>
  <si>
    <t>200877C01005</t>
  </si>
  <si>
    <t>a20b5848ab7573bcbe51252cc93a9bf57ed0612132db47f2848924fc00ab79e9</t>
  </si>
  <si>
    <t>200877C02005</t>
  </si>
  <si>
    <t>84cc5bb270b415c7f3f864ff8087a5509eb50ba4a2a0a99d4be42180a5133f68</t>
  </si>
  <si>
    <t>200878B01005</t>
  </si>
  <si>
    <t>452df408ebe2035b00eb0e859b2e956465455e58f37a02be3ac9fd677d06f1d6</t>
  </si>
  <si>
    <t>200878C01005</t>
  </si>
  <si>
    <t>1cfc5a22d108d7200efddaf297b0226a0a3b5bc2eed5722e8cfa2c3b10067e48</t>
  </si>
  <si>
    <t>200878C02005</t>
  </si>
  <si>
    <t>f4954434fbce9ec42411cfcdc3deb409d83048ba1e3dd99df84d0e4c8b377be4</t>
  </si>
  <si>
    <t>200879B01005</t>
  </si>
  <si>
    <t>fcecae62e39c4fdf36078464a0af3a40d3742f4e253520bdb496b77782118385</t>
  </si>
  <si>
    <t>200879E01005</t>
  </si>
  <si>
    <t>2ff892f66865633a5f1e0b38bcfa82a8a2d880b2289bafa49664e0b36362dd57</t>
  </si>
  <si>
    <t>200880B01005</t>
  </si>
  <si>
    <t>9be68b3eb8d9aa72619dc3b45a530c2778d685cfc148548779fce7661fa305a2</t>
  </si>
  <si>
    <t>200881B01005</t>
  </si>
  <si>
    <t>dc2fcd884ac551c7c524c81fa9936bdef2036c9c8ccef0ccbf96519adfe41cb0</t>
  </si>
  <si>
    <t>200881C01005</t>
  </si>
  <si>
    <t>30aad0de5693ecf08411c6372e5251a63e3dfbfdadecbd430bd393599f0e496c</t>
  </si>
  <si>
    <t>200883B01005</t>
  </si>
  <si>
    <t>SAN FRANCISCO IXHUATAN</t>
  </si>
  <si>
    <t>a9738b57ddaa02ff6a6f8b566f03ce3efcc75f552386f1870a699686b73f1fbc</t>
  </si>
  <si>
    <t>200883E01005</t>
  </si>
  <si>
    <t>2161bd5bd3ef6d8b64d1bccdb4b1e0af1bea8f61ea84eea80fec6ae4a334bab9</t>
  </si>
  <si>
    <t>200884B01005</t>
  </si>
  <si>
    <t>6b6270d82e0b81cebb5c597fe1c58803af025b903cee0564dac2fa2e2aca70d4</t>
  </si>
  <si>
    <t>200884C01005</t>
  </si>
  <si>
    <t>9c4e2c011bc9b78ecd97c05ad29013b251def7ead73400c71e2b13ca31f870f5</t>
  </si>
  <si>
    <t>200884E01005</t>
  </si>
  <si>
    <t>40e74f84800464f4f8ed49c4cf78ffea5a37cf1f826fedd3ee2640bccfec302a</t>
  </si>
  <si>
    <t>200885B01005</t>
  </si>
  <si>
    <t>14ef3fe01d7400ed3e6a11befe7342de8ebb5b7d21fc4b3bb5a63df9cfaf1f45</t>
  </si>
  <si>
    <t>200885C01005</t>
  </si>
  <si>
    <t>ee4db52aa4947c729d36e10ecbaaeb7dc06928f245e94709d4227c4865de442a</t>
  </si>
  <si>
    <t>200886B01005</t>
  </si>
  <si>
    <t>c6f5e9380b43d21ffc12e60949ca6b1153d3518805d5babee9ab68f86eec52a2</t>
  </si>
  <si>
    <t>200886C01005</t>
  </si>
  <si>
    <t>2f4618b33341d1fee52d26b7a1c8ee5c69902e5bbfc6d979c846f36a2dc8716a</t>
  </si>
  <si>
    <t>200887B01005</t>
  </si>
  <si>
    <t>5402fb4d95dff2d3b445f2c39e2467223bfb0905593fa2af4880b3f6a4af2d78</t>
  </si>
  <si>
    <t>200887E01005</t>
  </si>
  <si>
    <t>19c2eeb65d79e534255041471c783f04f221837337482c3024ba82caa3d69342</t>
  </si>
  <si>
    <t>200888B01005</t>
  </si>
  <si>
    <t>e361e35c7afa118ce9ce2086a1ee5425a0df8fc7179e06c046d535e5ce17c708</t>
  </si>
  <si>
    <t>200889B01005</t>
  </si>
  <si>
    <t>4939c1c74ffa7137a04665a376b945a339c4a44757af8f2c285d9bc664bc64d8</t>
  </si>
  <si>
    <t>200889C01005</t>
  </si>
  <si>
    <t>211ed7f2074b64103719f3d1b25d906002f175b985be5627148c7fc2e17fd72e</t>
  </si>
  <si>
    <t>200890B01005</t>
  </si>
  <si>
    <t>b719d4568b1ef5e9d52a7722ed4a4c235bb8d720f95ff99caf1ac412e6e15aad</t>
  </si>
  <si>
    <t>200900B01005</t>
  </si>
  <si>
    <t>SAN FRANCISCO TELIXTLAHUACA</t>
  </si>
  <si>
    <t>1126124a5ef084952ccb92691cffe21599cc93c93c10e160ac69a618834a2106</t>
  </si>
  <si>
    <t>200900C01005</t>
  </si>
  <si>
    <t>81de12ac62d53ea79b9c50ecb0dd3e5eca488020b350d0663da0057b48b067ce</t>
  </si>
  <si>
    <t>200900C02005</t>
  </si>
  <si>
    <t>d6e4fe921ca0d758cdd106bf2c1aa577f61664e86a9b56e1a2b41ebb77a7d8df</t>
  </si>
  <si>
    <t>200901B01005</t>
  </si>
  <si>
    <t>c5a22c58809e27cd7ec027c0376b90a5b9e66a34a2aa5b5f3e4519e8988f75c9</t>
  </si>
  <si>
    <t>200901C01005</t>
  </si>
  <si>
    <t>2a4c8f06364fee84760561655d68662ca475648268003732fd935a75024d92ff</t>
  </si>
  <si>
    <t>200901C02005</t>
  </si>
  <si>
    <t>9e880b1471c0ab8d2addc734f830e2523e1049aad88da1af6c94b36b9a0af685</t>
  </si>
  <si>
    <t>200901C03005</t>
  </si>
  <si>
    <t>ee61c46ff9c06ff3f5cf6be49dcced13a1b7e02a43dcf8f553e96bfae25d5c9c</t>
  </si>
  <si>
    <t>200902B01005</t>
  </si>
  <si>
    <t>e979b0899d541fa40b0c03a79a12ba203cadf9317a6cde26691512355d9b4495</t>
  </si>
  <si>
    <t>200902C01005</t>
  </si>
  <si>
    <t>33adbbd95caa668c53dd82f3d8f7d9f43ac79943c538ab46c62e71f68a1de6a2</t>
  </si>
  <si>
    <t>200902C02005</t>
  </si>
  <si>
    <t>c0facd966a8f2fca4c1ed800d2d4b1acae1b41fb375215cf0d549ae013e58dc0</t>
  </si>
  <si>
    <t>200903B01005</t>
  </si>
  <si>
    <t>2c5ff4b93c8a702b726f5b8c7f839ce9ef8c3a5db12fa2968e8a1729b70c4a0e</t>
  </si>
  <si>
    <t>200903C01005</t>
  </si>
  <si>
    <t>3cae5977d0095a15e40627d87713567e03788f0cb0f5796d8bf519cc3b6819e0</t>
  </si>
  <si>
    <t>200903C02005</t>
  </si>
  <si>
    <t>fd8ef56d5a6e6a663a8a3efbc898ceaa3236f4a6b7fe8dc0abd83588380c818a</t>
  </si>
  <si>
    <t>200903C03005</t>
  </si>
  <si>
    <t>23ba5979378f435dfa86b69df3ac04266f7ad26e81d6b1d566dc10e71f329a85</t>
  </si>
  <si>
    <t>200904B01005</t>
  </si>
  <si>
    <t>8326d518d7f6f1712264180ad143aeeed6b2d0ba48805add82df6adfbcdaf58e</t>
  </si>
  <si>
    <t>200905B01005</t>
  </si>
  <si>
    <t>a639696e105f72106e10eda19acc5fb3c588a8a1b1c300e3c429cc733f1976a0</t>
  </si>
  <si>
    <t>200917B01005</t>
  </si>
  <si>
    <t>SAN JACINTO AMILPAS</t>
  </si>
  <si>
    <t>b2a22c6e1a933f81bd03de84fc9db0fb1521e739ea8d93a7578bbb8a545ab3cf</t>
  </si>
  <si>
    <t>200917C01005</t>
  </si>
  <si>
    <t>9c0da7566c56a35c8f16d63e0aae1f85ee48b015af160bed9535d366a76463e9</t>
  </si>
  <si>
    <t>200917C02005</t>
  </si>
  <si>
    <t>43345b6764347ff2abb842a783d91c1174eea1bef210fb2cb73bd8a75be2cba3</t>
  </si>
  <si>
    <t>200917C03005</t>
  </si>
  <si>
    <t>55496a9008858524ee64d78a0e758dbf690d8a528ee3b85da9ea215ddc785a8d</t>
  </si>
  <si>
    <t>200917C04005</t>
  </si>
  <si>
    <t>ba9a52a6515a111963585ed565c84bd30c77ac607b7fe1867d8c7706c3343b86</t>
  </si>
  <si>
    <t>200918B01005</t>
  </si>
  <si>
    <t>3260a55e0f604e05857a5aaef245aad50393182e4a6446359db6a0fe8657f2bd</t>
  </si>
  <si>
    <t>200918C01005</t>
  </si>
  <si>
    <t>ab72d54b4f02523b5a3991d2a18167968dc2759f571f7aa858abe3e17c367bfd</t>
  </si>
  <si>
    <t>200918C02005</t>
  </si>
  <si>
    <t>b9f8f4ff6cba719c4715b8b2ce6dd166196dd72c9377c978abdc6eebfa78b693</t>
  </si>
  <si>
    <t>200918C03005</t>
  </si>
  <si>
    <t>ea3ac27ad9392e9912cfbe3a531ab82bd2e62efb676574cb0e066a1971bd93d9</t>
  </si>
  <si>
    <t>200919B01005</t>
  </si>
  <si>
    <t>709001caecfd9fc4e1d20083dcea1a2f98afd9f52d2a49f32d9039dcdcef3fd4</t>
  </si>
  <si>
    <t>200919C01005</t>
  </si>
  <si>
    <t>e5f21d5dacd6462542ce4f170d4416d40d5264c25e870cf3b130c45590d13df6</t>
  </si>
  <si>
    <t>200919C02005</t>
  </si>
  <si>
    <t>ef1adb9ef23a366da9238d09b75302f1c3027c82428b071fa2fb7e348ae906c2</t>
  </si>
  <si>
    <t>200919E01005</t>
  </si>
  <si>
    <t>b03d384bc7be9680d2cfca9005c83b268e0367f5509c8e6598e542ee99790889</t>
  </si>
  <si>
    <t>200919E01015</t>
  </si>
  <si>
    <t>a414d4fdc176d963ca18a1e37379e22d3e93aa62d3f313af7e4e594a5b1eb4fc</t>
  </si>
  <si>
    <t>200919E02005</t>
  </si>
  <si>
    <t>4f5196129ee5cd8b5100cc1adf9de200e983986e30a5c179b3e9ce704a47527c</t>
  </si>
  <si>
    <t>200919E02015</t>
  </si>
  <si>
    <t>a3feb3c3bf1046f115c3bb19b1a96e7147c9a418a3d8c8c18d52a8ebf654f001</t>
  </si>
  <si>
    <t>200924B01005</t>
  </si>
  <si>
    <t>SAN JERONIMO SILACAYOAPILLA</t>
  </si>
  <si>
    <t>1a1e3b4a657b10496874e9649ec69fc35a310f0095e47fce5992b84282a90e4f</t>
  </si>
  <si>
    <t>200925B01005</t>
  </si>
  <si>
    <t>f3e26c0b8daa89a90dc54f2b3f4837ea7a909ae51948ccb68706ce780da46af4</t>
  </si>
  <si>
    <t>200943B01005</t>
  </si>
  <si>
    <t>SAN JOSE CHILTEPEC</t>
  </si>
  <si>
    <t>27e3d12a90fc4c557a6446ca41e3a363b7238df43664c6abe0e598cf61795389</t>
  </si>
  <si>
    <t>200943C01005</t>
  </si>
  <si>
    <t>887325621b6c9d514533049019912c03d20997cd921aaf4dd2887e8ad177c25e</t>
  </si>
  <si>
    <t>200943E01005</t>
  </si>
  <si>
    <t>3eb964db147ee3fb432bf40a66a3d2b3c32a55c04c455b1c977cc11d4f050583</t>
  </si>
  <si>
    <t>200944B01005</t>
  </si>
  <si>
    <t>c4ccee3ffaf6404d7e73ee16462407fdb03d9454e68c87cd5a59df5e1a0e9ad3</t>
  </si>
  <si>
    <t>200944C01005</t>
  </si>
  <si>
    <t>64c135ef4e06b60ef9bcb8c67aeba3de07d973d051208f870af8b005410f4a77</t>
  </si>
  <si>
    <t>200944E01005</t>
  </si>
  <si>
    <t>3a0bfca26f29210fb2ff572d02baf167c66974ea75d0dfce82708eca6fc2f783</t>
  </si>
  <si>
    <t>200945B01005</t>
  </si>
  <si>
    <t>6f3e6940cb77b4df9ffe1ed4bd858fde335eb9b60af4c52433948ad85a5ca513</t>
  </si>
  <si>
    <t>200946B01005</t>
  </si>
  <si>
    <t>653f5788c930540bb61998ae42fcad03f0cf523fce05e95f4ddad37e7418eb5e</t>
  </si>
  <si>
    <t>200946C01005</t>
  </si>
  <si>
    <t>43dbbe914242a85915622b9aa3a7c1fef3b4136b9fe1182a78cae3fc5c99b055</t>
  </si>
  <si>
    <t>200946E01005</t>
  </si>
  <si>
    <t>e6c98fe72f59858d1189dc790a39446f3a0281f2f43800f4689657a0f3af2610</t>
  </si>
  <si>
    <t>200947B01005</t>
  </si>
  <si>
    <t>8632ce14dd1bad88ded9888b7200baa5b4c9b567398f2aeb2b42803341f9da7c</t>
  </si>
  <si>
    <t>200947C01005</t>
  </si>
  <si>
    <t>694d77134904a8464f156422baebbcd5bbcdca9d56a69063fb96165a0735b4a7</t>
  </si>
  <si>
    <t>200948B01005</t>
  </si>
  <si>
    <t>933e54c24cb4072e48a37b0beaefa25a5c6e5515e5c7335ea80bb01e01b86b39</t>
  </si>
  <si>
    <t>200948C01005</t>
  </si>
  <si>
    <t>2e36a2c474cbccbb3348c8aaf9a551298a1b60ae571543aadb4edfc724c64e2e</t>
  </si>
  <si>
    <t>200951B01005</t>
  </si>
  <si>
    <t>SAN JOSE ESTANCIA GRANDE</t>
  </si>
  <si>
    <t>10ad212b27e9ed2c34a9207728d156b94b663eb27ea662080f5cb3983d653cdd</t>
  </si>
  <si>
    <t>200952B01005</t>
  </si>
  <si>
    <t>SAN JOSE INDEPENDENCIA</t>
  </si>
  <si>
    <t>0d6b90be9dc196c5114070e5c232a7fdf46a4da6a0e925e4b9be4eeff56df31e</t>
  </si>
  <si>
    <t>200952C01005</t>
  </si>
  <si>
    <t>60391f8c77c0ebfc1310db69e1d42119d72c0467ff3da018153fbb308d9018cb</t>
  </si>
  <si>
    <t>200952E01005</t>
  </si>
  <si>
    <t>49e1e95c9f345dab2558da120f9d872e8ead4474bd6fae66ed85ddfb2bb96dcb</t>
  </si>
  <si>
    <t>200952E01015</t>
  </si>
  <si>
    <t>7d6e8092b5a8f7f970247f4c558235185132afc77224530880e96e5eb48b3b96</t>
  </si>
  <si>
    <t>200953B01005</t>
  </si>
  <si>
    <t>4efaaa7bfa8eef6853217cd672bcce99d92c1320ae6f13291d05aac5a349b7d7</t>
  </si>
  <si>
    <t>200954B01005</t>
  </si>
  <si>
    <t>c7e9c5ca584fde78a2240323533ea2712a406477a7c6db7c134fa6f700a5c143</t>
  </si>
  <si>
    <t>200962B01005</t>
  </si>
  <si>
    <t>SAN JOSE TENANGO</t>
  </si>
  <si>
    <t>8d9555a0040977df51e19b2f1cb7b2073b30c7ae739a37e520e0ec67f71d6013</t>
  </si>
  <si>
    <t>200962C01005</t>
  </si>
  <si>
    <t>545c879cade201c44622aabc5fd88143f7d840998ca959e20e9acba77c649477</t>
  </si>
  <si>
    <t>200962C02005</t>
  </si>
  <si>
    <t>86491a82869ef9656e181ed4380bb8c1d4f16ac10f4f68501a52e5dbbe1149e4</t>
  </si>
  <si>
    <t>200963B01005</t>
  </si>
  <si>
    <t>be5dc987fb95d0b0fe677cc42046ba5dbed34503f055b7089823fe08ee1c44ce</t>
  </si>
  <si>
    <t>200964B01005</t>
  </si>
  <si>
    <t>91d1720307a21e4dda8af4966192f1471bb2498020f7ef8d64de23ba55b8529e</t>
  </si>
  <si>
    <t>200965B01005</t>
  </si>
  <si>
    <t>db6c7b9b4cda86d80caf5afa812e3c0673f10e1a6b69c96257ddc41c491f1241</t>
  </si>
  <si>
    <t>200966B01005</t>
  </si>
  <si>
    <t>730632fa03970b3b17e876bdb6c88d992523b81f00e042466d3ac6e64548fbd6</t>
  </si>
  <si>
    <t>200966E01005</t>
  </si>
  <si>
    <t>d2358ee8eb40bc833246489baeefd5bd5cd7322de2abff2e3ce51462c3c5b35b</t>
  </si>
  <si>
    <t>200967B01005</t>
  </si>
  <si>
    <t>234b396dfc397b5feb399db7813ed3c0bfff4f1038e8c4f78210bbe7a5f4b57e</t>
  </si>
  <si>
    <t>200968B01005</t>
  </si>
  <si>
    <t>e9b44cd1096fdfd9e05411c1dc4aef5ac9f422f85626521a51cea41b6fb34e77</t>
  </si>
  <si>
    <t>200969B01005</t>
  </si>
  <si>
    <t>ddcb545e0bf3bfa3da7aa5ea1e556aa54cf6e66d15cafb9c71df00264fdee24c</t>
  </si>
  <si>
    <t>200970B01005</t>
  </si>
  <si>
    <t>4ac8d5c4e42b789bca5383e19edcc42f0b47f19cb087ca15e9bff05ec5c30f84</t>
  </si>
  <si>
    <t>200970E01005</t>
  </si>
  <si>
    <t>e5f718c8d576bdda222a7f8ab209aac71c6dc57c7f9ac670dfdfa1e8ebac9006</t>
  </si>
  <si>
    <t>200971B01005</t>
  </si>
  <si>
    <t>d2d52fdd256079f9fd2173f2cd9782e39d73d6bde40c6186613770b9842a2bd4</t>
  </si>
  <si>
    <t>200972B01005</t>
  </si>
  <si>
    <t>0223a0f831eb45458e179fc25fd3360ab91f617323562c768509c86645999b70</t>
  </si>
  <si>
    <t>200972C01005</t>
  </si>
  <si>
    <t>9318b7ac8688dab6bfda4a9400766b4c7d6ce29a10c1dbcac2e36667d8e6ba1a</t>
  </si>
  <si>
    <t>200972E01005</t>
  </si>
  <si>
    <t>6a3bec2666db2c0a9a60ecaa3e4a8000dd8b6492ccf74ce2ab71ba6765f6b929</t>
  </si>
  <si>
    <t>200973B01005</t>
  </si>
  <si>
    <t>304604f9dde2f7ac38416fc57feb9dbe604ce9201d371ef81547b2da23859484</t>
  </si>
  <si>
    <t>200974B01005</t>
  </si>
  <si>
    <t>cc852b0e849149e01a7a35f6c62aef377c34b29290ef7a83a47d482390102211</t>
  </si>
  <si>
    <t>200974E01005</t>
  </si>
  <si>
    <t>282e01deddd308dba99443a2ba51cecb7b13a2613ba700db31a2f3f6e0564383</t>
  </si>
  <si>
    <t>200975B01005</t>
  </si>
  <si>
    <t>c7cbc71842ed6c4d27bb0785faf48a39b260182a40f0face96656e8ed3ecbb5e</t>
  </si>
  <si>
    <t>200975E01005</t>
  </si>
  <si>
    <t>9275ac085f4bf4de11e5aee2492f97b2b7bf446386b5ed74af8b9b19df3d5258</t>
  </si>
  <si>
    <t>200976B01005</t>
  </si>
  <si>
    <t>27ab07664c1965c01552f57cf3477b3d58949d8d9346d2e27de6e3c8ae6e506e</t>
  </si>
  <si>
    <t>200976C01005</t>
  </si>
  <si>
    <t>f1ca5bc87727ceaec25d99958e1d0d31e1a355dbf58ba2558226f8ec75662241</t>
  </si>
  <si>
    <t>200977B01005</t>
  </si>
  <si>
    <t>488ba7e5cb708e0b96c4cd20fa520c147e68ed206289777f3819d47a672930a8</t>
  </si>
  <si>
    <t>200977E01005</t>
  </si>
  <si>
    <t>21295963531416b656099490d06494d7bf7e9de02c9d5ce41995bee4b6e3150a</t>
  </si>
  <si>
    <t>200986B01005</t>
  </si>
  <si>
    <t>SAN JUAN BAUTISTA CUICATLAN</t>
  </si>
  <si>
    <t>4951b184eefbd368c3e6bcd9a8de1573ea4af72a97b03b395f3910cf4c9ce90d</t>
  </si>
  <si>
    <t>200986C01005</t>
  </si>
  <si>
    <t>098ea2b762f47e72a060bfeace87c4957800b5113d89d673cf694391d0579875</t>
  </si>
  <si>
    <t>200987B01005</t>
  </si>
  <si>
    <t>12c454d1e4dee62cfff7b3838f3ea06df477404bd8f98174957f55d823d7805a</t>
  </si>
  <si>
    <t>200987C01005</t>
  </si>
  <si>
    <t>b0ccf16042246e76040c015384b7feeddb807eb40d01650d89344fb43eeafeb9</t>
  </si>
  <si>
    <t>200987C02005</t>
  </si>
  <si>
    <t>1a32ce7d752a4ffd0ed854919c12367188a985e04455ea711bd04486dde2ed33</t>
  </si>
  <si>
    <t>200988B01005</t>
  </si>
  <si>
    <t>effa4454d7b98c358de027d1c9e034122ce5f21ecdce07c9a8980cfe7734c0aa</t>
  </si>
  <si>
    <t>200988C01005</t>
  </si>
  <si>
    <t>9024227985997917854aa8d49d5ab9bde3ba6f285875ec28539c3b35f9d654de</t>
  </si>
  <si>
    <t>200988S01006</t>
  </si>
  <si>
    <t>d673de183e0f0ca3003acd90910ac723882b8d0095de59125578b0dc9815aa3c</t>
  </si>
  <si>
    <t>200989B01005</t>
  </si>
  <si>
    <t>77b35de1dcaf8f84a639826b85d398963f800cbcd4f07bba80a93d8c08ab5550</t>
  </si>
  <si>
    <t>200990B01005</t>
  </si>
  <si>
    <t>621d3ba2e4cd1d7f7d2b8c77185817eef935b1c9ebb2532039aede0c48e4503c</t>
  </si>
  <si>
    <t>200991B01005</t>
  </si>
  <si>
    <t>83f2b46321736bc0a77720c3d533908db035538350ecf410f874bb5bf3145df6</t>
  </si>
  <si>
    <t>200992B01005</t>
  </si>
  <si>
    <t>a78089cbf3ff649e48ea1a0fa737c7dc7989896440601a959349ba70f733faf8</t>
  </si>
  <si>
    <t>200993B01005</t>
  </si>
  <si>
    <t>aefe80d2358f9b959dcfb3c22e5a610d7a0ac7f5461516bb8236c60adfefe169</t>
  </si>
  <si>
    <t>200993C01005</t>
  </si>
  <si>
    <t>4b0c036a7c456af35707dc386f31064af3e3f6388d7ee7a32137ee72fa4f58fc</t>
  </si>
  <si>
    <t>200994B01005</t>
  </si>
  <si>
    <t>f4aa8b4fdc4c8416778dba9959b20b08859fcbe2c88a12af8e1a5b9ce36a1faa</t>
  </si>
  <si>
    <t>200995B01005</t>
  </si>
  <si>
    <t>a98e8bff7568bbfcd93ad64cadbe555ea2b7b6f11799d685751f6fdf220000db</t>
  </si>
  <si>
    <t>200996B01005</t>
  </si>
  <si>
    <t>da949ce51a4cbcf8017ea6d64729b2e0c5eacee74a3bef2caf6cd1c2eda63c90</t>
  </si>
  <si>
    <t>200997B01005</t>
  </si>
  <si>
    <t>298184c564416bef421dfa70ebeef82a9049802bd481f777684fc336997f9392</t>
  </si>
  <si>
    <t>200998B01005</t>
  </si>
  <si>
    <t>8f6baafc9be4b70c9612398036cedf2e49b414693f8820d3ba141ceb17ee81c5</t>
  </si>
  <si>
    <t>201003B01005</t>
  </si>
  <si>
    <t>SAN JUAN BAUTISTA LO DE SOTO</t>
  </si>
  <si>
    <t>7d1fd9bfbb3960f7924f7afa6da94f2f579d8b6f958ccddef042e1814ed6f3cf</t>
  </si>
  <si>
    <t>201003C01005</t>
  </si>
  <si>
    <t>ee5abd91040bc4fdee968fa353917fd23ee588be95f7106ee3b0fa9f0fb825f2</t>
  </si>
  <si>
    <t>201004B01005</t>
  </si>
  <si>
    <t>09706cdabce8bce770a7053d7b9436fc440f35bba359c022e3f53d764edcf4d1</t>
  </si>
  <si>
    <t>201004C01005</t>
  </si>
  <si>
    <t>dfdc44fb73e22f431816a223b453623a82c4f59fbdde7202fc168b7a5618009f</t>
  </si>
  <si>
    <t>201004E01005</t>
  </si>
  <si>
    <t>6124acfd2667e6e5469081a3f89aaa65e8d02db2162d053d446ed2e43dbfe905</t>
  </si>
  <si>
    <t>201005B01005</t>
  </si>
  <si>
    <t>SAN JUAN BAUTISTA SUCHITEPEC</t>
  </si>
  <si>
    <t>d5e0b5c6aaaabaf590673bfc41eb5d42b3dce4dc9215e21ac2651b005164050f</t>
  </si>
  <si>
    <t>201006B01005</t>
  </si>
  <si>
    <t>a57ce40574b221997bd37fa9f2d4fca89464cc10ac011b5cc1b40f4a6ca737aa</t>
  </si>
  <si>
    <t>201009B01005</t>
  </si>
  <si>
    <t>SAN JUAN BAUTISTA TLACOATZINTEPEC</t>
  </si>
  <si>
    <t>52f2435869aafecff478a45af7c12c424892b62fe473e3405541852a5e055963</t>
  </si>
  <si>
    <t>201009C01005</t>
  </si>
  <si>
    <t>feb7536a5cafd9098651d2cadecf1e7a7c1712b31b855e09ec9f672b944d091c</t>
  </si>
  <si>
    <t>201009E01005</t>
  </si>
  <si>
    <t>50d5496aceb8a64168d9c3aafae303f7f848e8debb1e709d5b6719ac224bc8ff</t>
  </si>
  <si>
    <t>201009E02005</t>
  </si>
  <si>
    <t>e0868083acd5ae0f330a0d1d3cde17b13b53e3915ef6abbe8a3197904163de69</t>
  </si>
  <si>
    <t>201010B01005</t>
  </si>
  <si>
    <t>SAN JUAN BAUTISTA TUXTEPEC</t>
  </si>
  <si>
    <t>6fedac8864219cd6ae2fec4322efbc6606c32a37ee8084c2e9272ef7a7de2851</t>
  </si>
  <si>
    <t>201010C01005</t>
  </si>
  <si>
    <t>b1f1c2776a23e66d3d2a24eebb81f0a7481f3e2bd356185d91241fecc9329e3e</t>
  </si>
  <si>
    <t>201010C02005</t>
  </si>
  <si>
    <t>9c75e8701ef14af79d637d01e130d3beeedb2b8d1a98dd2bf7242a547698fa7a</t>
  </si>
  <si>
    <t>201010E01005</t>
  </si>
  <si>
    <t>9ebae00731ac900a905a52e1adb0e741a28792e2e48bde5b362f2a526fc44e0e</t>
  </si>
  <si>
    <t>201010E01015</t>
  </si>
  <si>
    <t>9018b898ac611b3e38a8b286f08016656f1e12f6f1e63d69fde791db4c8cc5f1</t>
  </si>
  <si>
    <t>201010E01025</t>
  </si>
  <si>
    <t>192dd15b98f1028dc7ada67bafed3de943cecee675260442f7b53fc9a68864ed</t>
  </si>
  <si>
    <t>201010E01035</t>
  </si>
  <si>
    <t>9a4800d5fb883d82956758231e83e80f7315bc0456203f1a59c613ad2de5ec33</t>
  </si>
  <si>
    <t>201010E01045</t>
  </si>
  <si>
    <t>ad74da2409f4dc03116bd9d8ee452d97c7de663ffa9d1aa0419d0219ca5c378c</t>
  </si>
  <si>
    <t>201011B01005</t>
  </si>
  <si>
    <t>f3433949c97df8398da3548976d99dca687d3233523a2ed79f042e46ed60929e</t>
  </si>
  <si>
    <t>201011C01005</t>
  </si>
  <si>
    <t>1a6aff4694551dd7739c536ed0c13815691fcb4039d125c17a9844851eeb896b</t>
  </si>
  <si>
    <t>201012B01005</t>
  </si>
  <si>
    <t>21955edecbf2e8bea50e095101d3b3bc650cd8d0cc18854eae1c4faffe9fb37c</t>
  </si>
  <si>
    <t>201012C01005</t>
  </si>
  <si>
    <t>245a9b9a86ad3770ac5886596de66b9e07533857460e53fd58e3dea8c1300a67</t>
  </si>
  <si>
    <t>201013B01005</t>
  </si>
  <si>
    <t>e56fb731073754880f2c6153aa4af779b7531bbd403652c656480cb40f1807b5</t>
  </si>
  <si>
    <t>201013C01005</t>
  </si>
  <si>
    <t>a29524cb94332f31ed9b59cf151f665f657559e3f5e69d8cd4df2ba2fbd17776</t>
  </si>
  <si>
    <t>201014B01005</t>
  </si>
  <si>
    <t>669526451149df4a9b32d726882695012de579ce8eb6a7c84bbb0388a89ebeea</t>
  </si>
  <si>
    <t>201014C01005</t>
  </si>
  <si>
    <t>a2c28d5d70ce5328722e71dad339eaff87815cf38485e862621818988b5c45f0</t>
  </si>
  <si>
    <t>201015B01005</t>
  </si>
  <si>
    <t>c47159c241aad647057893517159ea329f7c690803b06461c00ae91a9f6ded20</t>
  </si>
  <si>
    <t>201015C01005</t>
  </si>
  <si>
    <t>3b947e93992c424fb945aeeb45f2a032205e6039d590887c40648bf7485b4265</t>
  </si>
  <si>
    <t>201016B01005</t>
  </si>
  <si>
    <t>7a33b86d6c1df5a7e7664e28269c59e2fcd6ad126469d66df0dbad1ba0a446d4</t>
  </si>
  <si>
    <t>201016C01005</t>
  </si>
  <si>
    <t>a5f1b7ca536000d5a8d04312491de7745c8ddc5f8e753a54091368d654ac1942</t>
  </si>
  <si>
    <t>201017B01005</t>
  </si>
  <si>
    <t>90dd4161ec4ea9d24fbf9b21be8fe1c36cbbadca0deb7be41ba02fe1c84d4589</t>
  </si>
  <si>
    <t>201017C01005</t>
  </si>
  <si>
    <t>78c28991d7d52247d91e382016a1f297aa580f2baeb60fd70b34f566d3245711</t>
  </si>
  <si>
    <t>201018B01005</t>
  </si>
  <si>
    <t>67ecef12f5e00015d6f9f337ada69a51c9e2715e3e3e6cc0f913ad25d33dabb4</t>
  </si>
  <si>
    <t>201018C01005</t>
  </si>
  <si>
    <t>53037d658688a141d467174d8e139358761f1c3554238512f742573e1ccf1045</t>
  </si>
  <si>
    <t>201018C02005</t>
  </si>
  <si>
    <t>a9833c1ff663e96811831d1751bc61fbed34c99f7fe3e2c5ca5085a2a0efa137</t>
  </si>
  <si>
    <t>201018C03005</t>
  </si>
  <si>
    <t>4711c65882c11338d15954af9a0ffc74afcc87cdbcb928ed554a2055baf8fedd</t>
  </si>
  <si>
    <t>201018C04005</t>
  </si>
  <si>
    <t>a5c8a55f2223b2001e9f21f7cf83d98926f4d8342deeb19723fab5bf5c9b56b9</t>
  </si>
  <si>
    <t>201018E01005</t>
  </si>
  <si>
    <t>f56c8760b84bfce8c53187cc9de0680c772ccc5d24efd7a409e4624f834d7979</t>
  </si>
  <si>
    <t>201019B01005</t>
  </si>
  <si>
    <t>6c8f3a47ebe6489d5d9ae0aa5ac923d7a5f7e7be1a04fb473519e56acfca5d61</t>
  </si>
  <si>
    <t>201019C01005</t>
  </si>
  <si>
    <t>f148d71682214959e2e35c83b84af4bef209df4b80a3d9def874a7d0de54feef</t>
  </si>
  <si>
    <t>201019C02005</t>
  </si>
  <si>
    <t>124d0a9f613a3e0b91866598a08c92f8ddf54be2d6d68d83e74f64eccea600d0</t>
  </si>
  <si>
    <t>201020B01005</t>
  </si>
  <si>
    <t>ed2b8737ab7a5c10a4d76bdb8651c12490037bb9fc9518c700f2240f3e452c38</t>
  </si>
  <si>
    <t>201020C01005</t>
  </si>
  <si>
    <t>50eaaa5eed748ada8811ec351dd48794f5bc9dd327f6c2d99eec7fea01a6283c</t>
  </si>
  <si>
    <t>201020C02005</t>
  </si>
  <si>
    <t>d45a0d25042bea3797b32e513c249fc8c7d6c527e9880d6a6765d93cc19482af</t>
  </si>
  <si>
    <t>201021B01005</t>
  </si>
  <si>
    <t>8464cd535c17d78d8958c04c834b4d23805152d8bff38b875927e2c8bfc80673</t>
  </si>
  <si>
    <t>201021C01005</t>
  </si>
  <si>
    <t>620ae4d24fcffed3f974073b28b7b76c1a1aee81fdb1dafcd843b95a00b940ed</t>
  </si>
  <si>
    <t>201022B01005</t>
  </si>
  <si>
    <t>f57bb743c21e0160423282078879c1345b3c925b5cb949136864f43516c2033e</t>
  </si>
  <si>
    <t>201022C01005</t>
  </si>
  <si>
    <t>65664f555b83480e65160c870569d66776ce41cb90a33b9cdb2ff473443deea2</t>
  </si>
  <si>
    <t>201022C02005</t>
  </si>
  <si>
    <t>d414e689b8bb253db80d5bfb4a865c7ce86b016958f62cf228480ecfff0bda0e</t>
  </si>
  <si>
    <t>201023B01005</t>
  </si>
  <si>
    <t>68f5cf2151a333444a650e4a1cc4cd190dce6ab8b21b0ac27ce681a27fd6a745</t>
  </si>
  <si>
    <t>201023C01005</t>
  </si>
  <si>
    <t>b15c6d8f3424228c18509a7b0db0abfb685d08e65b695b5a599011ac99654c0b</t>
  </si>
  <si>
    <t>201024B01005</t>
  </si>
  <si>
    <t>5fc5423684c48193bc4347d45071f8d482ceeda6513629b800176fba23959d64</t>
  </si>
  <si>
    <t>201024C01005</t>
  </si>
  <si>
    <t>34c0770e214093e4e6690febc4c977e95879461b3e550616b73a6063ba92abb5</t>
  </si>
  <si>
    <t>201025B01005</t>
  </si>
  <si>
    <t>5eb49ce0b14e7844aa4e22ac0baa5e818f12a78416e6b9004c204c317980483b</t>
  </si>
  <si>
    <t>201025C01005</t>
  </si>
  <si>
    <t>cb3905ff07e78b97eb805154ed34a4c7d5c746a243c3c128cd5c38466bed1a2f</t>
  </si>
  <si>
    <t>201026B01005</t>
  </si>
  <si>
    <t>52b0a5a0af214a4a9607c68f9c8498d6ce95913f3055ce59187bf968bfa12c7e</t>
  </si>
  <si>
    <t>201026C01005</t>
  </si>
  <si>
    <t>dbace59ebbb90a410dff2f43664b536ef7785c1f51ad243cb9f86e12b44fdbaa</t>
  </si>
  <si>
    <t>201027B01005</t>
  </si>
  <si>
    <t>7f8b89c4e61cf172d008184132a9ae773d872a9d9bc8dcaecef7e660adfff60b</t>
  </si>
  <si>
    <t>201027C01005</t>
  </si>
  <si>
    <t>71379baae90926da4c2961b969f91af6cc8fc8915f2743f4d1f72539dc4f8006</t>
  </si>
  <si>
    <t>201028B01005</t>
  </si>
  <si>
    <t>16f1b6d8fc6d649f658d10b46333d66964e60e4461484ce6fc33f36041a99ab5</t>
  </si>
  <si>
    <t>201028C01005</t>
  </si>
  <si>
    <t>a61a0b74a78686dbeb80cb337cc929435aecf55478de280a18eb246a7a07ece4</t>
  </si>
  <si>
    <t>201029B01005</t>
  </si>
  <si>
    <t>93c3ab706b7e1816ed5874750e60d54fc22ca07974bb1f1b43716230156388e2</t>
  </si>
  <si>
    <t>201029C01005</t>
  </si>
  <si>
    <t>f73c92242ff10b2bbb02749f153edc19179eb35828549a7ab2b17fbfd845217a</t>
  </si>
  <si>
    <t>201030B01005</t>
  </si>
  <si>
    <t>91a928605617d2682f2b977ea640273acec6e75a3b9e6b0f563ccfe1682c84a6</t>
  </si>
  <si>
    <t>201030C01005</t>
  </si>
  <si>
    <t>79dab4852b55f81f4b502368140cdaa48642c815ad30cc4abdc10c873124ff9d</t>
  </si>
  <si>
    <t>201030S01006</t>
  </si>
  <si>
    <t>127e3b4960dd7261873efb4237550d78c0cddc3249c54331ab149e2e7d6a2443</t>
  </si>
  <si>
    <t>201030S02006</t>
  </si>
  <si>
    <t>d6e8d93eb3c77fafef0c7089b77c33ab4c38d71ce0dce17affe6ae821e20889d</t>
  </si>
  <si>
    <t>201031B01005</t>
  </si>
  <si>
    <t>b0a0217ba3586d7c536555365df778d422f0a3158ceeb66224fa55bfa855a4e3</t>
  </si>
  <si>
    <t>201031C01005</t>
  </si>
  <si>
    <t>7cfe2ef0522ac94e71244ba49fda46a51f1812612d2f0885ce28900447824bc5</t>
  </si>
  <si>
    <t>201032B01005</t>
  </si>
  <si>
    <t>ea8225453be15e61dd56f5dc644c55263664c64d850612329c89032feb0a3831</t>
  </si>
  <si>
    <t>201032C01005</t>
  </si>
  <si>
    <t>3be639eb6254d0dfafcd50b16d9275bea9d8bd096de6f0affd226ca2412a4466</t>
  </si>
  <si>
    <t>201033B01005</t>
  </si>
  <si>
    <t>99df302b2e1abc1691eb1fc7975ad25c658db443dad371e45f9f43269183456f</t>
  </si>
  <si>
    <t>201033C01005</t>
  </si>
  <si>
    <t>2db26c3a377fa64e6c148dafc8744aed646bf1106c597dd2f1d4f245ec461770</t>
  </si>
  <si>
    <t>201034B01005</t>
  </si>
  <si>
    <t>2972f7561a0a2cdb6bb64878e3f144df08ef5d96deb94c30432c3cb8eed3d90b</t>
  </si>
  <si>
    <t>201034C01005</t>
  </si>
  <si>
    <t>2af82948cda6a7253a858e82cb0cdc492124d677119eab5ab93f93724bde96e4</t>
  </si>
  <si>
    <t>201034C02005</t>
  </si>
  <si>
    <t>80ebdd8f03f31b34062d7448a558ef58951dbc76eed7e8630f40829608e598cc</t>
  </si>
  <si>
    <t>201034E01005</t>
  </si>
  <si>
    <t>d1708ccb2e9ee70f60ef2f165e2f6b558d3879a93286ea9b6931c9e4ca1edce6</t>
  </si>
  <si>
    <t>201034E01015</t>
  </si>
  <si>
    <t>5f9db1e041e39fdb1db2ffbe7e3a1aeb709fff9db428249f7115450bb42ab2cd</t>
  </si>
  <si>
    <t>201034E01025</t>
  </si>
  <si>
    <t>1c288c5a9e603d45c7752cb9233205b7bbd3e985eec516ec96feef9d863dfc27</t>
  </si>
  <si>
    <t>201034E01035</t>
  </si>
  <si>
    <t>052ad6afd73aa3e69a7958ccfa2937bec4718e9c0046dc29601d59d473cc97cc</t>
  </si>
  <si>
    <t>201035B01005</t>
  </si>
  <si>
    <t>a4b17cceba8d740f5416241107169ebfe9b59a7c60ce17bd1c92385b34497e75</t>
  </si>
  <si>
    <t>201035C01005</t>
  </si>
  <si>
    <t>8afa06c0c47194259ae092dccf4d1e6fddb5dbc2fb7c8bf8977dd1c231bf9e78</t>
  </si>
  <si>
    <t>201035C02005</t>
  </si>
  <si>
    <t>41e81320b238e4c3b8cb00f4c9524c8c1bac7034f8aecf1553c668f059a3e495</t>
  </si>
  <si>
    <t>201036B01005</t>
  </si>
  <si>
    <t>eae2c4349e7db1ee8a5187b2012a3005fdeb0e45cde428d76b7eee1db593afd2</t>
  </si>
  <si>
    <t>201036C01005</t>
  </si>
  <si>
    <t>22a300f66ea6dd9b2f244fe69430729234fa868bfb2a527d1f95625c515151e1</t>
  </si>
  <si>
    <t>201036C02005</t>
  </si>
  <si>
    <t>392a1e5b06c64c601fd02898cfae28657b9cc87f0d14a6320029d61ebbca7b50</t>
  </si>
  <si>
    <t>201037B01005</t>
  </si>
  <si>
    <t>03c27e92fbd8f061f962805c57417352ae18bdd9261bd0b2675f3db3946a7b3d</t>
  </si>
  <si>
    <t>201037C01005</t>
  </si>
  <si>
    <t>28d4dce2bd5b762bb4506fd08cad06a0169bdcf4850c90499f1e5a2a2a0c928d</t>
  </si>
  <si>
    <t>201038B01005</t>
  </si>
  <si>
    <t>4291bbbd7fcdd2ec762d519164feeaf9152a87b48f2dcd06c0ef058572d28910</t>
  </si>
  <si>
    <t>201038C01005</t>
  </si>
  <si>
    <t>e6bae5eaea97e7bc42f96ab02c51f5d272ceb8106367850c77604b9b0ba0d90f</t>
  </si>
  <si>
    <t>201038C02005</t>
  </si>
  <si>
    <t>b2ef0f897635fa7f8b9ed5fa910ea8aa0e73dd05dc409202c4ba9cf543ab0694</t>
  </si>
  <si>
    <t>201039B01005</t>
  </si>
  <si>
    <t>583d6f279b0f316b65dd8adad3e59542c9b240afef8a094c6fa8799e56cc27d3</t>
  </si>
  <si>
    <t>201039C01005</t>
  </si>
  <si>
    <t>df4b6c8aa788e55d7c47d178c482939ee6ec424dc42475cc97d2b7dbbd9c36b1</t>
  </si>
  <si>
    <t>201039C02005</t>
  </si>
  <si>
    <t>adb116fcf186c4d8e27c90da4b45a76426003762c99cbe5e34d717ada14d5c20</t>
  </si>
  <si>
    <t>201040B01005</t>
  </si>
  <si>
    <t>c5e27c378b38d6c75d988865b23bc8b9bceaeb1760467d6eb52a5ff5597f246e</t>
  </si>
  <si>
    <t>201041B01005</t>
  </si>
  <si>
    <t>bf81ae71b970ca2785c964ff25b0b0ee7a9ef47b30a95f76698a8c62003776dc</t>
  </si>
  <si>
    <t>201042B01005</t>
  </si>
  <si>
    <t>c2f3f093e8c86deb154adeeb159a224df280459caea90fb8867eb04ac4e61688</t>
  </si>
  <si>
    <t>201042C01005</t>
  </si>
  <si>
    <t>e7f648e11f7ed2176fa20d659802818d3a124c84bdf230fee08796c0b181c1ad</t>
  </si>
  <si>
    <t>201042C02005</t>
  </si>
  <si>
    <t>9377bef8d0df8a0fb1d0881790c7d2a072c536e5891c420641828bc951f6af9f</t>
  </si>
  <si>
    <t>201042C03005</t>
  </si>
  <si>
    <t>52c87958f90ad257be33de3868f63607aa6e3fc34d27a16d5879ac5c60aae6d0</t>
  </si>
  <si>
    <t>201042C04005</t>
  </si>
  <si>
    <t>43910e77b75b79c3be41275c0f21626a537dd1804d9ec37e1757e209435199f8</t>
  </si>
  <si>
    <t>201042C05005</t>
  </si>
  <si>
    <t>cdcb5b2a7ee3e914c96f863ac3647f7f09cc4ccea825e39c490e5a8902e26e5f</t>
  </si>
  <si>
    <t>201042C06005</t>
  </si>
  <si>
    <t>e382bd9fe40dc5130ebfbe65d5dca14b5c82a66f76d1db52fd361eadf7b1e662</t>
  </si>
  <si>
    <t>201042E01005</t>
  </si>
  <si>
    <t>793ffcf1e717a6c89fd6d07c68aeeb28cb84704a98b8d498fe3fe43fa920d8fd</t>
  </si>
  <si>
    <t>201042E01015</t>
  </si>
  <si>
    <t>a17e39d2658c9506fbddb54c27d1cc82f21e504910965b5d17014a69c167b77b</t>
  </si>
  <si>
    <t>201042E01025</t>
  </si>
  <si>
    <t>5310075b5e3bfe0a013b5fce47199af43be774805fb229e3148fcc74ca45ffd6</t>
  </si>
  <si>
    <t>201043B01005</t>
  </si>
  <si>
    <t>1c7456f2d1505b4cb21dcf37d72c61711f6296507b262b7284067518b00aea50</t>
  </si>
  <si>
    <t>201043C01005</t>
  </si>
  <si>
    <t>8688745f9ed866717b6a3f2ef60348a80636e709024927ad99eb63b54e6dd9db</t>
  </si>
  <si>
    <t>201043C02005</t>
  </si>
  <si>
    <t>165720e89d5de8ff2667adf71079026da658c397cc971f7c2f1519300e172530</t>
  </si>
  <si>
    <t>201044B01005</t>
  </si>
  <si>
    <t>d4a1a65008afa90d2d08d88b45af6efb50cac22b1abde20c92261aaaf18cc8ba</t>
  </si>
  <si>
    <t>201044C01005</t>
  </si>
  <si>
    <t>388b57ddbdcd087e75bf42b7dbe74bf45f0b874fe689ff497a26237e9b0a2b58</t>
  </si>
  <si>
    <t>201045B01005</t>
  </si>
  <si>
    <t>59fca152903b49b838406c2ac6b02412295667e1e2460e33668de674cf36bc3e</t>
  </si>
  <si>
    <t>201045C01005</t>
  </si>
  <si>
    <t>0a9e347d546948c231efa6727b4d38db56e709b0dcd3c6b019b035fa399879f1</t>
  </si>
  <si>
    <t>201046B01005</t>
  </si>
  <si>
    <t>8c0a303b5997ed8e5e4610b4bfab2648800e2f13004f1681b4e337870c4ebf47</t>
  </si>
  <si>
    <t>201046C01005</t>
  </si>
  <si>
    <t>83e1748fc5198e8289778e383b6047743a4841da6e8d47f95250b03ed0bbe68a</t>
  </si>
  <si>
    <t>201047B01005</t>
  </si>
  <si>
    <t>a9903e5cca858b75f57d41e920ad30d0b9bf1a7bddf3790e88b1fcf967c068bc</t>
  </si>
  <si>
    <t>201048B01005</t>
  </si>
  <si>
    <t>805599bfbe8786511d3cdddfce304c004f89d852ebb495e2fb9433e658d525b8</t>
  </si>
  <si>
    <t>201048C01005</t>
  </si>
  <si>
    <t>34636d3954deef25ffa27d4fbb2ca97173ea552ef4b8d24fc81244ab96101190</t>
  </si>
  <si>
    <t>201048E01005</t>
  </si>
  <si>
    <t>5d4e629bc60199da93a2ff8be9d72ecd77091758e4507af41fb8ac48a784d063</t>
  </si>
  <si>
    <t>201048E02005</t>
  </si>
  <si>
    <t>3b8d634a0c474f19fd7b625ae10281a71f9ad6867d866d626e8d8c66dcc4e05c</t>
  </si>
  <si>
    <t>201048E03005</t>
  </si>
  <si>
    <t>fbe40e01135c3bf9c955e1562696d7d662cce4646c19b10d45a13062dc147451</t>
  </si>
  <si>
    <t>201049B01005</t>
  </si>
  <si>
    <t>114cf3b13c2ab920345e8838b253a301f48a061f8b1e197b71e92964bdba947d</t>
  </si>
  <si>
    <t>201050B01005</t>
  </si>
  <si>
    <t>38dab31fc18e93b01b034d47cd235ced89b8b524f301d6d28ee6483758cedeae</t>
  </si>
  <si>
    <t>201050C01005</t>
  </si>
  <si>
    <t>2ce2df486176a0a1e9f625d4103897dad52e084b992d89f0d2733d1ea54e7c7d</t>
  </si>
  <si>
    <t>201051B01005</t>
  </si>
  <si>
    <t>801675bb9712f917d38734c112bd226cd54bebf13cf8926ea221ce83163430a9</t>
  </si>
  <si>
    <t>201051C01005</t>
  </si>
  <si>
    <t>e2748cff4d1269c369cbc56da81a6ebe9207acbc8711dc2b6c494341eef9ac66</t>
  </si>
  <si>
    <t>201051E01005</t>
  </si>
  <si>
    <t>76b6223c3f1d62a0ff7ebf18f1cae8ea1ef6e5794504346ac7639ce48656587a</t>
  </si>
  <si>
    <t>201051E02005</t>
  </si>
  <si>
    <t>1bf58b8a1e3e6a3833f9daa170c281510a8c3b9e3cda5f4bfb4af635ff587c5a</t>
  </si>
  <si>
    <t>201052B01005</t>
  </si>
  <si>
    <t>00a91c0f8b790fb9560544a5efb60494401e584cc0477950066f5c521380736b</t>
  </si>
  <si>
    <t>201052C01005</t>
  </si>
  <si>
    <t>6f3f6ed0eeb1e5f76b03f033b5c7474e13cb9a91f757d5ce82c2773898c959f8</t>
  </si>
  <si>
    <t>201052C02005</t>
  </si>
  <si>
    <t>e7ffca10f7c40d24af068162b77d1f3932afbbf845979862b5c6f0292c2eb208</t>
  </si>
  <si>
    <t>201052C03005</t>
  </si>
  <si>
    <t>4bdb61077d1d112f7dc385fbf0e66772bc59a96102402ffb44dc4c06a389b5a1</t>
  </si>
  <si>
    <t>201053B01005</t>
  </si>
  <si>
    <t>96c355377719921e63f9b19274d4d25cb7c25f320171cfbeee0e56c87c90da82</t>
  </si>
  <si>
    <t>201053C01005</t>
  </si>
  <si>
    <t>e03c47da01f0bfa4d5b3587b4df99a5605013d73f6f289cfe05c366c15420f46</t>
  </si>
  <si>
    <t>201053C02005</t>
  </si>
  <si>
    <t>811fce2c1583288fcc89881d5b40a78dda214405c6f631611ba737d56b59a7ae</t>
  </si>
  <si>
    <t>201053C03005</t>
  </si>
  <si>
    <t>14d416034e2af9f44d731da9fea26e02776ef8ccb53103cb534eede1ddb03a49</t>
  </si>
  <si>
    <t>201053E01005</t>
  </si>
  <si>
    <t>9cbf7cebb74fcb1ee804fe1df0815fcd58b13847990bf979b5e1f5c939ad6253</t>
  </si>
  <si>
    <t>201053E01015</t>
  </si>
  <si>
    <t>c978a4760fb6012eb7d2f72d98586f170beff8cad64cdae543840a58bc06f010</t>
  </si>
  <si>
    <t>201054B01005</t>
  </si>
  <si>
    <t>22fcb5b3b3868726424ba8b79254ab56dd2703a84301abe8e5c765d592a72edb</t>
  </si>
  <si>
    <t>201054C01005</t>
  </si>
  <si>
    <t>0a8f45275ed48a606b9fd6c86a284e012ef96f8a10fcde0a2b3503931254e77a</t>
  </si>
  <si>
    <t>201054C02005</t>
  </si>
  <si>
    <t>0671dffdfc162858490da8664995e1b0440d15dfbcd0024c57c1560bd8150b17</t>
  </si>
  <si>
    <t>201054C03005</t>
  </si>
  <si>
    <t>0ea1221211891fcbd9c48bcf047ac3ca8829294441c00ef66b43e89176ce71d4</t>
  </si>
  <si>
    <t>201054E01005</t>
  </si>
  <si>
    <t>3a9880ad05546d2dec566212ed02ab9c5a63237a2e1dc665976f6577f8ed7b5a</t>
  </si>
  <si>
    <t>201054E01015</t>
  </si>
  <si>
    <t>af4457555192184c48df72957d9eaebe654cc723856e5be4bfb1ec52dd63a107</t>
  </si>
  <si>
    <t>201055B01005</t>
  </si>
  <si>
    <t>fd226af6afdd74091a1abf34fbe5a927fc3c156b5f68b08522a1730914883fad</t>
  </si>
  <si>
    <t>201055C01005</t>
  </si>
  <si>
    <t>94c1878583fcd7c6ababb3a34f8517b8bcc27b62f9f1c8b025f69beb4d59a579</t>
  </si>
  <si>
    <t>201055C02005</t>
  </si>
  <si>
    <t>81c27411a554aa499a09db29ecb3425103d04e38046738793fdb5036c8a99ec0</t>
  </si>
  <si>
    <t>201056B01005</t>
  </si>
  <si>
    <t>8670a86329c7c6f6fccf11972b61fbb5b3869f24d84fdbff320085cbd9f68c3d</t>
  </si>
  <si>
    <t>201056C01005</t>
  </si>
  <si>
    <t>75e8b25f44fb9cac15ab13d6db42526227b51de67e11d8364b81286230b78095</t>
  </si>
  <si>
    <t>201056C02005</t>
  </si>
  <si>
    <t>2936239da4fedba1f689576080e075a3401a915f0a1a860a4ec850d86c0b364d</t>
  </si>
  <si>
    <t>201057B01005</t>
  </si>
  <si>
    <t>754869e50e99fd3db45dbc7e3a0bc48bf7ae4e9e4b6da5c7e110a5fa5b27212d</t>
  </si>
  <si>
    <t>201057E01005</t>
  </si>
  <si>
    <t>9636e30385b0f6ade811fa9a86933aa81b0a488734908f82fb893a1cfc911596</t>
  </si>
  <si>
    <t>201058B01005</t>
  </si>
  <si>
    <t>bb165b9bfae852106a5f1b1226e971f682eace1d6612aa09868008ed9d81ca94</t>
  </si>
  <si>
    <t>201058E01005</t>
  </si>
  <si>
    <t>05e50b1137ab79033ae5d273d8f84d0fc2f0abdabae7f13d70048277e5c622ec</t>
  </si>
  <si>
    <t>201059B01005</t>
  </si>
  <si>
    <t>96413aa83023c6b197152241a77be0b2fe4286eae327fbbcbd6c860812b0e7b8</t>
  </si>
  <si>
    <t>201060B01005</t>
  </si>
  <si>
    <t>26c87b2bb2036f2f022cafbbf635513c3bcf36517cd59d03f92d660c4e022322</t>
  </si>
  <si>
    <t>201060C01005</t>
  </si>
  <si>
    <t>0face558f94f18ddc328f6acd6be4c139319cbe50245a5ba997dd49cb243b530</t>
  </si>
  <si>
    <t>201060C02005</t>
  </si>
  <si>
    <t>334db563feb3961092d540704ce3e73f3173ebc56e1614d8888bc265ad8cd70e</t>
  </si>
  <si>
    <t>201061B01005</t>
  </si>
  <si>
    <t>bf16960e45db20c769023292c27e9ad1a22bf4fa6eccc8568ec96ae571797dc7</t>
  </si>
  <si>
    <t>201061E01005</t>
  </si>
  <si>
    <t>a97e1b8e831d74a7d07201c0b777e8d078d335527092ad098d94515ef3230bee</t>
  </si>
  <si>
    <t>201062B01005</t>
  </si>
  <si>
    <t>085405a0524d4c39654588ca52440f00304073a902b00557a2c4f972b644f8af</t>
  </si>
  <si>
    <t>201062C01005</t>
  </si>
  <si>
    <t>16f0be1ccae4b1465fb441a090f2edb52ec65067ad860533349d44a40b112567</t>
  </si>
  <si>
    <t>201063B01005</t>
  </si>
  <si>
    <t>02fa728a03dbcc453e4755a1c083776dcce25c5f787b2cc238a356640a7da4a3</t>
  </si>
  <si>
    <t>201064B01005</t>
  </si>
  <si>
    <t>ff9099aac0e3a519c542925c94cff2b3bb09d2f856157166d61799d766bea584</t>
  </si>
  <si>
    <t>201064E01005</t>
  </si>
  <si>
    <t>c2d178d966ae513f76d3078446bd48f9d10e296179595b6dd2ba431deceb7b53</t>
  </si>
  <si>
    <t>201064E01015</t>
  </si>
  <si>
    <t>db467043ff7df9bb834c67c1af20390a4614a7217314fa6a47e0c57326322718</t>
  </si>
  <si>
    <t>201064E02005</t>
  </si>
  <si>
    <t>4bbb8ccdc9f2d458528a6d2e571d81ca5df69963871acb6a8d31e0a0a16ced69</t>
  </si>
  <si>
    <t>201065B01005</t>
  </si>
  <si>
    <t>6fa65495102d09cea25720db23af11b125d4befbaafc2cb7a884ab8206b3f501</t>
  </si>
  <si>
    <t>201065C01005</t>
  </si>
  <si>
    <t>57c88f6f4f2bff73f6c1e68d2dba28a45dc82181120b6d59f92bcab1566716bc</t>
  </si>
  <si>
    <t>201065E01005</t>
  </si>
  <si>
    <t>83e9deeccbc448a889dbfa3b2e64f307f85649f4684cf6aef0e2928718beb9a8</t>
  </si>
  <si>
    <t>201065E02005</t>
  </si>
  <si>
    <t>5359423c55dc966baa0dcdfee69a69002acec416198bad60436d6cdd4f80c3a4</t>
  </si>
  <si>
    <t>201066B01005</t>
  </si>
  <si>
    <t>448d155a96308aedea81715f4a5488b52f03c7e73a03319824cce5806bab666c</t>
  </si>
  <si>
    <t>201066E01005</t>
  </si>
  <si>
    <t>e32c6721132bada3dcdb4ff3d53098dcf87649391ab7d74b2221986ce2521338</t>
  </si>
  <si>
    <t>201067B01005</t>
  </si>
  <si>
    <t>7f6078461396e01fdfd9eb3cb7e83122398699cb016b84b434c8e57807c0c31b</t>
  </si>
  <si>
    <t>201067C01005</t>
  </si>
  <si>
    <t>70051a79dafcfbb06a8dd75e35c434cb5a6d2e66af7a4bd7eff08ef70f6dccbc</t>
  </si>
  <si>
    <t>201068B01005</t>
  </si>
  <si>
    <t>3db5e530198429efe97d6c6fd5d61160a3cd0fabb928c06509fe0e9b6fdefc8c</t>
  </si>
  <si>
    <t>201068C01005</t>
  </si>
  <si>
    <t>26cf94d76c28cb2ceafa3d5f0f008756a79cdab271b027e1b1c87ef4fb24fb0f</t>
  </si>
  <si>
    <t>201069B01005</t>
  </si>
  <si>
    <t>9bba47656d54b8d63eb42b9bda2c14147431468c53b6b3b044be4b57f399b84f</t>
  </si>
  <si>
    <t>201069C01005</t>
  </si>
  <si>
    <t>08d425384cbc7f56b8b21a2314e084ad9f186b4fc7cbcbe31235c0b538628264</t>
  </si>
  <si>
    <t>201069C02005</t>
  </si>
  <si>
    <t>8f5ade02662e2d794cbfcdcd86c55dd839cbf1ebd1c6c20bb52f16d3ac52d0ba</t>
  </si>
  <si>
    <t>201069C03005</t>
  </si>
  <si>
    <t>6f931397ea695cf5d7d98ecf34124d592b3ac8d532891bf3f014aed21fd5a58a</t>
  </si>
  <si>
    <t>201069C04005</t>
  </si>
  <si>
    <t>25a97143dc2a9ba95a456c3eb079456c0f932d334c5940a9d778c151cec45c83</t>
  </si>
  <si>
    <t>201070B01005</t>
  </si>
  <si>
    <t>dd77a035e6084be5033ec9fedf021947335c9928b1913ee1b2ee39aa0568e652</t>
  </si>
  <si>
    <t>201070E01005</t>
  </si>
  <si>
    <t>847e176ec72a655c7645119a385713a14335821ada9487e618cd90f24f35e985</t>
  </si>
  <si>
    <t>201071B01005</t>
  </si>
  <si>
    <t>4f4c9c4e61ef292baf1fd1e969634b5cce888cfbbcf532ce5942103f4c695359</t>
  </si>
  <si>
    <t>201072B01005</t>
  </si>
  <si>
    <t>9b55f344f7d7124f61b4968b1eedc0c70671911a5b6f6097a21a4ed14e6e62d9</t>
  </si>
  <si>
    <t>201072C01005</t>
  </si>
  <si>
    <t>cc8b4d0330cb6a1308cb39f7722eabc1d57f269595305aeccf3e437d8da580df</t>
  </si>
  <si>
    <t>201072C02005</t>
  </si>
  <si>
    <t>d2c7b139376843b539ac5f7ae34c3ebc483466ed6c9810011af00659cedd9887</t>
  </si>
  <si>
    <t>201073B01005</t>
  </si>
  <si>
    <t>367e45414fa31b26f1335af57686d6e7271e94add17e3577b32015a3d384cf9b</t>
  </si>
  <si>
    <t>201073E01005</t>
  </si>
  <si>
    <t>227ae281b0e8368ffbfbadcc7ff1ae0bb965640be57e23f58f12ff9bd01de9c8</t>
  </si>
  <si>
    <t>201074B01005</t>
  </si>
  <si>
    <t>bdb525a30456f49381f9716cfd6a6a85ce13c98f0b162ba662343d24e7d0354b</t>
  </si>
  <si>
    <t>201074C01005</t>
  </si>
  <si>
    <t>1b16a1e185e082a597d66564926da085ad8d3d0d0beec0c34f4f1a330ac8c9fb</t>
  </si>
  <si>
    <t>201075B01005</t>
  </si>
  <si>
    <t>03314946c83614b35e8baa868b0cd59a72b87092b1e468bb2fe7eb47c8a9377a</t>
  </si>
  <si>
    <t>201075C01005</t>
  </si>
  <si>
    <t>51c93f7f5f6e0b80a468832f7fbe572adc2dd054d09c63c836d80bd9fb6ef187</t>
  </si>
  <si>
    <t>201076B01005</t>
  </si>
  <si>
    <t>9e89742149606ff491f35c99b410997d7c6c421464b776d335f7313c63ac5d80</t>
  </si>
  <si>
    <t>201076E01005</t>
  </si>
  <si>
    <t>c872f84f2b8dcbefef03cf887c516100744f9ecd2c84cd5bfcb76be34e3b41e7</t>
  </si>
  <si>
    <t>201077B01005</t>
  </si>
  <si>
    <t>20c8edce31fa754a7593c6cdefe999dac3bbba8fab2b87e76c419f8264660ce1</t>
  </si>
  <si>
    <t>201078B01005</t>
  </si>
  <si>
    <t>7e60363067f6a977eb6d58f12caf665a30ff58352b663a52ff484e206c156157</t>
  </si>
  <si>
    <t>201078E01005</t>
  </si>
  <si>
    <t>7b97cb25bbb436cd681ecd6298d0b8f0f0f5f167b65664523218b22891b38b6e</t>
  </si>
  <si>
    <t>201079B01005</t>
  </si>
  <si>
    <t>a924245abb5fca0e2821fbb05531786db5c58492e4a7ab0846cec65fa815a83b</t>
  </si>
  <si>
    <t>201079C01005</t>
  </si>
  <si>
    <t>df2f61ded753d3fdf8ee7b03f10ca0c29af956ebeb51923a654a117b892212a2</t>
  </si>
  <si>
    <t>201079C02005</t>
  </si>
  <si>
    <t>91982db72fd8a6f43c0c5da5e924381ba556fbc2a50e1981c7be166a032fdec2</t>
  </si>
  <si>
    <t>201080B01005</t>
  </si>
  <si>
    <t>683548d647ceff9bf2a21f4f5d6ba6cfc927b38c1690f7f10e593d26d5bdab1e</t>
  </si>
  <si>
    <t>201080C01005</t>
  </si>
  <si>
    <t>1dbac4c21cb998951f1d3dd1233abd67cd8e19a20a7e842f1538d1679dea92db</t>
  </si>
  <si>
    <t>201081B01005</t>
  </si>
  <si>
    <t>f772973ba4b40f562f841683047fff07286781564b606fe0c1df139d3a56ce86</t>
  </si>
  <si>
    <t>201081C01005</t>
  </si>
  <si>
    <t>3e9f8004b84af1ced53e23185eac32b78c841e0014d59e30b2745655eaa3e6a0</t>
  </si>
  <si>
    <t>201081E01005</t>
  </si>
  <si>
    <t>ba5fb354df97bcf6d45415116eaea1b3996bb594bf4d6477586e69c72fc8f206</t>
  </si>
  <si>
    <t>201081E02005</t>
  </si>
  <si>
    <t>5b2a51af19dd4b5e30f130ca6888609788aa81f23bd2d068d0cacb5adca5201e</t>
  </si>
  <si>
    <t>201082B01005</t>
  </si>
  <si>
    <t>c70d91890eeb45f304d5df4bf72e2f2957c1a84c9a232873c80a6d9d319e73ee</t>
  </si>
  <si>
    <t>201083B01005</t>
  </si>
  <si>
    <t>15dfb8fd39b84302e0eeedc9a931020e2531f838b8b8a0faffbd517618154ea8</t>
  </si>
  <si>
    <t>201083C01005</t>
  </si>
  <si>
    <t>baa54a48e069dfeda9f248be328c64068756771aa4344dc84f823a5fb87b9d4b</t>
  </si>
  <si>
    <t>201084B01005</t>
  </si>
  <si>
    <t>SAN JUAN BAUTISTA VALLE NACIONAL</t>
  </si>
  <si>
    <t>702b09155d9118a085b910c6207047ac8d78a48c0f4790100b165d48ca9e557d</t>
  </si>
  <si>
    <t>201084C01005</t>
  </si>
  <si>
    <t>fff92f7cab808d6be23b0daed25d4bacd942d65e0feccbafebfb03458b10babf</t>
  </si>
  <si>
    <t>201084C02005</t>
  </si>
  <si>
    <t>002585f75aea11a7cd66da8bf39faa118d66e92281781f49642cf3e6477761bc</t>
  </si>
  <si>
    <t>201085B01005</t>
  </si>
  <si>
    <t>e94c11e2abb38cf442cc9e55fcd21abb3929bc7042dc9ead822b21df5d327d04</t>
  </si>
  <si>
    <t>201085C01005</t>
  </si>
  <si>
    <t>14c130061bdf9e6b368799d132f83cfaf367ce8eeef1aaf2857da247a96a9e53</t>
  </si>
  <si>
    <t>201086B01005</t>
  </si>
  <si>
    <t>b60afea987ea807f608aa2f01716ac348ef07571e765afadcbf738da4e05fa1f</t>
  </si>
  <si>
    <t>201086C01005</t>
  </si>
  <si>
    <t>bc3662bb678b9f1daf98cceeef8c9a143ba8396304606fc4166558f50d4462c5</t>
  </si>
  <si>
    <t>201087B01005</t>
  </si>
  <si>
    <t>3aa68f8e9e65306c326d4564b90cf1f36dcb5271faa5c90c109cc8b3575c8d6c</t>
  </si>
  <si>
    <t>201087C01005</t>
  </si>
  <si>
    <t>3a694f0e439ea58ff507c7f8327498fbb7c7b2a6e0d20c4356b46afbb1ab7c89</t>
  </si>
  <si>
    <t>201087C02005</t>
  </si>
  <si>
    <t>6a09d95ebfad1dc239c40e42d107fc72e9a8dc0bd6f48130ac8e4ca0b1eb9415</t>
  </si>
  <si>
    <t>201088B01005</t>
  </si>
  <si>
    <t>96ffc96e9d6223e22fa1fed3cb6306d4fd7be100e021d27bcf72378477044ddd</t>
  </si>
  <si>
    <t>201088C01005</t>
  </si>
  <si>
    <t>62007e6baf405f98e644f2844192ba1436ca727e73d7c020c2979e33e568999f</t>
  </si>
  <si>
    <t>201088E01005</t>
  </si>
  <si>
    <t>5c327c606c000778a137df1686179ca6ee3c9c58fc0e3df275a3cc3185d2042e</t>
  </si>
  <si>
    <t>201089B01005</t>
  </si>
  <si>
    <t>d344b1e6d0e3f46da23d17afded2afac8fa16b38b60ffb1884c37c117274c698</t>
  </si>
  <si>
    <t>201089C01005</t>
  </si>
  <si>
    <t>83e6bd455728859bd320d6e36a194625334283ae7a80c61acce8314ffb6d4d6a</t>
  </si>
  <si>
    <t>201090B01005</t>
  </si>
  <si>
    <t>7899ad31b2d8bc49a0b2d8b1e81e402f32085bea40734f6d2a7bcefb0911667f</t>
  </si>
  <si>
    <t>201090C01005</t>
  </si>
  <si>
    <t>ddbd8a6633b39e195ab22803364ea7bcf6fd3f622a4fc655032d9ee811028eb5</t>
  </si>
  <si>
    <t>201090E01005</t>
  </si>
  <si>
    <t>aabc7d52872a20a86dd94672eb48e484faa559519acfdfadaa78b2742f74d848</t>
  </si>
  <si>
    <t>201091B01005</t>
  </si>
  <si>
    <t>e49bb9a39f8b4350cddab921aa3746fe4adcf7f38a705f6f1f371b0f02fc9e22</t>
  </si>
  <si>
    <t>201091C01005</t>
  </si>
  <si>
    <t>41c90dc1b58d56b79d9cd83ac21b80a4a84135c35870a0ba75e24468e008011b</t>
  </si>
  <si>
    <t>201091E01005</t>
  </si>
  <si>
    <t>51c743b4f4555342ae8af5dabc04f6851d74cc99e02f85c94183689cd5642e40</t>
  </si>
  <si>
    <t>201092B01005</t>
  </si>
  <si>
    <t>5a0be56f5769d75986abc5a43a3a55ac9bca2c451054080509b4cdbffddb7fa8</t>
  </si>
  <si>
    <t>201092E01005</t>
  </si>
  <si>
    <t>4275093f291f214da615c2e6b0dfb3859899ce76c61ce5a613a762cc919becf8</t>
  </si>
  <si>
    <t>201093B01005</t>
  </si>
  <si>
    <t>f23e1f4bf43f919942540373ef1ab30253a80c72aed7b4949fb9bf6d8bf170b7</t>
  </si>
  <si>
    <t>201094B01005</t>
  </si>
  <si>
    <t>8d67559b6ff50373c3b480390dafc59f0e5713d7dcaa23570cf792c86bb83be2</t>
  </si>
  <si>
    <t>201094C01005</t>
  </si>
  <si>
    <t>990c7f36833b1c49dca4c274f90a9b04911157232519ce5f34b581232a18541f</t>
  </si>
  <si>
    <t>201095B01005</t>
  </si>
  <si>
    <t>e7062622fcb45d84dfabefc69d584115d7c55f05836474bf9606116ac3b827ae</t>
  </si>
  <si>
    <t>201095E01005</t>
  </si>
  <si>
    <t>01e04554d4c97357cd3719e8c87a6a8f0c1b69cf7b8f18d324b3c1576c1638db</t>
  </si>
  <si>
    <t>201095E02005</t>
  </si>
  <si>
    <t>378e75c0a55b92192e9ae3c44cc8df223969bc9819b6b0b963be04fdc447df43</t>
  </si>
  <si>
    <t>201096B01005</t>
  </si>
  <si>
    <t>94f82288a3b733e81192d0ec37dfb6953353a8c1036573a293dd01e83e7e2f9d</t>
  </si>
  <si>
    <t>201097B01005</t>
  </si>
  <si>
    <t>8328e06e7be51ae7533f646b1c714b2122a779b30311c199d8a006b942f79388</t>
  </si>
  <si>
    <t>201098B01005</t>
  </si>
  <si>
    <t>b672cb7f0cf9f65ddc7cb57be204c69c471031052ea889eebb6d881710d91fa5</t>
  </si>
  <si>
    <t>201099B01005</t>
  </si>
  <si>
    <t>SAN JUAN CACAHUATEPEC</t>
  </si>
  <si>
    <t>72e8c88819ea5b2e5e0fbe1c530de2b0882d87244a75d6b2493b68c2a0ff10c4</t>
  </si>
  <si>
    <t>201099C01005</t>
  </si>
  <si>
    <t>8358568c9aeb97066b95d79787daa06e4c367c9425e853e73da6e69835fcbe69</t>
  </si>
  <si>
    <t>201100B01005</t>
  </si>
  <si>
    <t>1e7cbf28a18afba1f6d55708db1de1e79cb412ed537e75f0edf810c8c14cab5b</t>
  </si>
  <si>
    <t>201100C01005</t>
  </si>
  <si>
    <t>6553583cdfc6eabdca37aac3324b31f0362e30b01cb7fddc3901e87f065cdc0f</t>
  </si>
  <si>
    <t>201100C02005</t>
  </si>
  <si>
    <t>6465a2420dd0f1ba65691681d7d191a848f299703d156ec75d8dffa13edf6841</t>
  </si>
  <si>
    <t>201101B01005</t>
  </si>
  <si>
    <t>43e382228dab7040ca663b3d2d16dadc42afad024b6a2717fed7794044b58d1c</t>
  </si>
  <si>
    <t>201101C01005</t>
  </si>
  <si>
    <t>d6e80713e63ae1f87f48110d19a932fdad5cba4504eb2f95f73d0f3d133825b7</t>
  </si>
  <si>
    <t>201102B01005</t>
  </si>
  <si>
    <t>aadbc3d2a15a750d28c3c355233397529d9f270ee790c96f3f9ba3e5e3f61c04</t>
  </si>
  <si>
    <t>201102C01005</t>
  </si>
  <si>
    <t>20ecbab236390d1ec9dedf78267b6e82c1e12afdee009f719e11255afcd37a17</t>
  </si>
  <si>
    <t>201103B01005</t>
  </si>
  <si>
    <t>0c7bc0a7c9cb6ad2a2291df9b00a35d0376b22b12e12049d34328ff6ad841eaf</t>
  </si>
  <si>
    <t>201104B01005</t>
  </si>
  <si>
    <t>c1b89ae12946f6445145afaf34efb5007ee49b010db2cba9dea3546dda4ecdfb</t>
  </si>
  <si>
    <t>201105B01005</t>
  </si>
  <si>
    <t>255ce9cec4b66e8b9101b0d4e66daa0c7f828d190c27becba32efd4dd5a0efba</t>
  </si>
  <si>
    <t>201111B01005</t>
  </si>
  <si>
    <t>SAN JUAN COATZOSPAM</t>
  </si>
  <si>
    <t>9a3049e11a03e11446afcf4cb14a9cbfafe25519bffdfce088a16f6590558255</t>
  </si>
  <si>
    <t>201111C01005</t>
  </si>
  <si>
    <t>65c2f6aa06467e34bba033fb8eaae494cfdcf87133a1e8e0b577b18c2b608389</t>
  </si>
  <si>
    <t>201112B01005</t>
  </si>
  <si>
    <t>SAN JUAN COLORADO</t>
  </si>
  <si>
    <t>2cb23e1a33e58126e2f0782a13c27231a4d0ed8c0fa1c3f187ee5f295244a0f3</t>
  </si>
  <si>
    <t>201112C01005</t>
  </si>
  <si>
    <t>4a67998ba07ef9d6e20dd607f041a4343db8665ebc551079e8b1558a46c5a269</t>
  </si>
  <si>
    <t>201112E01005</t>
  </si>
  <si>
    <t>4e66551dd216a1ef43a6108742d5d8e87792a4a8f3daf9d34c762b6ac1f85555</t>
  </si>
  <si>
    <t>201113B01005</t>
  </si>
  <si>
    <t>bbe9be1ef3788df879abf37c4e0a2ae59387dd76a575c8a42788c1fe6ae59bc9</t>
  </si>
  <si>
    <t>201113C01005</t>
  </si>
  <si>
    <t>a42e340a96e4acb891a81f611b78bed6b7d762e0a9a6db0fbb842b4d4a1a0be5</t>
  </si>
  <si>
    <t>201114B01005</t>
  </si>
  <si>
    <t>ce69b86758483209b1272e9bc73f4429de68df0aa349195bb062b958fe759511</t>
  </si>
  <si>
    <t>201114C01005</t>
  </si>
  <si>
    <t>e5c783354b93b600fb18fa8df3cbee5a1f4739b7dd993d77960c19fac86aee47</t>
  </si>
  <si>
    <t>201115B01005</t>
  </si>
  <si>
    <t>c54bd17d799b9e725aa062cfa6914737f98e162dda7822519652597db3384fde</t>
  </si>
  <si>
    <t>201115C01005</t>
  </si>
  <si>
    <t>3f72cc4f43d48734c088a02ae25685f577537206bbff7fd5a2ae205228fcfe77</t>
  </si>
  <si>
    <t>201115E01005</t>
  </si>
  <si>
    <t>5d764a70424f996b6638e7da8b7f93099567a1ec46a723486a761aebb98f90f9</t>
  </si>
  <si>
    <t>201115E02005</t>
  </si>
  <si>
    <t>3f2810245ffa851b39c26806b3411bdd0989e2a97b3c999ff4b51c8643f70152</t>
  </si>
  <si>
    <t>201116B01005</t>
  </si>
  <si>
    <t>63065f991f191305463097b7532ef446a75ca4792d2d25dfec3e59589c8be3ab</t>
  </si>
  <si>
    <t>201116E01005</t>
  </si>
  <si>
    <t>eec2f5e6d9c746780afd9b835c4987e07b6571e6f197e43deb1d9540ae2a8a55</t>
  </si>
  <si>
    <t>201139B01005</t>
  </si>
  <si>
    <t>SAN JUAN GUICHICOVI</t>
  </si>
  <si>
    <t>4217a472c394bff45517f4ae37701b924ffce95f6f53e6a7fe599353c966f80d</t>
  </si>
  <si>
    <t>201139C01005</t>
  </si>
  <si>
    <t>c9fd2959e0dce1cf14e6de6ff3ba0ab659bdcc5ff4a9d0367cf35fccc63a18d8</t>
  </si>
  <si>
    <t>201140B01005</t>
  </si>
  <si>
    <t>8904630bd6f882669dbe94b1aa8b3a275177d1212d3feeb0096b931821c84397</t>
  </si>
  <si>
    <t>201140C01005</t>
  </si>
  <si>
    <t>f70d93a0c71b1c841f215d739d62514c21e462a6915f548534f4b04e2b81d3dd</t>
  </si>
  <si>
    <t>201141B01005</t>
  </si>
  <si>
    <t>5f2b4d04473762252484c0700fa201ea98792dd333a3a9eb7226a7d0b853f19f</t>
  </si>
  <si>
    <t>201141C01005</t>
  </si>
  <si>
    <t>49c47090f5a639abd58ef2a0ae07e7cc92023c01fc72b57caaf16f50ab3703e6</t>
  </si>
  <si>
    <t>201142B01005</t>
  </si>
  <si>
    <t>eaaa05ab87ff295177bcf47bff31248ba5f4ee6a3a1e9b771d1ceb286ed69608</t>
  </si>
  <si>
    <t>201142E01005</t>
  </si>
  <si>
    <t>ad27e79476ad1db34206a5a0d6066433d3bdd2127eff5f882302b3b0c0c0ca49</t>
  </si>
  <si>
    <t>201142E01015</t>
  </si>
  <si>
    <t>8a89bde4d854145f65d32d1c92b54255af8d7691e33c3438a73f1b243174fc88</t>
  </si>
  <si>
    <t>201143B01005</t>
  </si>
  <si>
    <t>be663baa97136d035ae6153c83f6289e7732b96d926320c9e71f80400a90f978</t>
  </si>
  <si>
    <t>201143E01005</t>
  </si>
  <si>
    <t>0fad436fac7a9ea628753435cde7413641efc8b726e7cb24f75e6228acfa6c56</t>
  </si>
  <si>
    <t>201143E02005</t>
  </si>
  <si>
    <t>852eb808bbde4cf0ac51e7dc07ee94ed6a143a0f69bd1cab26f1625eedb72039</t>
  </si>
  <si>
    <t>201144B01005</t>
  </si>
  <si>
    <t>efa9ca2858d29f443aaf46f987d6243f2f2d6c61c3a38c00bd0d8028574e5771</t>
  </si>
  <si>
    <t>201144E01005</t>
  </si>
  <si>
    <t>10ddad2a852695bc302333645a6dae95a595484fbef95c803afec89ed5a9c6cb</t>
  </si>
  <si>
    <t>201144E02005</t>
  </si>
  <si>
    <t>89686a9b7fd4506b257dd3ceeb7b81166be0008f52f64d473d3f606623df5df5</t>
  </si>
  <si>
    <t>201145B01005</t>
  </si>
  <si>
    <t>1eab97b20db9c793e15b0ad5becb666cf3678f3d0963dc5ae800f63ea66dd43e</t>
  </si>
  <si>
    <t>201145E01005</t>
  </si>
  <si>
    <t>1d6a4bde45c35bdcbbcaeceacd7349998660f10ffb2fd203a174e44f30fed976</t>
  </si>
  <si>
    <t>201146B01005</t>
  </si>
  <si>
    <t>460c511c4fc3c205f8ef050af2cc94b202a6cc0b6cfe77466ec1688fe38b1079</t>
  </si>
  <si>
    <t>201146E01005</t>
  </si>
  <si>
    <t>4257dfdb7411e73e6eea6ee370572199b6d7f58068d8eef330f679d0c5e25d84</t>
  </si>
  <si>
    <t>201147B01005</t>
  </si>
  <si>
    <t>57accfa53d7892e444b4771334fc4a3dfa5589ef3e1cf408f1afbf09a445a50f</t>
  </si>
  <si>
    <t>201147E01005</t>
  </si>
  <si>
    <t>dfe292df5a6fb8b8388bc1ebb24b543301647337b351c2bbacb980819c62e2cf</t>
  </si>
  <si>
    <t>201148B01005</t>
  </si>
  <si>
    <t>d91437c6a1407d578ab559131bdf37ff9e172e3399571482ef3ecb9f54181e38</t>
  </si>
  <si>
    <t>201148E01005</t>
  </si>
  <si>
    <t>aa02e55aab14e0ae7551c8a22d9501ab7e7381dfc28b672b3ee7437cb71d7151</t>
  </si>
  <si>
    <t>201149B01005</t>
  </si>
  <si>
    <t>8417eff878df3ef5645ae670f99286fe1d1e6c717947b7c3dee6cdde10483bfd</t>
  </si>
  <si>
    <t>201149C01005</t>
  </si>
  <si>
    <t>a2bc8e7e035be949d72518b25e50b2851718ef454d4b1f59db7b86813e0026bb</t>
  </si>
  <si>
    <t>201150B01005</t>
  </si>
  <si>
    <t>ab4c709eadd4dc4d3fda957671894f45ce2a8c05a946e29debddddc04e0c2984</t>
  </si>
  <si>
    <t>201150C01005</t>
  </si>
  <si>
    <t>a2cb7974b1d1784c56828779d569571ac133f58f202106884ca2db7f14c0066d</t>
  </si>
  <si>
    <t>201151B01005</t>
  </si>
  <si>
    <t>46a8bc8d9064ce3d987fe91ca2ce76acc3ff898c641764bbde04f40dad630921</t>
  </si>
  <si>
    <t>201151C01005</t>
  </si>
  <si>
    <t>366759246310128175b815f6c64d8cd046250a2093cc4b58aa503ab4b4418078</t>
  </si>
  <si>
    <t>201152B01005</t>
  </si>
  <si>
    <t>70a4ed4ace1c3c2d67dde6b29695fd71b4d95327ceef04af9c3948d860ab9d52</t>
  </si>
  <si>
    <t>201152E01005</t>
  </si>
  <si>
    <t>dc0b7eff00b419890d882c8c99ff9fc3fe943c0e62e2f447c968d602d939aa21</t>
  </si>
  <si>
    <t>201153B01005</t>
  </si>
  <si>
    <t>79e6f9fa7f25d7d89b7d05cf2622939decac0bba28665d6a2c7c994b5b02ad86</t>
  </si>
  <si>
    <t>201154B01005</t>
  </si>
  <si>
    <t>867c4941a126de08f45c5a8debea7fd1452b363def4538b570c3a51e64842997</t>
  </si>
  <si>
    <t>201154C01005</t>
  </si>
  <si>
    <t>b798064b44c06d849594c7497a43b62ec3ab67a92591889dd74d5e31a88af5ab</t>
  </si>
  <si>
    <t>201155B01005</t>
  </si>
  <si>
    <t>f16abc5f6d3cb472cf137710d119bb59e98481b8694b28ba98e530a06d347058</t>
  </si>
  <si>
    <t>201155C01005</t>
  </si>
  <si>
    <t>584751c1d634e1bfa35ade9a3dff623077f72dbac18eda258f1bfff6cfb629f3</t>
  </si>
  <si>
    <t>201156B01005</t>
  </si>
  <si>
    <t>d2c4bc1138f809556354d4f9b36ba8845e4d9a3d1b4a45cdf4fabeb55380e0c5</t>
  </si>
  <si>
    <t>201156E01005</t>
  </si>
  <si>
    <t>5a83e3bd7ecab749bb85e59bf8252576755ffc9f5737de3ec2eb9ad2ce58b16b</t>
  </si>
  <si>
    <t>201157B01005</t>
  </si>
  <si>
    <t>fd6076280170f8236c32c53c79931ec805aa17d6a6f340e77ab1f4278de22b47</t>
  </si>
  <si>
    <t>201157C01005</t>
  </si>
  <si>
    <t>7c91f42ae1eea335c60074143bd04669629e59687d4ab274493eb2f817aad93f</t>
  </si>
  <si>
    <t>201158B01005</t>
  </si>
  <si>
    <t>e42391684841d6d3db13d6f729bf0098f1aecc88241df9d200cab42af635c385</t>
  </si>
  <si>
    <t>201158C01005</t>
  </si>
  <si>
    <t>12f5ed3ce3ca812cefe2dfc6d84bfb19496c92b9ce0e07fadc456dd4b9e57d96</t>
  </si>
  <si>
    <t>201158E01005</t>
  </si>
  <si>
    <t>b5af7dfeea4893d95e8639f290bd9c86ee99329deffb8fe36fde4853f0ec3a91</t>
  </si>
  <si>
    <t>201159B01005</t>
  </si>
  <si>
    <t>82046d4cc479f7c952bf979a317d24bd7e9da496b903d356ef8b4a3b7f8c43b4</t>
  </si>
  <si>
    <t>201159C01005</t>
  </si>
  <si>
    <t>8df014733365ce4de3e507e1138527d7fe0a882e14d29be7ed0e5bef9e026a09</t>
  </si>
  <si>
    <t>201160B01005</t>
  </si>
  <si>
    <t>7985068de4780154334b5309b89403126a54036a042b9d209bc382733831f84f</t>
  </si>
  <si>
    <t>201160C01005</t>
  </si>
  <si>
    <t>531a83e3d9b83bb8602df7fa2dd8826542fdf2983735fa419cbd7aa135fa307e</t>
  </si>
  <si>
    <t>201161B01005</t>
  </si>
  <si>
    <t>7f88f44eb35f2b1f800b6fd0581dff45635fd18b4e407f24c002fb83f583c99b</t>
  </si>
  <si>
    <t>201161C01005</t>
  </si>
  <si>
    <t>81da57a343b26c886d303a4f7e96ec179fb0d1e568ebe08b47fe5b4400497b89</t>
  </si>
  <si>
    <t>201162B01005</t>
  </si>
  <si>
    <t>SAN JUAN IHUALTEPEC</t>
  </si>
  <si>
    <t>SIN ACTA POR CASILLA NO INSTALADA</t>
  </si>
  <si>
    <t>d6f2e3247f82f1cb8fa6722f7b3261a3d0c9ce93da26f1201d7f2d9a8af31698</t>
  </si>
  <si>
    <t>201163B01005</t>
  </si>
  <si>
    <t>132e752b5cb18e93023fa734b726077c852b7ec95ef08cc24b069bbb02c6b863</t>
  </si>
  <si>
    <t>201238B01005</t>
  </si>
  <si>
    <t>SAN LORENZO</t>
  </si>
  <si>
    <t>475683a903d92789ac971d2bcb988fd4dbf1c1854dc87867f039188fc958e5b6</t>
  </si>
  <si>
    <t>201238C01005</t>
  </si>
  <si>
    <t>9f10ed1d51c8f3600def14b1fa20216d56d1a85c9ad1d8084d3281333741febf</t>
  </si>
  <si>
    <t>201239B01005</t>
  </si>
  <si>
    <t>4034688c66d822e13c99a5b5598951e21204301a528b175e28849fa8cd110706</t>
  </si>
  <si>
    <t>201239C01005</t>
  </si>
  <si>
    <t>15905e19414f7ce3e912c74fe1ac669fe3cd33e816e0d2a19e5a54687f24b50c</t>
  </si>
  <si>
    <t>201240B01005</t>
  </si>
  <si>
    <t>473df9cff7fc67b6a5656410db97366d3f689e7902d836eabf3a824877709e7c</t>
  </si>
  <si>
    <t>201240C01005</t>
  </si>
  <si>
    <t>33599f007f0cf69663906989d1899d7b16fa7aad60c5f529717884c9f65b9bbf</t>
  </si>
  <si>
    <t>201254B01005</t>
  </si>
  <si>
    <t>SAN LUCAS OJITLAN</t>
  </si>
  <si>
    <t>96e0dbbe253934f231db1aacb5f029c4c7314c55973de5133b9d4f3a565ba8e7</t>
  </si>
  <si>
    <t>201254C01005</t>
  </si>
  <si>
    <t>dce32c1ed86132604ec067fe5c1ab23c882291e9c6a32c005216e934ba8f85fe</t>
  </si>
  <si>
    <t>201255B01005</t>
  </si>
  <si>
    <t>b31df1c097071c8e15dc7cc143afbe76255f028f8ca5378a70fbfe27bdd250eb</t>
  </si>
  <si>
    <t>201255C01005</t>
  </si>
  <si>
    <t>524eb52a5e897539ce4ac582511112e7a2b42ca917722044634e6fb9506b171d</t>
  </si>
  <si>
    <t>201256B01005</t>
  </si>
  <si>
    <t>33121f4ba696278b6e6a82f1d9022b17bf22ec83ea10cc7af80737e5cf428b3e</t>
  </si>
  <si>
    <t>201256C01005</t>
  </si>
  <si>
    <t>7b9e47f8413de5f234c39243188f9861e17f8f4108cfc6f73c0ed922d35d9b95</t>
  </si>
  <si>
    <t>201257B01005</t>
  </si>
  <si>
    <t>878e66c0d50dddc59b75707026bf29e056ec6f56d274aa916f31de7d2ff6fe17</t>
  </si>
  <si>
    <t>201257C01005</t>
  </si>
  <si>
    <t>6408eb546989bd7e41fad429b4cf2fda177017ad98b94c9096ae3a88c77b6c43</t>
  </si>
  <si>
    <t>201258B01005</t>
  </si>
  <si>
    <t>37d69b5e656b2e62a0e8b5ed8a1ae1074b09b5320fe31b449849ce35e1aaa504</t>
  </si>
  <si>
    <t>201258E01005</t>
  </si>
  <si>
    <t>d3e9894fc56086a17c1218ec9e1a66a511b9dbd432c1ab54a8c54ee83a8493d5</t>
  </si>
  <si>
    <t>201258E02005</t>
  </si>
  <si>
    <t>5c669fa7de80b6a747927e4d5b146bd889a07effc87a0a6965c0b62908d3afd1</t>
  </si>
  <si>
    <t>201259B01005</t>
  </si>
  <si>
    <t>a287aedb581fae898be50476b941dfbb89fcf8c0a3a5247196430a3501ea0f99</t>
  </si>
  <si>
    <t>201259E01005</t>
  </si>
  <si>
    <t>d7d4282288f2e374e33f7a134bd69a14df1a31c7cae405ddbcc88b3b724f74bb</t>
  </si>
  <si>
    <t>201259E02005</t>
  </si>
  <si>
    <t>c9c82af9d0dfa5dc855e546bf0c0eea98df4c9f3e2f76529c1d0f25b1d606ced</t>
  </si>
  <si>
    <t>201259E03005</t>
  </si>
  <si>
    <t>dd2fdf8f6454aff206bcdf9fbb737e3317008dcbaba096ee3036a998c29a35ac</t>
  </si>
  <si>
    <t>201260B01005</t>
  </si>
  <si>
    <t>ce7feeae2961813743a9ee8faebf94d99cf037af29b97657feb4cbe17541f91a</t>
  </si>
  <si>
    <t>201260C01005</t>
  </si>
  <si>
    <t>dbac70e555806448e708ada8540cd21e8e6d50c4882b4bdf546621dfc5e204e8</t>
  </si>
  <si>
    <t>201261B01005</t>
  </si>
  <si>
    <t>5db4e998599ea6f48a2e854dbe653a011891e9794640bdc26c0302723cc9e8d8</t>
  </si>
  <si>
    <t>201261C01005</t>
  </si>
  <si>
    <t>5989a22e0b293359947fada23e16c04ea6ae94cdd0848672fde56a03c8985225</t>
  </si>
  <si>
    <t>201262B01005</t>
  </si>
  <si>
    <t>38e8bc2da04c36eeff6837ebbc38ded7dc8fbcb173bc0563dbcb67786dad0384</t>
  </si>
  <si>
    <t>201262C01005</t>
  </si>
  <si>
    <t>1f7c018ba4bdd7ff2add60b9f0624ac2e2a9c21d5a3bca1e9153d1bcbb758e36</t>
  </si>
  <si>
    <t>201263B01005</t>
  </si>
  <si>
    <t>510289733fbe8335533e5e9df53056d3221bd86b8f7753999408f4f7328c1339</t>
  </si>
  <si>
    <t>201263E01005</t>
  </si>
  <si>
    <t>ac79f55d36414add06ed3ba11d7a85093f80f16108b7319116453f02ea30cca8</t>
  </si>
  <si>
    <t>201263E02005</t>
  </si>
  <si>
    <t>64646efa939d74d85520dd8a7a2ccde1f2c3dd86e318a4b56c9984d1fa0eeec3</t>
  </si>
  <si>
    <t>201264B01005</t>
  </si>
  <si>
    <t>a2d826a26b099f2b3a701b8c4987be04da64bea517f3444ca8c4928aab1f7254</t>
  </si>
  <si>
    <t>201264C01005</t>
  </si>
  <si>
    <t>e480af2778319e19325997955f7a3d4b6993e7b08c82622ef4f4153b2c23f939</t>
  </si>
  <si>
    <t>201265B01005</t>
  </si>
  <si>
    <t>c36d3db773f0eb8973da386564c5cd9894cadb57730a5b909c2ea514eb9caa1f</t>
  </si>
  <si>
    <t>201265E01005</t>
  </si>
  <si>
    <t>5d62b46800a90e8bd9c072a56eb5ab16a93a1d799ffc932c6b944a5ac0a1871b</t>
  </si>
  <si>
    <t>201278B01005</t>
  </si>
  <si>
    <t>SAN MARCOS ARTEAGA</t>
  </si>
  <si>
    <t>df6f0f3e8360943923ecfea9a5682bd9135d4a85063d207ab70b2f4d61811b07</t>
  </si>
  <si>
    <t>201279B01005</t>
  </si>
  <si>
    <t>06f8db9c1229803cc2b5bf944c3484031630c682c66fcf5736176cdfb3dd0555</t>
  </si>
  <si>
    <t>201281B01005</t>
  </si>
  <si>
    <t>0614aba342c97f7fdb548c463ca00717affb37ddda87f17324d24de220099375</t>
  </si>
  <si>
    <t>201294B01005</t>
  </si>
  <si>
    <t>SAN MARTIN ZACATEPEC</t>
  </si>
  <si>
    <t>7dbc3a1071dc4e03951881eb916cb2513054843cc9e9bcdfab67671a5bea57fb</t>
  </si>
  <si>
    <t>201294C01005</t>
  </si>
  <si>
    <t>e48d5755dd808e133e961ab3c5b5b7e9c0e133aff8f567543e7cd4d53cc70314</t>
  </si>
  <si>
    <t>201295B01005</t>
  </si>
  <si>
    <t>503690f20aea1c48800e8d8798979078b559fa9d56027714c0c06d9ea01522e4</t>
  </si>
  <si>
    <t>201310B01005</t>
  </si>
  <si>
    <t>SAN MATEO RIO HONDO</t>
  </si>
  <si>
    <t>e4463ef89682d847b9a8b61d0261bbe795309b88ffde15cdaa8f51b7eab3ad64</t>
  </si>
  <si>
    <t>201310C01005</t>
  </si>
  <si>
    <t>2ca8b12774018d90068c316163d08925bbc033ad7de529963fd7200a195c0b1a</t>
  </si>
  <si>
    <t>201310E01005</t>
  </si>
  <si>
    <t>e4b2891611ec7d1936df4c33e150d7e9d409dea1ead4330a4b407fa78deac083</t>
  </si>
  <si>
    <t>201311B01005</t>
  </si>
  <si>
    <t>57ca3f5cf38c9194250a3312aa74f00cfb23e64c5d148c460a9aa0a12529a815</t>
  </si>
  <si>
    <t>201312B01005</t>
  </si>
  <si>
    <t>779795b4f619b7d90db1b38c72ac9fa55650d85e6db33225bb5e66351bbfaef0</t>
  </si>
  <si>
    <t>201313B01005</t>
  </si>
  <si>
    <t>e54871904df5ff51f1a574b9aca14d41236b4c14e109c2f5ef0e077627b03bf1</t>
  </si>
  <si>
    <t>201320B01005</t>
  </si>
  <si>
    <t>SAN MIGUEL AHUEHUETITLAN</t>
  </si>
  <si>
    <t>77413a744953ebe95cc8a84bff28600f2153c564d43d0c30785e24a960762230</t>
  </si>
  <si>
    <t>201320C01005</t>
  </si>
  <si>
    <t>0ead6d06bb52e241c15b3200f7194e4b7b9b1748e8a3a471a5f136615f4b3523</t>
  </si>
  <si>
    <t>201320C02005</t>
  </si>
  <si>
    <t>48be3c94bacd1a3518267fb73bf9b75fc5159a656c9c728876c741bfebfb5b3f</t>
  </si>
  <si>
    <t>201321B01005</t>
  </si>
  <si>
    <t>5687cee9c8f928f225173caed8c7830294663a658bf34f312fd40b8b2ea93613</t>
  </si>
  <si>
    <t>201324B01005</t>
  </si>
  <si>
    <t>SAN MIGUEL AMATITLAN</t>
  </si>
  <si>
    <t>c9930491a7685358dbe8fc3753134b9a7e237f709613296ed5e7d68004c454cb</t>
  </si>
  <si>
    <t>201324E01005</t>
  </si>
  <si>
    <t>a8a11767d8952f4777cbc59bfa77d46a7815c6a1fb48dea5d9dcdeb053e0f260</t>
  </si>
  <si>
    <t>201325B01005</t>
  </si>
  <si>
    <t>323cea59e24530a43bbfd3671dcba34e313afdeda18a51f0f5359de7543ae250</t>
  </si>
  <si>
    <t>201325C01005</t>
  </si>
  <si>
    <t>133c761e3d601dca0f05f8190fbfaded19fbfcb9561fd8ce93ffe7aef9544ff4</t>
  </si>
  <si>
    <t>201326B01005</t>
  </si>
  <si>
    <t>574db1be67a285a513666844d3912def21b57689b6ae3eef164989c7469f7610</t>
  </si>
  <si>
    <t>201326E01005</t>
  </si>
  <si>
    <t>a3f9dcf991c911610c3a285fc61a66c22f35b3e4c066aefbeea12c6ad8962805</t>
  </si>
  <si>
    <t>201327B01005</t>
  </si>
  <si>
    <t>cc5ebba3dee34b86e95305cd9709cd66ab80fc42ec4978ddd418cbd365b8bc29</t>
  </si>
  <si>
    <t>201327E01005</t>
  </si>
  <si>
    <t>6024017830cfbc4582bcc5ac1e05f362869d9988cac2ef4e6ca29f904db23641</t>
  </si>
  <si>
    <t>201328B01005</t>
  </si>
  <si>
    <t>5f1bbb89ddd690c9b86e3a51f1f913e3e9c2a36f0815277d5bc8895bfb93d637</t>
  </si>
  <si>
    <t>201329B01005</t>
  </si>
  <si>
    <t>8d55808f8c2fec09b22d45c71ce95730114d59e29d1e9654fc9f110ec7738580</t>
  </si>
  <si>
    <t>201330B01005</t>
  </si>
  <si>
    <t>2e69e56dfd6e6e7d7a3aa6718fbd74bd9262ee6e956a8e20a311ff51942152b6</t>
  </si>
  <si>
    <t>201331B01005</t>
  </si>
  <si>
    <t>b7dafee6a32fc2d9c08447bffad2fe4774328527c787e81b8112e185b361817e</t>
  </si>
  <si>
    <t>201332B01005</t>
  </si>
  <si>
    <t>1018738abe34a3885b955775dab1cdf6381af1eb96bb40898d676a18efff4c6f</t>
  </si>
  <si>
    <t>201372B01005</t>
  </si>
  <si>
    <t>SAN MIGUEL SOYALTEPEC</t>
  </si>
  <si>
    <t>41d2a1fcbe82c2b1ac13997e03cd9c6f6a178da483b9633f857d0a13c5526c22</t>
  </si>
  <si>
    <t>201372C01005</t>
  </si>
  <si>
    <t>c11d2cfb3fed18506a5248497576b2ea651688a3552a1e4817bcab59414ac537</t>
  </si>
  <si>
    <t>201372C02005</t>
  </si>
  <si>
    <t>1c4d682ae4d3d0835a2c0d26939929a19a071900134b703bc41de91d488c15f4</t>
  </si>
  <si>
    <t>201373B01005</t>
  </si>
  <si>
    <t>88b118b6963445664515c46815d2bab0c2a95917481535c19855e072e2898ff9</t>
  </si>
  <si>
    <t>201373C01005</t>
  </si>
  <si>
    <t>7fbc66f2c699f7844595347c724e9185fa1c31c3dfa5c49c1e4ed65e124e0823</t>
  </si>
  <si>
    <t>201374B01005</t>
  </si>
  <si>
    <t>9548c08be72a99c7567cae3417a8e0266f3aec8efa7132e2e68644a306f185fb</t>
  </si>
  <si>
    <t>201374C01005</t>
  </si>
  <si>
    <t>d4b5551926791ce93e1d48899e5f5218e8812e38b8e8a2f52bb86ff47d603f78</t>
  </si>
  <si>
    <t>201375B01005</t>
  </si>
  <si>
    <t>129edd539ae1c3897ef5c5f8159e689517234c79d777f84431a73f1c66a9d51c</t>
  </si>
  <si>
    <t>201375C01005</t>
  </si>
  <si>
    <t>9c5f1510e9d7393459b1d2fe6c8232c930bf351bf18137764724c322981b6719</t>
  </si>
  <si>
    <t>201375S01006</t>
  </si>
  <si>
    <t>df5ca35e48587bc4c9fc26aa137b3e1a7fa802792c3935222c5ce9765ba08d33</t>
  </si>
  <si>
    <t>201376B01005</t>
  </si>
  <si>
    <t>85f8c3f0aaff1087d8fd6e93e8d79cab04806281003f5dd82719168ebb465203</t>
  </si>
  <si>
    <t>201376C01005</t>
  </si>
  <si>
    <t>854f7ba529777591aa3588adeac1f29ddcb89fd705ecc51d7989a23a2f3117e9</t>
  </si>
  <si>
    <t>201377B01005</t>
  </si>
  <si>
    <t>c5178cf86a429aa2ba0e20436be29da735a7e10fd48ff0bf969b7271e3766d61</t>
  </si>
  <si>
    <t>201377C01005</t>
  </si>
  <si>
    <t>7f3c702ab13f9c8a103a544c98617247f6116b9aefe12e206d2a75babbabbe36</t>
  </si>
  <si>
    <t>201377E01005</t>
  </si>
  <si>
    <t>8db180c9ab142c0dde8324ffd25d47e1bbfd4821fbca09d4314bd95ccf43f738</t>
  </si>
  <si>
    <t>201378B01005</t>
  </si>
  <si>
    <t>05d78f17db42638fd1ad7d02779cfad5cd2d06bc2e81c777f2f77fa195ee77d7</t>
  </si>
  <si>
    <t>201378E01005</t>
  </si>
  <si>
    <t>1e670a760558d8742e692ce5706968edd9ca801e1ba3d6928ecdc75add903fa1</t>
  </si>
  <si>
    <t>201379B01005</t>
  </si>
  <si>
    <t>12ec7cdf671e76ad09d3a6c663be4eaad03f799216f78103bc0030fbe4fedc53</t>
  </si>
  <si>
    <t>201379E01005</t>
  </si>
  <si>
    <t>9fb629b58fedf53310eea0bf4d7ecdf59bb123e57ad7659f1c9780cf8c1dee8d</t>
  </si>
  <si>
    <t>201379E02005</t>
  </si>
  <si>
    <t>e723fa6cf10a43eb257b54ef98e866d67b50a437cc780d7e96bcdc20aa773f0b</t>
  </si>
  <si>
    <t>201380B01005</t>
  </si>
  <si>
    <t>ca67bca2702059d36e22535d14e68932c91bc08a63e2bd28b58cb82c33479304</t>
  </si>
  <si>
    <t>201380C01005</t>
  </si>
  <si>
    <t>07996012c13fa6069a1fc857eb8452287f93079af3e2fac36e7d620c61ee6ed8</t>
  </si>
  <si>
    <t>201381B01005</t>
  </si>
  <si>
    <t>02ff15cf8e5a33a62465086d1fb52c274a7d7f0df5905160908139b1fe27ec8f</t>
  </si>
  <si>
    <t>201381E01005</t>
  </si>
  <si>
    <t>7f7f91f17ab518d38b7192425e3d90bfae7b3e0cf97215e71aa1ea01200f6529</t>
  </si>
  <si>
    <t>201382B01005</t>
  </si>
  <si>
    <t>b8110e8fb7d7650de2547f00e8f48e58a919e5b9da8d5328e75b2b82fcc5c1cf</t>
  </si>
  <si>
    <t>201382C01005</t>
  </si>
  <si>
    <t>37c7a84c44d10f81c5230ac835f94f557054f25d23048bae3628cc65a0ab9d1b</t>
  </si>
  <si>
    <t>201383B01005</t>
  </si>
  <si>
    <t>7d7409f4a1e4b4a77458e8054ce763d62be207972ef80183b674577f8147c4ee</t>
  </si>
  <si>
    <t>201383C01005</t>
  </si>
  <si>
    <t>52723f8c99919bb21edf06ae91b173c7a8c1919356118e6cf96a81a5fda122f6</t>
  </si>
  <si>
    <t>201383C02005</t>
  </si>
  <si>
    <t>0688b520e0db805dd54f8e6b887227e03cadbe0b95a29f824f5d8b56c55926a4</t>
  </si>
  <si>
    <t>201384B01005</t>
  </si>
  <si>
    <t>bc83d70e0be7808867acefbf28cf8e6baacc58a7cc9e0849894239baa074e678</t>
  </si>
  <si>
    <t>201384E01005</t>
  </si>
  <si>
    <t>ddac4e8cd574cb4c84192e2b9404307455372b9ae3794afd6078a6d320fb2ff4</t>
  </si>
  <si>
    <t>201385B01005</t>
  </si>
  <si>
    <t>126b946a8e5b268bf7e74ac3fba1b7ed73d15eb6ecb1042a905b24087844778f</t>
  </si>
  <si>
    <t>201385E01005</t>
  </si>
  <si>
    <t>354cbd427566ff631ac0176ef8e7431bc4ab189841cfdc878d9b5d743181a0d4</t>
  </si>
  <si>
    <t>201385E02005</t>
  </si>
  <si>
    <t>d1edf1810a4c2f26174d0aa93c6a1c0e382c6045673023d2f3509f98787ea12f</t>
  </si>
  <si>
    <t>201386B01005</t>
  </si>
  <si>
    <t>5f25f4785a22d6ec232ba14f78b02d7ce74e54a02e51cfe06b654742e407eab9</t>
  </si>
  <si>
    <t>201386C01005</t>
  </si>
  <si>
    <t>0e1d245a0a197f08dac9af562c6d65aa9abbf0e39f1a71a1f1d7242f2f2dd99e</t>
  </si>
  <si>
    <t>201387B01005</t>
  </si>
  <si>
    <t>56daae8b3071358e5a12447a11fa2e3f7ddf7d330986396e530e6bc9a7146c20</t>
  </si>
  <si>
    <t>201387C01005</t>
  </si>
  <si>
    <t>0f89c2b80b61879e8a9e4798524f2e29698e8abdd97c67bf103b59e7e7ea4f8a</t>
  </si>
  <si>
    <t>201388B01005</t>
  </si>
  <si>
    <t>4da3246c227e7105dd7451cde95a824902716bbfaa732be86790fec16c44bb81</t>
  </si>
  <si>
    <t>201388C01005</t>
  </si>
  <si>
    <t>82079a02cf1098d6003d73bb6b070acfa35d6d00e82e88937831d7a8be018dfc</t>
  </si>
  <si>
    <t>201388E01005</t>
  </si>
  <si>
    <t>754bb2e0b86256cd3b3cc9780fe1fb51c2e23ef6684c7d3de460bfdd82531227</t>
  </si>
  <si>
    <t>201389B01005</t>
  </si>
  <si>
    <t>4ee09dd9c127032f37015cdc4e3617e28ade00d670c7bc766e514a322dde682c</t>
  </si>
  <si>
    <t>201389C01005</t>
  </si>
  <si>
    <t>70d8eb9dccf5055c9db04b015c75c50ab78df01496daec091fac6a0573a12dd7</t>
  </si>
  <si>
    <t>201390B01005</t>
  </si>
  <si>
    <t>a5c16d11a5b1d25746dcf432b3ec0d579d2b1b844761a46187b459afaa42d049</t>
  </si>
  <si>
    <t>201390E01005</t>
  </si>
  <si>
    <t>7f4150c5c6dc96582e3df6d12098f3ed7d74683b9902ec7ec3a9739871581d42</t>
  </si>
  <si>
    <t>201391B01005</t>
  </si>
  <si>
    <t>4d18c7d928abfae63d2b9a549f9c45fb1bc057ab98d3a04503437e180ef9e15d</t>
  </si>
  <si>
    <t>201391C01005</t>
  </si>
  <si>
    <t>519c67634ecc6b647990870f08fdd01aeb28d5a283e5d22f97267623c1f92fc4</t>
  </si>
  <si>
    <t>201391E01005</t>
  </si>
  <si>
    <t>2609b5b016b99ec7f2ac009bcc04bcc00de1ff626ec74d955790441fe06233ac</t>
  </si>
  <si>
    <t>201392B01005</t>
  </si>
  <si>
    <t>77215cb7914f73a1ae4d4f25655e8e5fdfc557b566c21c5a32d15e44fbfd833f</t>
  </si>
  <si>
    <t>201392C01005</t>
  </si>
  <si>
    <t>57f37ef64151dd46de1eab1fdbfbb61dbc34fd5a963c5647d2d38087d7cc2d9f</t>
  </si>
  <si>
    <t>201392C02005</t>
  </si>
  <si>
    <t>d1e301b870976f4194050cead6bc43694e73d19c2d5050d76c7cdf1b3a88b145</t>
  </si>
  <si>
    <t>201393B01005</t>
  </si>
  <si>
    <t>6346413989a30f7ed6812a746ac9e7510922e1e71ad2fe726ff5b7436c2bb9bd</t>
  </si>
  <si>
    <t>201393C01005</t>
  </si>
  <si>
    <t>c993ec342a8bc9cc31a83bd30eacc9c24fdd2f6200e5dc982762972c66f36ede</t>
  </si>
  <si>
    <t>201394B01005</t>
  </si>
  <si>
    <t>1daf9d1a325c7f03a2fdf91f66f6cab2550eefc7977ae2ee535585d6ca1a5d54</t>
  </si>
  <si>
    <t>201395B01005</t>
  </si>
  <si>
    <t>6449f0901b3cab0c2a514d32559d6c60497ae2ce9d4ebb75ea27c9ccc6487586</t>
  </si>
  <si>
    <t>201395E01005</t>
  </si>
  <si>
    <t>1b750e34e9099bb25e0eee292c3980f403b1bf82a62fd168714c5323b9956ff1</t>
  </si>
  <si>
    <t>201409B01005</t>
  </si>
  <si>
    <t>SAN MIGUEL TLACAMAMA</t>
  </si>
  <si>
    <t>acbcfa28eed920b73825ca46c939e56e9958a825a187c1d5750b2148ee41e221</t>
  </si>
  <si>
    <t>201409C01005</t>
  </si>
  <si>
    <t>166e34d523938edca55189290de69204a809d5df06d7fba84a400440fa2f9718</t>
  </si>
  <si>
    <t>201409C02005</t>
  </si>
  <si>
    <t>fb498d70d938adb8776233a486765051eb5758eea6bc0bb10fc1de99c5eed0b3</t>
  </si>
  <si>
    <t>201410B01005</t>
  </si>
  <si>
    <t>b3608d393995774cc12dfdab6815f1f9bd4d8a514c0cc92f8e1db47bf80b22e8</t>
  </si>
  <si>
    <t>201410C01005</t>
  </si>
  <si>
    <t>1be2fdf5450a247ed783d964631ca5ee36678efaf2a542a3d10e252d6a50a697</t>
  </si>
  <si>
    <t>201418B01005</t>
  </si>
  <si>
    <t>SAN NICOLAS HIDALGO</t>
  </si>
  <si>
    <t>53b54abe0be52a3528c8a2a61cf19fd21affc82a45259dce911e54afa9202718</t>
  </si>
  <si>
    <t>201418C01005</t>
  </si>
  <si>
    <t>b4d014c10fc73c704a5d8edf17a3589dad9f55c5a368525aba03a6c7a9cb0022</t>
  </si>
  <si>
    <t>201426B01005</t>
  </si>
  <si>
    <t>SAN PABLO HUITZO</t>
  </si>
  <si>
    <t>83d39b25da57eec9053bac002461ddfa269c0c17f47b265a7690e606654e6d04</t>
  </si>
  <si>
    <t>201426C01005</t>
  </si>
  <si>
    <t>be0a1ec8f358299052227abf876322421292e734c9b35609580ccf402e3fb1c2</t>
  </si>
  <si>
    <t>201427B01005</t>
  </si>
  <si>
    <t>ae2d18baed8555a825ba74aade1291cce9aaec8461a60f94c04bc8073b3c530a</t>
  </si>
  <si>
    <t>201427C01005</t>
  </si>
  <si>
    <t>f15489382d596a8376f492fea23a94f1f1a3eba453bb389260802fc664c23104</t>
  </si>
  <si>
    <t>201427C02005</t>
  </si>
  <si>
    <t>db569e6bbbc0b238848ae845da09df647bffb7e9de47c9777c548227bfba2dfa</t>
  </si>
  <si>
    <t>201428B01005</t>
  </si>
  <si>
    <t>1153668f6a8b7adc5e1590b94ccf47e1d5d93a762f9d529ceaf539f33eec6dd8</t>
  </si>
  <si>
    <t>201428C01005</t>
  </si>
  <si>
    <t>bac0ce054c6a4dc6693cf94bc72e8dd068e9f5041ffdd83e81c5529f94a8efd4</t>
  </si>
  <si>
    <t>201429B01005</t>
  </si>
  <si>
    <t>ff4a79e97374ef9577a2ffb7471c01cf00c9d9fab58a595efe34b7264e474806</t>
  </si>
  <si>
    <t>201429C01005</t>
  </si>
  <si>
    <t>4e76bc3147d886cb796b8d4908f8d5dea463bc764577ea3256dcfa7594db4665</t>
  </si>
  <si>
    <t>201430B01005</t>
  </si>
  <si>
    <t>33f3710598203f5ec53813bcae6e3bf0cdf35c838563ea9abf4377398c71a331</t>
  </si>
  <si>
    <t>201431B01005</t>
  </si>
  <si>
    <t>SAN PABLO HUIXTEPEC</t>
  </si>
  <si>
    <t>780fbd03d40c9f99bf7c9b2fe90c54745fbd4e25bf84f9d007ebaab23ee54252</t>
  </si>
  <si>
    <t>201431C01005</t>
  </si>
  <si>
    <t>b3d84fd74c97b09cd973dcc4572a90313944391446404779fbe6614520f7cb7f</t>
  </si>
  <si>
    <t>201432B01005</t>
  </si>
  <si>
    <t>7d2f6e1a84bbc91cba8ee75277ec81e021c44d24ef682b486df615a8266105f9</t>
  </si>
  <si>
    <t>201432C01005</t>
  </si>
  <si>
    <t>36641f353b8ec5bdef4ff6a5898887306a12facec22441eb07a29e0325442379</t>
  </si>
  <si>
    <t>201433B01005</t>
  </si>
  <si>
    <t>80a262badb5fba62dd0b63835617e71218ce1d58eb3746d3e839cdb5e6d7ec2d</t>
  </si>
  <si>
    <t>201433C01005</t>
  </si>
  <si>
    <t>9028aae2211cbee441083109d7a27faf403f8dd7c99377afd1b9db2f4ce23a78</t>
  </si>
  <si>
    <t>201434B01005</t>
  </si>
  <si>
    <t>c0be7a96b059eb6f6a9be22c6c8f2b84a7fcbee7a1ed1c8e25db9a68c1901109</t>
  </si>
  <si>
    <t>201434C01005</t>
  </si>
  <si>
    <t>54f29d124cb304bdb9cc260f6d7f17b5709ed900597637512784d5514492567c</t>
  </si>
  <si>
    <t>201435B01005</t>
  </si>
  <si>
    <t>63b869e03bbaddfa5beb959a60a18f91e2f249bfb1fa9fa1f2e2b75477a46abf</t>
  </si>
  <si>
    <t>201435C01005</t>
  </si>
  <si>
    <t>3d4766fbb9d4073415606f7f29d7e99956824e87fe34ca3564956a4195b58e7f</t>
  </si>
  <si>
    <t>201436B01005</t>
  </si>
  <si>
    <t>adf6fd31d3b702cc67369a3f6f800cf9be782d05d6418dbaddc5da81e3b6979a</t>
  </si>
  <si>
    <t>201436C01005</t>
  </si>
  <si>
    <t>9c00d375679580acbcbbf5d07183ea7962149dc67f01e2628ce20adc893421ce</t>
  </si>
  <si>
    <t>201440B01005</t>
  </si>
  <si>
    <t>SAN PABLO VILLA DE MITLA</t>
  </si>
  <si>
    <t>df9340ba3c825e673bddbc1718f7e5b877bb60f88ffcfb45bedd89e48994a916</t>
  </si>
  <si>
    <t>201440C01005</t>
  </si>
  <si>
    <t>6581d2acb8b9f4fe53af550739a8cd2957cef9daf084825cc5d6dc29ed2c76cf</t>
  </si>
  <si>
    <t>201441B01005</t>
  </si>
  <si>
    <t>6869bbade967eecff353caccdb370a4b0a004b66051e38fa39865c4d847d82c0</t>
  </si>
  <si>
    <t>201441C01005</t>
  </si>
  <si>
    <t>69c4c2d9c8586ef0f0632c5d38f2bb23a2118072d46d8e5b0e41e3f2b961c230</t>
  </si>
  <si>
    <t>201441S01006</t>
  </si>
  <si>
    <t>ac222601e7d95bbc5225ac885f3d5c0f35ed637ab341c32aec70d8d3a662edbf</t>
  </si>
  <si>
    <t>201442B01005</t>
  </si>
  <si>
    <t>d4b5cdac3c777d2976e0c18e4a54b0f3d9dfedbccce6f49872a4550fe35106e8</t>
  </si>
  <si>
    <t>201442C01005</t>
  </si>
  <si>
    <t>11c6e119dc02e51c2b51793d6febca65a4351e44d8fdd9b57d116477dcc00033</t>
  </si>
  <si>
    <t>201443B01005</t>
  </si>
  <si>
    <t>d037c5ea3b03b9fd13d853f645134f1ce9e19cdcdf8be69ac4310cd6e3e12096</t>
  </si>
  <si>
    <t>201443C01005</t>
  </si>
  <si>
    <t>fbe50af8d99f2e696a632843df7bac6df6509b1f0d518da02a1f640696647950</t>
  </si>
  <si>
    <t>201443C02005</t>
  </si>
  <si>
    <t>442fae55a3c01d3eb23216c34d55a7abd059e05c7ba58605711b060f5c9d5543</t>
  </si>
  <si>
    <t>201444B01005</t>
  </si>
  <si>
    <t>19bc2987c92357e05c73ce52e4b11b8e330876e5b6f5abd8460b14e2ea90700f</t>
  </si>
  <si>
    <t>201444C01005</t>
  </si>
  <si>
    <t>689bff5888be79a01dd201ec9617513d99e00934c32b29d885e53ddca010d65f</t>
  </si>
  <si>
    <t>201444E01005</t>
  </si>
  <si>
    <t>60d2491553212003b2b540a2b21bfb0fe400a37ec59da1a79018fba988cd2042</t>
  </si>
  <si>
    <t>201445B01005</t>
  </si>
  <si>
    <t>32f6e1fa75beb00557b7a1f6885de34be0de1090f51e4a66f544d032e757bf93</t>
  </si>
  <si>
    <t>201446B01005</t>
  </si>
  <si>
    <t>6a4b1da8ac878130079ed04a57a52c87188bea5b2b472bdd9671e1c03c1576f6</t>
  </si>
  <si>
    <t>201447B01005</t>
  </si>
  <si>
    <t>c24150a5e41977ad582fd50b4c77a90705c04e0892a30884de001b1591bb2528</t>
  </si>
  <si>
    <t>201447C01005</t>
  </si>
  <si>
    <t>1cbff82a4de5010ba34a25520d09b404d87b3dd8f83e57079724ccb5c9493fa6</t>
  </si>
  <si>
    <t>201449B01005</t>
  </si>
  <si>
    <t>SAN PEDRO AMUZGOS</t>
  </si>
  <si>
    <t>8c7817d1ee5c389224883dcbf2ab0f1117a20e32d9695fbf6fb309d7e924ee2e</t>
  </si>
  <si>
    <t>201449C01005</t>
  </si>
  <si>
    <t>490fd48843bb3825a1443007497a4615e0fd595f39b41b81dd60d2bfff7d3eed</t>
  </si>
  <si>
    <t>201449E01005</t>
  </si>
  <si>
    <t>56be5bbca187043d6505ec1e9e447090abf09e7be0f65f04dc84108e6fcc165c</t>
  </si>
  <si>
    <t>201450B01005</t>
  </si>
  <si>
    <t>fd371b4c7b9203bbf76bc2c109d54b6e539f54b8c5b8f8a2538733a92d70c555</t>
  </si>
  <si>
    <t>201450C01005</t>
  </si>
  <si>
    <t>4350b232a23c0e98ec6286636d8a2b0b4e3ecf4a02e1caf2d9bd514216daa24a</t>
  </si>
  <si>
    <t>201451B01005</t>
  </si>
  <si>
    <t>003212e1bdfa8336b07ff0796e6405c9b3baa4ba07f569c11de60c1e37d0023a</t>
  </si>
  <si>
    <t>201451C01005</t>
  </si>
  <si>
    <t>5474775bc09e8e5f3113f622ffd181bfc8c34629b86c8f9822320ff4ebc57a92</t>
  </si>
  <si>
    <t>201454B01005</t>
  </si>
  <si>
    <t>SAN PEDRO ATOYAC</t>
  </si>
  <si>
    <t>c1a4de6ec786043da474ed1f438d092d3cac0b3df308daef27b08e6ea5de8cbd</t>
  </si>
  <si>
    <t>201454C01005</t>
  </si>
  <si>
    <t>5dd0f58efa43a1ecbacbc6bc7f26a5e1700a494d5e2f3ca649479f0791c3fa1b</t>
  </si>
  <si>
    <t>201455B01005</t>
  </si>
  <si>
    <t>d922a9589eb89d447e6946c150488d835960cca2c7aa5dd599c8b98a7728544b</t>
  </si>
  <si>
    <t>201455C01005</t>
  </si>
  <si>
    <t>dc035c519118991c4b52a44cbde4db3183024e574eac2350fa822968922223f9</t>
  </si>
  <si>
    <t>201456B01005</t>
  </si>
  <si>
    <t>5b3b46dbcf59de3b2a2ae5cf23845d591d598255bc1ff055e9966ca144ed1562</t>
  </si>
  <si>
    <t>201457B01005</t>
  </si>
  <si>
    <t>597a2e5f880ca3b1e966fe1811a24f4aeb120909e005dfd8ae2d4e3317db6ff4</t>
  </si>
  <si>
    <t>201461B01005</t>
  </si>
  <si>
    <t>SAN PEDRO COMITANCILLO</t>
  </si>
  <si>
    <t>7c10b88f691d20efb0e77b5b9c60a624c3ba4167601d175f6e9b7937ff696527</t>
  </si>
  <si>
    <t>201461C01005</t>
  </si>
  <si>
    <t>55d59fb03c5f75eabe182ac6e69d4cb4a7949164cd8599063b4bf509a1e7ec2e</t>
  </si>
  <si>
    <t>201461C02005</t>
  </si>
  <si>
    <t>28797bccf978306394a97357fa92ee89c9f1285fa795d8a514a5671762cd9b3a</t>
  </si>
  <si>
    <t>201462B01005</t>
  </si>
  <si>
    <t>41925086d6d9bc8492f1ed312fbf94ffea17c319e90d5f439bc2c73020fd117b</t>
  </si>
  <si>
    <t>201462C01005</t>
  </si>
  <si>
    <t>18c2a9fe6e1901bad842cdd4e35c3ccac3386d050aaa7655d9e71529cd93c206</t>
  </si>
  <si>
    <t>201465B01005</t>
  </si>
  <si>
    <t>SAN PEDRO HUAMELULA</t>
  </si>
  <si>
    <t>29c148f0b731867f34b6388ce9bfe82a1df4d80270598e821f71b0aeb37d478f</t>
  </si>
  <si>
    <t>201465C01005</t>
  </si>
  <si>
    <t>30634df93c3c904a7c9c62808bd3317b4d543ec9595f241c179d1f26d40a19f9</t>
  </si>
  <si>
    <t>201466B01005</t>
  </si>
  <si>
    <t>7529a227bcd300cdb490318c8a26344295faded7ff575fac514b7ccb599ec421</t>
  </si>
  <si>
    <t>201466C01005</t>
  </si>
  <si>
    <t>3b81bf2b853baa204af4ba1d3eed124774df44b57d184d573940c052b8432bc3</t>
  </si>
  <si>
    <t>201467B01005</t>
  </si>
  <si>
    <t>06c5c0df22e311f5596e3d5307ce80bc11a50ddb66e22283b391bf0197845634</t>
  </si>
  <si>
    <t>201468B01005</t>
  </si>
  <si>
    <t>f569ff7611b96c08313a97f28727f033b3a333f5af1c2bbd5cbc665d8861a698</t>
  </si>
  <si>
    <t>201468C01005</t>
  </si>
  <si>
    <t>e21f715dc1ae2de81efab030fc4d621657b09fd8c13f22bfc589245ab03a04c0</t>
  </si>
  <si>
    <t>201469B01005</t>
  </si>
  <si>
    <t>7170f4604fc3ba08f5efd9420d51553111bda0d97d5fe2820086910ff3751f76</t>
  </si>
  <si>
    <t>201469E01005</t>
  </si>
  <si>
    <t>a9166f61f06b7d231d08052ea4e869e78663cbbab8a02492e86f827c008ba120</t>
  </si>
  <si>
    <t>201470B01005</t>
  </si>
  <si>
    <t>87ae9d4d5de743eb865b870617623750186b41b7981388e77cb89db09936eae2</t>
  </si>
  <si>
    <t>201470E01005</t>
  </si>
  <si>
    <t>411a266fe5ed087d1b8f4fc370f4dbf1eca7fbd6ec30c4125a0d75a8acc028a1</t>
  </si>
  <si>
    <t>201470E01015</t>
  </si>
  <si>
    <t>42969e8d59930a3c5b08ea26240087ddf427e6c3089c9d81a0d0b1159a67207e</t>
  </si>
  <si>
    <t>201471B01005</t>
  </si>
  <si>
    <t>1c099bdc400d7f7638573c8fad2c34cdac7bfec394f3faff3d343cea4619dc45</t>
  </si>
  <si>
    <t>201471C01005</t>
  </si>
  <si>
    <t>f2e22773dae1455b0b11cc36e937aafff07896fa748fe3ab1b9336809de35850</t>
  </si>
  <si>
    <t>201471C02005</t>
  </si>
  <si>
    <t>0bcccc4959ca61f0004f18ac203645c0216a4968660103f494c40cce41920451</t>
  </si>
  <si>
    <t>201472B01005</t>
  </si>
  <si>
    <t>SAN PEDRO HUILOTEPEC</t>
  </si>
  <si>
    <t>a2e547516ab3da521a1f6cab118bdb99ac8afeb9a0eb2801ab64ae78a6db9181</t>
  </si>
  <si>
    <t>201472C01005</t>
  </si>
  <si>
    <t>a9d2af79e902939cbc6e5df7ef45d11b1f18422ebeac80b63edaf0489d79885e</t>
  </si>
  <si>
    <t>201472C02005</t>
  </si>
  <si>
    <t>7b5d26eee49b5d7513898a98f15bc68c2ef36eebdf56314038563d28474de781</t>
  </si>
  <si>
    <t>201472C03005</t>
  </si>
  <si>
    <t>c93c045d43d8d6792a9d8fdb51ab8c2af6500e75bf504fff03581503e890a011</t>
  </si>
  <si>
    <t>201473B01005</t>
  </si>
  <si>
    <t>SAN PEDRO IXCATLAN</t>
  </si>
  <si>
    <t>b54f71acefdf85d069e1ba1fdb8d00e67fa0530b2b0a0e6d7dc2258d3551fee1</t>
  </si>
  <si>
    <t>201473C01005</t>
  </si>
  <si>
    <t>4bbe30de40b03d63217770b48a2cffd913adc8d9776008f38c5093b8c2f5f227</t>
  </si>
  <si>
    <t>201474B01005</t>
  </si>
  <si>
    <t>1bae5f5acfe0e6628bf4197d4f0e2f8e00b7ca1186216959d73247d4cfac9e67</t>
  </si>
  <si>
    <t>201474C01005</t>
  </si>
  <si>
    <t>c93a42171301986ff43be4d719d2412102ecca123d53178ac6be8f429e145a95</t>
  </si>
  <si>
    <t>201474C02005</t>
  </si>
  <si>
    <t>294d7e42c1f58c7a2896f230f55a32c47b6b6ec2e4e86d9eaaf78b4492e52439</t>
  </si>
  <si>
    <t>201475B01005</t>
  </si>
  <si>
    <t>39e94c8a3027416218fbd2c6a8623ccd2cee8ddb08558bb47da5c011b9bfc01f</t>
  </si>
  <si>
    <t>201476B01005</t>
  </si>
  <si>
    <t>7e9ab12e3d823d7bad8e04860a9ded3f13777fd98b36f5c34e1b306ff64182b3</t>
  </si>
  <si>
    <t>201476C01005</t>
  </si>
  <si>
    <t>429a624129343a47e486833a946152608a8838804bf7547ada5bfdfca9dda760</t>
  </si>
  <si>
    <t>201477B01005</t>
  </si>
  <si>
    <t>cbe06ba77e6ddd5789c38719025e169138823ebb82ad35d62cc27dace679f6e5</t>
  </si>
  <si>
    <t>201478B01005</t>
  </si>
  <si>
    <t>7f9bbcc85a38dbc236e2775a11b678595bc71a8bf4b412fb805179338c53a1e6</t>
  </si>
  <si>
    <t>201478C01005</t>
  </si>
  <si>
    <t>b22b5b96b285c723b7ba4d02d7d6e9d691619c1ee945e1de8d237928488d1b87</t>
  </si>
  <si>
    <t>201479B01005</t>
  </si>
  <si>
    <t>5756fa490bd2eb1ef149dcd207590adc692ad1d380137097fe100d1261e03e48</t>
  </si>
  <si>
    <t>201480B01005</t>
  </si>
  <si>
    <t>38d6efaa5dd634bfb6828b3e55127276152a38449894422d0cd0e69f20160772</t>
  </si>
  <si>
    <t>201481B01005</t>
  </si>
  <si>
    <t>aa70c57bca36258b6822c06f1d36096ca4672a26782dcdee0e629c3e3ef6211f</t>
  </si>
  <si>
    <t>201485B01005</t>
  </si>
  <si>
    <t>SAN PEDRO JICAYAN</t>
  </si>
  <si>
    <t>e6b5bd246c3d0a49e2359a7a06a048ec6a0b860e5809e8f383549686721b24ea</t>
  </si>
  <si>
    <t>201485C01005</t>
  </si>
  <si>
    <t>375f6ffc4bf56bd90517c9e80d95452c66515edd26ce9fee0372d84d32a40e76</t>
  </si>
  <si>
    <t>201486B01005</t>
  </si>
  <si>
    <t>df646c0fe433c3503e5ea2fc74e2582679881795151147b2072783e1872359ba</t>
  </si>
  <si>
    <t>201486C01005</t>
  </si>
  <si>
    <t>ff705eec45c81714b7e8ac9bcbd0dfa303043d7e86d707a2b09735d2223d8a26</t>
  </si>
  <si>
    <t>201487B01005</t>
  </si>
  <si>
    <t>abf87d17f9e04a8a59a63eb7ceda6be6101a246f021f2dd092fa9424c13e3fbc</t>
  </si>
  <si>
    <t>201487C01005</t>
  </si>
  <si>
    <t>f6cb4e824191d510540ee9c58eee9fe5e727bc3e1beea271008e3ef18b2e68df</t>
  </si>
  <si>
    <t>201488B01005</t>
  </si>
  <si>
    <t>fae437086cafc45a51ae5c1e037495784a9e1f0c016b3022764ecd0dbf889ab1</t>
  </si>
  <si>
    <t>201488E01005</t>
  </si>
  <si>
    <t>c9f5b7e4cfbf200fd267a7f32b2909b338145e7f6e24b69e5193cac401cd040a</t>
  </si>
  <si>
    <t>201489B01005</t>
  </si>
  <si>
    <t>a84ed141e73f8c312c06ab796b916afcadd24a89f9be7f2bdc8d98dc3d1bcccc</t>
  </si>
  <si>
    <t>201489C01005</t>
  </si>
  <si>
    <t>415c20e52404258125f4b47d128edf4720f0fe10d42b036de2d0d06f87c4f8e6</t>
  </si>
  <si>
    <t>201490B01005</t>
  </si>
  <si>
    <t>46db34998a2d38ec790ce37221c1e03f68f47c808ab277f26ad2a4cc4860b581</t>
  </si>
  <si>
    <t>201490C01005</t>
  </si>
  <si>
    <t>f57c343f60642eb5176a323f30fb0b700515b2fede14b5174f1fe6bc6c5e4c26</t>
  </si>
  <si>
    <t>201491B01005</t>
  </si>
  <si>
    <t>72ee09049b55d5ff07344e28d5733f4d44cd188f4a2c1a84d94343c78484b473</t>
  </si>
  <si>
    <t>201491E01005</t>
  </si>
  <si>
    <t>ed44fa252bcf94a9215064e374ec5c3e9ceee6eac25af6d96a0f14b3aace3525</t>
  </si>
  <si>
    <t>201498B01005</t>
  </si>
  <si>
    <t>SAN PEDRO MIXTEPEC</t>
  </si>
  <si>
    <t>12801e6be9c68c67662686efbbe71c36ad2f558bf25cb060f17c2bc99c1cf9a0</t>
  </si>
  <si>
    <t>201498C01005</t>
  </si>
  <si>
    <t>f3cdb51ae6c365b88bab92b373e6eae297483b67882086fc0cf209fa242562be</t>
  </si>
  <si>
    <t>201498C02005</t>
  </si>
  <si>
    <t>db71e2da50f10a0ad215ab2d7a97b1f0154d0761759f1d500c132f7d95225625</t>
  </si>
  <si>
    <t>201498C03005</t>
  </si>
  <si>
    <t>94cf6e855b31019443d7e0a9f2ec98acfcaa013fb2483973e3e1a8a9d9c0fec3</t>
  </si>
  <si>
    <t>201499B01005</t>
  </si>
  <si>
    <t>ea34732d1d5941be8dcbbd769e26988fe5984e6ec9a3e4b5218908081ae02de0</t>
  </si>
  <si>
    <t>201499C01005</t>
  </si>
  <si>
    <t>b4225383146511422714a260781b16ff1532c0c43a14de99a682495e21c78bd1</t>
  </si>
  <si>
    <t>201499C02005</t>
  </si>
  <si>
    <t>79df6e16572a70b521366c7f91885b0a720a218fa111f6e22abc5724b70f84ed</t>
  </si>
  <si>
    <t>201499E01005</t>
  </si>
  <si>
    <t>a98267dce7e7fd770fc864bfcb1a25f1d254581914ea45ef7f555fe1f2a10d59</t>
  </si>
  <si>
    <t>201499E02005</t>
  </si>
  <si>
    <t>da86796f5ca8ec274d08d6a7c8f5fc7995d41e0c5f5b7253b94f89898f2aa337</t>
  </si>
  <si>
    <t>201499E03005</t>
  </si>
  <si>
    <t>48ac9a351f983611e401be173913a11ddbc46a3d320c7995db76606647679269</t>
  </si>
  <si>
    <t>201500B01005</t>
  </si>
  <si>
    <t>34c52e0862e1136a172b48d3aa51f13b5590b6acf0e3b67093f050f03782f184</t>
  </si>
  <si>
    <t>201500C01005</t>
  </si>
  <si>
    <t>53f4dd828d7e76e5557cac0abff4b3930df950dd6e4f90d216db0f6d9168d491</t>
  </si>
  <si>
    <t>201500C02005</t>
  </si>
  <si>
    <t>789a9ce58efd6a23e4131a6d6aa2a35fc53317dd9182071246d1c3f38c0b6de6</t>
  </si>
  <si>
    <t>201501B01005</t>
  </si>
  <si>
    <t>0080577cbd0a7176e1835c393e26055037be4c928ba03897793365cda6f9ba18</t>
  </si>
  <si>
    <t>201501C01005</t>
  </si>
  <si>
    <t>48259b759f146fee508c3fe5ba5eebf54b01feaa7bbd72abfec2f189d2565f13</t>
  </si>
  <si>
    <t>201501E01005</t>
  </si>
  <si>
    <t>890453e0b0da3f9a626c2d6082a4542bc2ce67bc9d75f65a34082f789b83d57b</t>
  </si>
  <si>
    <t>201502B01005</t>
  </si>
  <si>
    <t>024805b45efc3b9512ea33cfebb409cb6ad0dd8347b4c3ff868727d394e08a5e</t>
  </si>
  <si>
    <t>201502C01005</t>
  </si>
  <si>
    <t>8a03ccaccaa0c535bfd787a2d34b9c13edeeb94ef47925f43ab5340d7814644e</t>
  </si>
  <si>
    <t>201502C02005</t>
  </si>
  <si>
    <t>1882b870753413a963137400f9eda23d4c411385a965ca9d5ad66ceb53978e77</t>
  </si>
  <si>
    <t>201503B01005</t>
  </si>
  <si>
    <t>2b3ffdc94e69901f4d8e40abb3fcde94af8312daa00f333299d8c9eb2e518c7d</t>
  </si>
  <si>
    <t>201503C01005</t>
  </si>
  <si>
    <t>8799d0984e4e1b871d0f50b8b79fe96e21936dba8b04f912f3bf08444c3fdf38</t>
  </si>
  <si>
    <t>201503C02005</t>
  </si>
  <si>
    <t>d01b45e99fe50dba2c92ab92ba7005c8e0716191f58fef6350e824ae11270b72</t>
  </si>
  <si>
    <t>201503C03005</t>
  </si>
  <si>
    <t>18251f1d5c455916aada4f05b7b6d433ff2f04f81f975022199b6fbe85578993</t>
  </si>
  <si>
    <t>201503C04005</t>
  </si>
  <si>
    <t>3fdf2e2037a4bd335ae70b34c1f276b5449184b51c440614302f668ad4dc8d6f</t>
  </si>
  <si>
    <t>201503C05005</t>
  </si>
  <si>
    <t>3d41e12126e84bcab7f669c8b8d9c7745dbacc35489535c33046f77309a9a272</t>
  </si>
  <si>
    <t>201503C06005</t>
  </si>
  <si>
    <t>32156809ad398499e0c7afcd9553774d17eb845b5818287b242cb69a1ea1bcbd</t>
  </si>
  <si>
    <t>201503E01005</t>
  </si>
  <si>
    <t>5a0a901f447a11e34139b905c841d6795f42ee1049bc5586a0b88cc924ff7035</t>
  </si>
  <si>
    <t>201503E01015</t>
  </si>
  <si>
    <t>12c9506acf7f0a39e50d71b31efebc07e35eded7081d52e2f336052b6e0036f1</t>
  </si>
  <si>
    <t>201503E01025</t>
  </si>
  <si>
    <t>2d329968770ec9473d375400588b189606e90569468dc1e47bb6af2fb971f912</t>
  </si>
  <si>
    <t>201503E01035</t>
  </si>
  <si>
    <t>38d13e35f394c0a64e1ae67d8c00c3868970bf30101e6222df31a78849ef2919</t>
  </si>
  <si>
    <t>201503E01045</t>
  </si>
  <si>
    <t>eff5655f0153ebe19cc12d78135da703f8e42b050e4cf473b97ff1ffb0bd719a</t>
  </si>
  <si>
    <t>201503E01055</t>
  </si>
  <si>
    <t>0676d275473a0ba840aed0818d0f4efe78001827e975f0bdb8dd8d67ab4121f3</t>
  </si>
  <si>
    <t>201503E01065</t>
  </si>
  <si>
    <t>a9304f95227db15b953400c3d6adde144cd9e26a8c1996861d28e94182abbf54</t>
  </si>
  <si>
    <t>201503E02005</t>
  </si>
  <si>
    <t>13b8663da75625fe66be18ebce6a77a999d83bd560357da3d61be4da7a8d4df7</t>
  </si>
  <si>
    <t>201504B01005</t>
  </si>
  <si>
    <t>04d124e7b1da734a4e0c3faa77d4aa0b3c827f08e0bad32c8ec032f8b5627551</t>
  </si>
  <si>
    <t>201504C01005</t>
  </si>
  <si>
    <t>1a86df310d1ca7d3f7841b41118ed6140ed7f7145d00f86aabf3f8a85b532ad2</t>
  </si>
  <si>
    <t>201505B01005</t>
  </si>
  <si>
    <t>d8326477009137542ad9f319286adfbe2b472aa8b38fdd19c00cf634ef27d82c</t>
  </si>
  <si>
    <t>201505C01005</t>
  </si>
  <si>
    <t>1f3ce51739fe099212255492b860f3e95c6d629966cc866a091cc25cb057fbb5</t>
  </si>
  <si>
    <t>201505C02005</t>
  </si>
  <si>
    <t>e6ae3c2e41696b50be4d699968a879497b913f0c2e3dd3e13c570f19b0b960ec</t>
  </si>
  <si>
    <t>201505C03005</t>
  </si>
  <si>
    <t>2e9d7c57ab3e074c621fcd768e79d3fec672b5006c235f2d117393db2cf6c7b5</t>
  </si>
  <si>
    <t>201505C04005</t>
  </si>
  <si>
    <t>34a6cb50d45b9b6a46aa2b3523d574ada9751e38428d17cced3006a25fea2d82</t>
  </si>
  <si>
    <t>201506B01005</t>
  </si>
  <si>
    <t>ad17da01f22706b963c9dae966ff6e80c9e4a9047bf1165f363ef36eff18d9d4</t>
  </si>
  <si>
    <t>201506C01005</t>
  </si>
  <si>
    <t>83582da1279ff29149e2d427263a84bf422547dce028faf1aa19791c608b4c7b</t>
  </si>
  <si>
    <t>201506C02005</t>
  </si>
  <si>
    <t>3fa9448d3db99313753644eaea0e6020f73f371d95b4bead148a86c0bd221b8b</t>
  </si>
  <si>
    <t>201506S01006</t>
  </si>
  <si>
    <t>c91ef25705026f00665d27bb65ab0cb610626ca27e881a2249e4897dee93035f</t>
  </si>
  <si>
    <t>201507B01005</t>
  </si>
  <si>
    <t>7e6d7b5721dd71b331eb0dd2bc6d27e24a8574d24ad790433c7809158e75e46c</t>
  </si>
  <si>
    <t>201507C01005</t>
  </si>
  <si>
    <t>bad3613d06aa2a8eff78ac4a3691f8c20a5aae4eb0197f2688c03a2ed6f9c7e8</t>
  </si>
  <si>
    <t>201508B01005</t>
  </si>
  <si>
    <t>c1e21f9a03c25c88607a7ec44956799e5cb4ac77f7cb3ff12d335fbe23b939db</t>
  </si>
  <si>
    <t>201508C01005</t>
  </si>
  <si>
    <t>9246b30a051c1fe14d5c2ed36dc8dff94ede50859639b9fd0e07c64fba9d15bd</t>
  </si>
  <si>
    <t>201509B01005</t>
  </si>
  <si>
    <t>23df4bfadfe0a9be88cfa534f586a1687056e5aaa64e1f4774f2ad7fab62ec88</t>
  </si>
  <si>
    <t>201509C01005</t>
  </si>
  <si>
    <t>4d6788c9ab7e77ee3b510c54d72a2b186de56fa81a54b330ed1cc829d88e58ad</t>
  </si>
  <si>
    <t>201509C02005</t>
  </si>
  <si>
    <t>ec777c218f589a0a805196d783a5ae30504966bc7cc7a5489ca9f942f5daa365</t>
  </si>
  <si>
    <t>201510B01005</t>
  </si>
  <si>
    <t>8f8cedeb790b42f86179845cbaf392365f950b502f9fb97ee7c03ea5cfd942de</t>
  </si>
  <si>
    <t>201510C01005</t>
  </si>
  <si>
    <t>898a56c6e811e8f21986465a716e98a421f4fca997ffeb8d919c620dd43a6615</t>
  </si>
  <si>
    <t>201510C02005</t>
  </si>
  <si>
    <t>1088e9b7bec0f1e2bf1e9ad8d7e51e83c3a11b9f0d1ca3a6a44f6474c60b5590</t>
  </si>
  <si>
    <t>201510C03005</t>
  </si>
  <si>
    <t>cabf994aee1d14d7dae7c70de9491f9dc79efb400f2106118155417fe581b897</t>
  </si>
  <si>
    <t>201516B01005</t>
  </si>
  <si>
    <t>SAN PEDRO POCHUTLA</t>
  </si>
  <si>
    <t>c5de46e1e8c63442497dc5c97b5a542e1b6812e027199a3fd47723cb59bfc777</t>
  </si>
  <si>
    <t>201516C01005</t>
  </si>
  <si>
    <t>91bcbc558d6ab35c2cfd9919bae957e49821acf5d43b62e9b3563f8e5c5eaa03</t>
  </si>
  <si>
    <t>201516C02005</t>
  </si>
  <si>
    <t>465aaefcda19e761cba5e33d66640d9aecfbcc5b7c3e19cfb335982a857aedc5</t>
  </si>
  <si>
    <t>201517B01005</t>
  </si>
  <si>
    <t>80881b52ec6d1ec9564c60f2fdae8a99d6ddf4b95ba7358f1d18f2ceef98a651</t>
  </si>
  <si>
    <t>201517C01005</t>
  </si>
  <si>
    <t>f418785b6d8adac327af90f61fe49a92607bf88b89fa2413a27091473982ea75</t>
  </si>
  <si>
    <t>201518B01005</t>
  </si>
  <si>
    <t>dfe935560e7b13c9acad866db2b62a9a15f0a2e33dc8ca7a1f231569e15a2d78</t>
  </si>
  <si>
    <t>201518C01005</t>
  </si>
  <si>
    <t>4eecd491b6701e9bd4fed2e3325983e211a5f03ff84efd2af2d8eccd8f8185c3</t>
  </si>
  <si>
    <t>201518C02005</t>
  </si>
  <si>
    <t>0680cf1c68fd6485c3a2a439ba11f8b6425e85179cbbd9ce55e0c8686bf3deda</t>
  </si>
  <si>
    <t>201518C03005</t>
  </si>
  <si>
    <t>b0f08aa6ffe9ee891cac107e75d2202675b308179aabb086bb6b668930c5e3d2</t>
  </si>
  <si>
    <t>201518S01006</t>
  </si>
  <si>
    <t>1386df75a59f870d704200f06e93f52be6c695b1ab0f94de5fda1b13e0d3b379</t>
  </si>
  <si>
    <t>201519B01005</t>
  </si>
  <si>
    <t>63ecb8d5decf4912da32ff65ce6aa640e361792a43722af613cab27930302eec</t>
  </si>
  <si>
    <t>201519C01005</t>
  </si>
  <si>
    <t>6ed1f4158bdbaf940f2a036a5ae9a70313b2fd7526cf1c95ec3d70838b03403e</t>
  </si>
  <si>
    <t>201519C02005</t>
  </si>
  <si>
    <t>9e6e421f629bb79ab546d9f5939e9d466c96e8a90f5900264932ded9279f81af</t>
  </si>
  <si>
    <t>201519C03005</t>
  </si>
  <si>
    <t>e971a26545cd923c399f67b8d55b0e930255dcaa207dc101362b495cefa719e8</t>
  </si>
  <si>
    <t>201519C04005</t>
  </si>
  <si>
    <t>d9edbdcfd64d7c00ae1c0a9c0bbface5824f5ef9a0099fabf367a19e783b1ffb</t>
  </si>
  <si>
    <t>201519E01005</t>
  </si>
  <si>
    <t>92192170180bf805d13a16920cec95c205a046f4a767837c11f5feda6178243d</t>
  </si>
  <si>
    <t>201520B01005</t>
  </si>
  <si>
    <t>06f864fa9640a094c7de6a762e10cd1d485870762610dc23eaec6b3b38b44b43</t>
  </si>
  <si>
    <t>201520C01005</t>
  </si>
  <si>
    <t>3d352ac88dc05c37c35ad4ff473746b4747eeb3855574f2e2dd695c0685a0571</t>
  </si>
  <si>
    <t>201520C02005</t>
  </si>
  <si>
    <t>2352771f03e8f521fcec409c9998c168dba06d2b1b42fb2e961c724d549456c0</t>
  </si>
  <si>
    <t>201521B01005</t>
  </si>
  <si>
    <t>db20c43564411618d9fd915b7996fd0854378ab552b848c8fd0535c0dcfc6339</t>
  </si>
  <si>
    <t>201521E01005</t>
  </si>
  <si>
    <t>7d8f8abcbfeb37e8b898d43384f63d155e69bc07badfde2024d871de9bb8f2dc</t>
  </si>
  <si>
    <t>201522B01005</t>
  </si>
  <si>
    <t>24b1999464feda62c66a2d36b0e2f143a5fe31e458d37ad0dbe58f6286e94464</t>
  </si>
  <si>
    <t>201522C01005</t>
  </si>
  <si>
    <t>d705c203a245e4ff3c99c71904025fffb4bd9d2fea37c80f3debbc955172d1fa</t>
  </si>
  <si>
    <t>201522C02005</t>
  </si>
  <si>
    <t>423895b84f4295f9f088bfcf266f7adc421e7e6423828b46570662bba8a66a11</t>
  </si>
  <si>
    <t>201522C03005</t>
  </si>
  <si>
    <t>efb5d2834817be9e981f57ce05faacc6d36f31be3695295b2d6b04074e79fc37</t>
  </si>
  <si>
    <t>201523B01005</t>
  </si>
  <si>
    <t>7b917f08d1f414f7a7d38003bce09ae992c405f2c600a83dcd312c98c07c2a0f</t>
  </si>
  <si>
    <t>201523C01005</t>
  </si>
  <si>
    <t>dbf95ebfe667f9e8b7c7e224a8eab08e1fd8c2ce747081e2ded43f1394b28582</t>
  </si>
  <si>
    <t>201524B01005</t>
  </si>
  <si>
    <t>73df271b9a200be9885b9a3f3a0b84bd7776a2b8744f3ec3c94d2327cd04c662</t>
  </si>
  <si>
    <t>201525B01005</t>
  </si>
  <si>
    <t>fc573adab8f0c99d9356a04b07b61d935dba96ad2685efd79f40ec90b9710b50</t>
  </si>
  <si>
    <t>201525C01005</t>
  </si>
  <si>
    <t>9c8f77d45cbcc5a04558cd82c9c209035997fb26ad4cdee5f76f635345fdae0c</t>
  </si>
  <si>
    <t>201527B01005</t>
  </si>
  <si>
    <t>96c91ea9194ed4606bf9b0e61115d49ac45bff8281b0e3bf9de0ec6c47f2be3c</t>
  </si>
  <si>
    <t>201527C01005</t>
  </si>
  <si>
    <t>67247a18f0ee32322ff2ebd7e09c53ff5bbd887ff6f1b80c1fe06119690f6a8d</t>
  </si>
  <si>
    <t>201527C02005</t>
  </si>
  <si>
    <t>8547e0ac21ce5549a96370726bafbd5fad05bb20530e6c80acbd3495af5bdad8</t>
  </si>
  <si>
    <t>201528B01005</t>
  </si>
  <si>
    <t>5f83055237e3eb4679d81a405c1b09a658c7bb16b2372db240f1d8d04fbd0638</t>
  </si>
  <si>
    <t>201528C01005</t>
  </si>
  <si>
    <t>5ee69e4067c1fa73b3d0c2513208cd039f4af5844cee3693f0a0e2ffae6c8202</t>
  </si>
  <si>
    <t>201528C02005</t>
  </si>
  <si>
    <t>937498b7514402429dea00700ad7f8d0ecef8f057a351083ef0e67f9fad02ec7</t>
  </si>
  <si>
    <t>201529B01005</t>
  </si>
  <si>
    <t>8fcb5b1f3d72bac264103180b431fbfead4c5d192f643fac1295e9875764f250</t>
  </si>
  <si>
    <t>201529C01005</t>
  </si>
  <si>
    <t>0c477c6a6d7bb04a956f816993c0cf12948f3368dc2921d2bfdb854fce45ba24</t>
  </si>
  <si>
    <t>201529C02005</t>
  </si>
  <si>
    <t>31246e28a8dfec5408ba49a041b5e5c0cd30155222801d2c10cc0473c10a6f91</t>
  </si>
  <si>
    <t>201529E01005</t>
  </si>
  <si>
    <t>171cabf48f47e99671d2e7385436fff5bf21008b3534a7be77bfeccfaff154a4</t>
  </si>
  <si>
    <t>201529E02005</t>
  </si>
  <si>
    <t>c3834334e3d7d9d988f3a9fb887d5a981da0326553d4b19c9993c8d8796bedaa</t>
  </si>
  <si>
    <t>201530B01005</t>
  </si>
  <si>
    <t>cb74c7b10490ae3f13aa05fb565afc8b06db09eaa89c1e9b9e2cfaefa30d5d10</t>
  </si>
  <si>
    <t>201530C01005</t>
  </si>
  <si>
    <t>78e078290f0ee4af9cb230d5ffa2cdc9671df769f18c47ced0eea2808b62d7fc</t>
  </si>
  <si>
    <t>201530C02005</t>
  </si>
  <si>
    <t>0889f2e1446586e6773aef361b52db69dab8841dc2e693534f2b71f92b1cc671</t>
  </si>
  <si>
    <t>201531B01005</t>
  </si>
  <si>
    <t>4fcf9935f2604077ba02b7231f20a5cf8863250a2d95d62611771bd031e647a4</t>
  </si>
  <si>
    <t>201531C01005</t>
  </si>
  <si>
    <t>fe54693deb30046e3105dc307c47f35c0ac181d1d4dc9bd1ce45f877029e6dce</t>
  </si>
  <si>
    <t>201531C02005</t>
  </si>
  <si>
    <t>d1773a12a83f7672eb8963b48a944e2eac999647d28dbfe1ddac07322fbbe3d1</t>
  </si>
  <si>
    <t>201532B01005</t>
  </si>
  <si>
    <t>4123d41e7cb6e8403e1247965eb31328a8a99c26643b5b3b70cac1df56bff647</t>
  </si>
  <si>
    <t>201532E01005</t>
  </si>
  <si>
    <t>2904cd8ed07bd2562fe97c8bc5bc5e07a142b9bbace4b9a722cfca49763f64c2</t>
  </si>
  <si>
    <t>201533B01005</t>
  </si>
  <si>
    <t>4ab4d3b99c0c7a68f1dcd62fbef24c591bcdaa491aac876b6fcb81e1c2b70647</t>
  </si>
  <si>
    <t>201533C01005</t>
  </si>
  <si>
    <t>b8277a111dd1f5b8689b58c3282af91d82bc8ff35e6c7b4460e21657fef8cc1f</t>
  </si>
  <si>
    <t>201533C02005</t>
  </si>
  <si>
    <t>87ec800945c316cabdc4c83b9d31f3546fa7e760508f387113479e788913edd7</t>
  </si>
  <si>
    <t>201534B01005</t>
  </si>
  <si>
    <t>d6a3eaa1c6ddf0f20081e673221a59677061a8942ee84bb36bb3c9374914d6dc</t>
  </si>
  <si>
    <t>201534C01005</t>
  </si>
  <si>
    <t>16c9b00ff53efa6b7bdaf0bba633faacf032b9deae7ae3b64d558440ab980c84</t>
  </si>
  <si>
    <t>201534C02005</t>
  </si>
  <si>
    <t>b41f9ac279505c02c4a930f4112d44906ee90c6fd64938bdc57db86fca625137</t>
  </si>
  <si>
    <t>201544B01005</t>
  </si>
  <si>
    <t>SAN PEDRO TAPANATEPEC</t>
  </si>
  <si>
    <t>0f43e0b6134e80eeca3b8a4128a87d593de09135a4393408bbd43e0330cc876f</t>
  </si>
  <si>
    <t>201544C01005</t>
  </si>
  <si>
    <t>9748202e57acbfd934ebeb4f97429f04115ce9b3bb1962a0706103e2b11bd6d1</t>
  </si>
  <si>
    <t>201545B01005</t>
  </si>
  <si>
    <t>d4b2590c4abe55b05774263cb78fd76a4d19b958fca19e037c7526b480941144</t>
  </si>
  <si>
    <t>201545C01005</t>
  </si>
  <si>
    <t>83de7ed79359189695d00d997d803c19e71f8f5cd5a0ae10362c1dbfd11b1e44</t>
  </si>
  <si>
    <t>201546B01005</t>
  </si>
  <si>
    <t>0324d4a7c303f5319d40a6da48ed0bb92dae6b182398501f128642714f23e520</t>
  </si>
  <si>
    <t>201546C01005</t>
  </si>
  <si>
    <t>5ca65c68a72b4ff87f6313b3b759cece6a696b75ad4fc86ff1690d22292a3f9c</t>
  </si>
  <si>
    <t>201547B01005</t>
  </si>
  <si>
    <t>8091d83d14fb22179b2ccefffa077054f1262be11c037b03d44985215962aabd</t>
  </si>
  <si>
    <t>201547C01005</t>
  </si>
  <si>
    <t>3ae014d8ff56f8e4bd960e0cc07840b86b1d3aaa76225c53be1c7c3dd9355efe</t>
  </si>
  <si>
    <t>201548B01005</t>
  </si>
  <si>
    <t>880d0eecfb70a29cc6b5d1e77743a19c7a79fd0879e242c37ccedc2a38996973</t>
  </si>
  <si>
    <t>201548C01005</t>
  </si>
  <si>
    <t>20b6c9e2a485b0072eaf3788c734f649cc740a9793d9d8ce62c63107d2b758bb</t>
  </si>
  <si>
    <t>201549B01005</t>
  </si>
  <si>
    <t>b79cfff9d2823729a08cda43915512325e811b8e66a5979b53dd37dd89fc1ed2</t>
  </si>
  <si>
    <t>201549C01005</t>
  </si>
  <si>
    <t>3f750adaed8572a24499b2d8e9e60839ee6724bab6f22af789c019b1af57043c</t>
  </si>
  <si>
    <t>201549E01005</t>
  </si>
  <si>
    <t>f20c474b405f5f71de1095a618658c67199178b40e85e564a35f07638ad9156b</t>
  </si>
  <si>
    <t>201550B01005</t>
  </si>
  <si>
    <t>969629a1a811cd2c0775ec9dc0f1d83373181a8476a361be3732b497bfcab322</t>
  </si>
  <si>
    <t>201550E01005</t>
  </si>
  <si>
    <t>a066c5d1a3eed805483cb29a30962202dbc9d382fea259b1086cc22e9c4fb635</t>
  </si>
  <si>
    <t>201550E01015</t>
  </si>
  <si>
    <t>572f8e5f80971a00bf2156b5efbf14b8b51a2546b7114d1c4eb8080f3844e4c0</t>
  </si>
  <si>
    <t>201550E02005</t>
  </si>
  <si>
    <t>fc286b4d2150c7d90c7b8058290426af03cbf727fde0200cd58b574d325a77cb</t>
  </si>
  <si>
    <t>201551B01005</t>
  </si>
  <si>
    <t>fd8e7c34a7f4abb811d03dd41681489fcb8e48a0b14f7bfc83c76504ab87ecce</t>
  </si>
  <si>
    <t>201552B01005</t>
  </si>
  <si>
    <t>9420c1d0109db847a819fa7fa3861c608edef0d9df3a55ffd3223c29bd645e30</t>
  </si>
  <si>
    <t>201552E01005</t>
  </si>
  <si>
    <t>abab5761dcdb3258211734d44fd81cd73a03d8bf0c57ad542aa68241725187be</t>
  </si>
  <si>
    <t>201564B01005</t>
  </si>
  <si>
    <t>VILLA DE TUTUTEPEC DE MELCHOR OCAMPO</t>
  </si>
  <si>
    <t>3bd88fd49a8f5ab71ca25ed41730ba800622004c9ff24e7119b0aca61e8d7ae3</t>
  </si>
  <si>
    <t>201564C01005</t>
  </si>
  <si>
    <t>565a7fe5f282047ef8606e7cdf49becfea5ee1542ce690411f0d7e1f79fe6c4e</t>
  </si>
  <si>
    <t>201564E01005</t>
  </si>
  <si>
    <t>655658c73d476dc012da35050325dc35c2a988a94a740fe85fe6d0e1eb1f9d05</t>
  </si>
  <si>
    <t>201565B01005</t>
  </si>
  <si>
    <t>ab3888b5ee7adb311e5cb7e149cf1096c0edb878ccca0a00dd44b11b98734d8a</t>
  </si>
  <si>
    <t>201565C01005</t>
  </si>
  <si>
    <t>3ed230546a37c83fa3e26651130822a42f4f58b14dc9f5e35aeae043331be0f1</t>
  </si>
  <si>
    <t>201566B01005</t>
  </si>
  <si>
    <t>6e68368c117a79f6d79cc9532132531c1daba71dd28b9a7c5533d0a9348180b1</t>
  </si>
  <si>
    <t>201566C01005</t>
  </si>
  <si>
    <t>0a9f427f7ce0e3147835ae3bc78bec438fde7b32bdc4440d78d2bd7b01736107</t>
  </si>
  <si>
    <t>201567B01005</t>
  </si>
  <si>
    <t>2752ccad42a8075420ecb9f4ebfaed1da70cb85b83d566d5b26f2e003b688cda</t>
  </si>
  <si>
    <t>201567C01005</t>
  </si>
  <si>
    <t>f3f02d76d82d5af61498ce23c3cb12426c70a90695e081768286f8895b6835d5</t>
  </si>
  <si>
    <t>201568B01005</t>
  </si>
  <si>
    <t>190e09395fb99d3dec70d9b3d37c6f24e48126d6c8c4cd47d06a801f00b5cbc2</t>
  </si>
  <si>
    <t>201568C01005</t>
  </si>
  <si>
    <t>f158c16b6e9c4965ad22cacfb78b38b738eee4a40ccf2894ce547a65c649c8be</t>
  </si>
  <si>
    <t>201568C02005</t>
  </si>
  <si>
    <t>52dc41ba6fa4e9fdef268115427a262e4072ad5f34a22ef5a5b9788c433e45ea</t>
  </si>
  <si>
    <t>201569B01005</t>
  </si>
  <si>
    <t>03d2a5fe75bb534b11121276a50bb6845647c9b8187c8bf0da08b2ba7849e809</t>
  </si>
  <si>
    <t>201569C01005</t>
  </si>
  <si>
    <t>243fc61afc71c754f05d248edca89f0043e8ad5f15dc05b308146939aac8649c</t>
  </si>
  <si>
    <t>201569C02005</t>
  </si>
  <si>
    <t>362591d72fb2993d23ebeede92c2171e983c2706d4eabeb711e1bde62c4aab11</t>
  </si>
  <si>
    <t>201570B01005</t>
  </si>
  <si>
    <t>ea310e3fd4a8478c4dd7b358d9a48c9e5d9fcd9faaa9aa48fb156a916d3d07ca</t>
  </si>
  <si>
    <t>201570C01005</t>
  </si>
  <si>
    <t>2f110e2a58ba496052812eec006b35d5a58a0bbcd3c5ccda7e83360fa94fe357</t>
  </si>
  <si>
    <t>201570C02005</t>
  </si>
  <si>
    <t>c7426cfee51af77802d724a591e45a64cf52b2c8fbb345da5a9f88238b3ef752</t>
  </si>
  <si>
    <t>201570C03005</t>
  </si>
  <si>
    <t>5565b8ac487f4d7a33d73e35ccc476177b7108d4d3de3f349871eb5fc99db1c4</t>
  </si>
  <si>
    <t>201571B01005</t>
  </si>
  <si>
    <t>61143df1dc620d63529235029b6764b23e5564cbb997c1d55d2ad3988ecb013b</t>
  </si>
  <si>
    <t>201571C01005</t>
  </si>
  <si>
    <t>2703791695656768cdcdd163fda6d3a66cfa47d8b252d18bcc4f377299716fdc</t>
  </si>
  <si>
    <t>201572B01005</t>
  </si>
  <si>
    <t>a3309dc9f9a4672d57a4286d77a54b0123ce978c615cad40b3ccf41f0039b5b6</t>
  </si>
  <si>
    <t>201572C01005</t>
  </si>
  <si>
    <t>4637d172a92348591f83956a7efb78da5b4265ce46c41f5c3463426deb75069e</t>
  </si>
  <si>
    <t>201572C02005</t>
  </si>
  <si>
    <t>57dbc71c82d01568242b02fa8f5db02e389cece02ddd7e2db715648cd4eab900</t>
  </si>
  <si>
    <t>201573B01005</t>
  </si>
  <si>
    <t>c4caab867532af229a305e549771e27159ad06b55fe90424085a822abd0fefe8</t>
  </si>
  <si>
    <t>201573C01005</t>
  </si>
  <si>
    <t>e7c24024d1a009a4cdcfcb74637e15a64fa226ca6ace0feb5d55497b4d4abcd2</t>
  </si>
  <si>
    <t>201573C02005</t>
  </si>
  <si>
    <t>f2402629079e098e46ba6156909fbce34bd48cf518153b49ca0109675f68b583</t>
  </si>
  <si>
    <t>201574B01005</t>
  </si>
  <si>
    <t>321593e107a80a102eaa1cff39c845a0ca10cdc2de38ec35397186706c7a552c</t>
  </si>
  <si>
    <t>201574C01005</t>
  </si>
  <si>
    <t>0b66ce1eb10001275ea81f696ec08a1065199c627646620fea1a234d6ecb37ba</t>
  </si>
  <si>
    <t>201574C02005</t>
  </si>
  <si>
    <t>36a4396db46d759c3440edfeb0f95ac5343af31e2be585a021feec730c730884</t>
  </si>
  <si>
    <t>201575B01005</t>
  </si>
  <si>
    <t>1242ff14a7f5568e950a4a8726a19fd689ddfc8090f6edabed2596fcf0c90413</t>
  </si>
  <si>
    <t>201575C01005</t>
  </si>
  <si>
    <t>7d3d824cf870a153434186755a1f3dd0a52107a22d70a8f29bfe8952e7984656</t>
  </si>
  <si>
    <t>201575C02005</t>
  </si>
  <si>
    <t>3bde9c9d1302b29e77447241a9c6b3b1f0feb28ccbd1b5aa27c6139e42758ebb</t>
  </si>
  <si>
    <t>201576B01005</t>
  </si>
  <si>
    <t>f4fb701b8e76a642bbf879185ec7108a43579b026d25ab3a1932f35e650af8fa</t>
  </si>
  <si>
    <t>201576C01005</t>
  </si>
  <si>
    <t>871399967003e8e1e3441d81d2d8d0e822b295f18daf69f718388eff589decfb</t>
  </si>
  <si>
    <t>201576C02005</t>
  </si>
  <si>
    <t>c1b1352a782e73f1c5fbfacc2ebe10cf8e6fc6281adcd7602156fd575f7a3284</t>
  </si>
  <si>
    <t>201576C03005</t>
  </si>
  <si>
    <t>c153c1c6437043fe88fc9f527afee3366c016eb9bf17ffafaf02f242f84364a0</t>
  </si>
  <si>
    <t>201576C04005</t>
  </si>
  <si>
    <t>711c88c337ac50c99d3861fcebdbbe6ae727bba7e44456446ab970d3a103ca52</t>
  </si>
  <si>
    <t>201577B01005</t>
  </si>
  <si>
    <t>a37676bf4c896e24b26b44a564c7b2f350fba1aeac6de623a2908b57ca9d1c05</t>
  </si>
  <si>
    <t>201577C01005</t>
  </si>
  <si>
    <t>5dc58fdfaa0550666d5c0151fccc05f24ece89a1a28f021e11b657983cd9ee16</t>
  </si>
  <si>
    <t>201578B01005</t>
  </si>
  <si>
    <t>dc3f30fcf1adde55f517e1cefd422b5141dabaf6d034a9b78fa634cc1e3bd902</t>
  </si>
  <si>
    <t>201578C01005</t>
  </si>
  <si>
    <t>7e3fc3588b329ca2fde342a31beeba2a80d115bf212c15f981d6a0321c4c84f9</t>
  </si>
  <si>
    <t>201578E01005</t>
  </si>
  <si>
    <t>9342733112273d3659b09118b8fe563a7c951378867bb3618895ff0da0a774f6</t>
  </si>
  <si>
    <t>201578E02005</t>
  </si>
  <si>
    <t>dabfe1080ed88303db2da8c0b5efebe84197495141e91fbabfe7f053f3f0e88f</t>
  </si>
  <si>
    <t>201579B01005</t>
  </si>
  <si>
    <t>301a6b3d9d5e61cecb14af4353a97309507728a489cba4ede5e756ac596c3f27</t>
  </si>
  <si>
    <t>201579E01005</t>
  </si>
  <si>
    <t>fdcdc75b9bfd9204fe95394227b4461276747f169bba039ab9afaef68f698a3a</t>
  </si>
  <si>
    <t>201579E02005</t>
  </si>
  <si>
    <t>e75e94edb3e6edaed6980e737e0da69cce8d0476661265b73ffa9b847918e2fc</t>
  </si>
  <si>
    <t>201580B01005</t>
  </si>
  <si>
    <t>21678e02d8872432c58c6619d717e769525ca1583e637a29acab15b473b7cf24</t>
  </si>
  <si>
    <t>201580C01005</t>
  </si>
  <si>
    <t>a5b87df117aade9eb1c47ea55c5ba4331d8d74f85f50696375b36392b9efbb74</t>
  </si>
  <si>
    <t>201580E01005</t>
  </si>
  <si>
    <t>74c556a2ec535c3fe1c3f6c815f4fecc1868cc991e011853fc51e0bd71ae973e</t>
  </si>
  <si>
    <t>201581B01005</t>
  </si>
  <si>
    <t>c40377bace5d25595f76f8fb3398e399970957bb0a9a6a71222c8f69ca16c8f7</t>
  </si>
  <si>
    <t>201581C01005</t>
  </si>
  <si>
    <t>187a0fdd1e8abfeced7552dd51c37c7e54978a6c3c6c838c00ae38b8eab756af</t>
  </si>
  <si>
    <t>201582B01005</t>
  </si>
  <si>
    <t>3bf9934be3ccaaf6a7992aacc5c9d1f19a610031d86f3fcf2aff2a892d99fc6f</t>
  </si>
  <si>
    <t>201582C01005</t>
  </si>
  <si>
    <t>55cf17d764b649d0e6f12f8ce9151923f6130140ae176f0f9c637df1e9afb0e7</t>
  </si>
  <si>
    <t>201583B01005</t>
  </si>
  <si>
    <t>d10cbfa951f28dd028417b0f5cc893970cd67deeac4ece9e26a0d204f8288f05</t>
  </si>
  <si>
    <t>201583C01005</t>
  </si>
  <si>
    <t>629e1bcbcb54716143815fb99c48967fe82c34ee3cec588329e2364f65ba9af3</t>
  </si>
  <si>
    <t>201583E01005</t>
  </si>
  <si>
    <t>e05f37a40f82ff3a395bf63fb85e96c31235da4179293ca9e4cfb2b37b0fd6d8</t>
  </si>
  <si>
    <t>201584B01005</t>
  </si>
  <si>
    <t>57c9375f41c486fd90fe15c6d6fb9237155335f227d734c1f9b334b9a90614d2</t>
  </si>
  <si>
    <t>201584C01005</t>
  </si>
  <si>
    <t>0c006b128e20fce4a72444bb3128e800dffe5db87b2a3244eecb1325dbc5e3ea</t>
  </si>
  <si>
    <t>201589B01005</t>
  </si>
  <si>
    <t>SAN PEDRO Y SAN PABLO TEPOSCOLULA</t>
  </si>
  <si>
    <t>cee19fbb11cab6b210781d48739b166b77124e81582c3b0b0682234aad9d9bc6</t>
  </si>
  <si>
    <t>201589C01005</t>
  </si>
  <si>
    <t>7f8037056ced9420fdbe73309626878013d42e26ff1469a2c7abb1aa37848bf2</t>
  </si>
  <si>
    <t>201589E01005</t>
  </si>
  <si>
    <t>95b7b3a32e465ac4af93568fde839f174021c580889a37338619ef6de7d31614</t>
  </si>
  <si>
    <t>201590B01005</t>
  </si>
  <si>
    <t>36a203b3545b327b6238462ee7b2f177c6588c8f43c896c4e5fd4a04f90f6079</t>
  </si>
  <si>
    <t>201590C01005</t>
  </si>
  <si>
    <t>b4fc0b9d6abc0866abf0a802e0460c4aec12ba3edd86ca9653d22d405d6384ab</t>
  </si>
  <si>
    <t>201591B01005</t>
  </si>
  <si>
    <t>9000bf083004f65c9bd78506b1f75e5e4fcae94afaef4e7c8039f30ac6111b37</t>
  </si>
  <si>
    <t>201592B01005</t>
  </si>
  <si>
    <t>8fa777a32ec8ad447bd61cc94c8b73b77d3039d92020e1386d8a7ee9d67c417d</t>
  </si>
  <si>
    <t>201593B01005</t>
  </si>
  <si>
    <t>c42a96270bf70faa4dfba586962062054582f7a3580ad405add2450ebe6bf188</t>
  </si>
  <si>
    <t>201609B01005</t>
  </si>
  <si>
    <t>SAN SEBASTIAN IXCAPA</t>
  </si>
  <si>
    <t>e065cc7832ee024b0a6414481478f2d18eb48a4e51340f32dd20ed95ceba0187</t>
  </si>
  <si>
    <t>201609C01005</t>
  </si>
  <si>
    <t>63232202b4c0b0663e63dd7359ab678aabdc60a979e6c539d37467858f8c6c52</t>
  </si>
  <si>
    <t>201610B01005</t>
  </si>
  <si>
    <t>047f886e7e89aa5c5de12253939d40dc43c427170f9c8cefe8c44e01bed3f2e7</t>
  </si>
  <si>
    <t>201610C01005</t>
  </si>
  <si>
    <t>9397d750751d55346593a5bcaf642587e3752c7b129992e7342dd9cdd78d6a4f</t>
  </si>
  <si>
    <t>201611B01005</t>
  </si>
  <si>
    <t>0991a96a3877e235cbf28ba89c5c260ac692d6a8851de2139b3ddb49338633dd</t>
  </si>
  <si>
    <t>201612B01005</t>
  </si>
  <si>
    <t>ced2b195eb13b62542668422f9ab3aa0467654f9dcf6b49d36fb069eeb41d8c0</t>
  </si>
  <si>
    <t>201612E01005</t>
  </si>
  <si>
    <t>9920c6c8bfe21a0ac67a4fad9a6465a882549c1f7a98374c89f9e824a600fb03</t>
  </si>
  <si>
    <t>201650B01005</t>
  </si>
  <si>
    <t>SANTA ANA ZEGACHE</t>
  </si>
  <si>
    <t>fcbcf34f5aa0fc21d2fbef52ab134f564aa09aca45cc0e61075870ef8b065e6b</t>
  </si>
  <si>
    <t>201650C01005</t>
  </si>
  <si>
    <t>a275ab5b3e685b0fb875bffc344d2dad923e12dbb351a7f273c7b3551b1dc167</t>
  </si>
  <si>
    <t>201650E01005</t>
  </si>
  <si>
    <t>901fed4e23a9ddc138d7f13a9e8604eab433c5b69da5aa1a575a56ea0d0e03ee</t>
  </si>
  <si>
    <t>201651B01005</t>
  </si>
  <si>
    <t>8d57a9dbb6acfe249fe62eaa8d7f70e3f6729332f91104239c994866fd2bd4b6</t>
  </si>
  <si>
    <t>201651C01005</t>
  </si>
  <si>
    <t>99f3d601ea83bfb117b418480fe9ff1955552d7550e63952e8cbfe0b036c1716</t>
  </si>
  <si>
    <t>201658B01005</t>
  </si>
  <si>
    <t>SANTA CATARINA JUQUILA</t>
  </si>
  <si>
    <t>073082dfeeddf646fe678f2b21e98dfc11e2f5c47c352c8d5802c75c6c62c90f</t>
  </si>
  <si>
    <t>201658C01005</t>
  </si>
  <si>
    <t>1deaa8245ea979869153bad4a31204d99c410c864a2bfeffcd3fb2ab29195db4</t>
  </si>
  <si>
    <t>201658C02005</t>
  </si>
  <si>
    <t>8700b7a83cd68d268d6a6ed8c116580de21d28d56b93444e4af1b635bc3de820</t>
  </si>
  <si>
    <t>201658S01006</t>
  </si>
  <si>
    <t>9761a92cd40833bea16ee131f838c04596dd73a46359bf235f1e21bdc21e3c66</t>
  </si>
  <si>
    <t>201659B01005</t>
  </si>
  <si>
    <t>602aee60e115ebaa58d622476d1c8d17f692a03bda929e2fbbcaa5693a49d3c8</t>
  </si>
  <si>
    <t>201659C01005</t>
  </si>
  <si>
    <t>c9c32dc657533c3e7964035586b9c8a9432a1282f83b9f1072f96e2faead08c0</t>
  </si>
  <si>
    <t>201659C02005</t>
  </si>
  <si>
    <t>2e73f87d21b4226473dc91d3fb12e6cb544248ce02aeafdba2a2673c57b15205</t>
  </si>
  <si>
    <t>201659C03005</t>
  </si>
  <si>
    <t>da88c3307559e352f17b1f37d0a56521f659ad1bcd73ae6eb6e2c6bb9c4c5d9d</t>
  </si>
  <si>
    <t>201659C04005</t>
  </si>
  <si>
    <t>604e56c7e68c898b135e47401d5f2aaa49730313c8a4aee7a37a3d4d29c103bf</t>
  </si>
  <si>
    <t>201659C05005</t>
  </si>
  <si>
    <t>b83b8beab73bbd66508593b046cf1d7365ae8363d7bc0fea1c6f9e0952b3da71</t>
  </si>
  <si>
    <t>201660B01005</t>
  </si>
  <si>
    <t>62b9ab2ded0c6faef0fffbfee8f5506292cfa493ca0cd292c2ed44e412891fd9</t>
  </si>
  <si>
    <t>201660C01005</t>
  </si>
  <si>
    <t>c456875d09af1b1109291a290edb7f0b268b86b3a03fe31c804b4825590b9b90</t>
  </si>
  <si>
    <t>201660E01005</t>
  </si>
  <si>
    <t>389288aa793969e9dd9bd5454420f9e0044d7f4c40c96cc3cf1322953eef376a</t>
  </si>
  <si>
    <t>201661B01005</t>
  </si>
  <si>
    <t>bae2fd65089b536c5814a475d7c466a1da8dfe3c58b51cbf860bf2ea551e093f</t>
  </si>
  <si>
    <t>201661C01005</t>
  </si>
  <si>
    <t>860b7ed124f914b3b0b80a584d70fc900e7f5ce44af51f139330d2323602622f</t>
  </si>
  <si>
    <t>201662B01005</t>
  </si>
  <si>
    <t>30a2c393f6ea66b0def2fe3c0b6abf658fd071122fa71eda81a4c132ee37698d</t>
  </si>
  <si>
    <t>201662C01005</t>
  </si>
  <si>
    <t>bc66dfd5d0c0574c50597597f3eacbef35195ad0661e625d094d5d668b210fa7</t>
  </si>
  <si>
    <t>201662E01005</t>
  </si>
  <si>
    <t>063a5fa81f30920c35e6f9afc438e9b1b6b6323023488e7bd2ee57c2975bfa7e</t>
  </si>
  <si>
    <t>201663B01005</t>
  </si>
  <si>
    <t>8b2ca8022256cc284f41ef7b304c9ffea0400f0c59767ee301f3bad3f60cf48e</t>
  </si>
  <si>
    <t>201663C01005</t>
  </si>
  <si>
    <t>3643ddf10d10b2d800bf0869547f4baf068c61fc4c9b73f3fb0cd5d52a66c1eb</t>
  </si>
  <si>
    <t>201663E01005</t>
  </si>
  <si>
    <t>d95b2d6c904313b9166a7031da388e6025a2b91ac13dac3ceaa565c06af6625b</t>
  </si>
  <si>
    <t>201663E02005</t>
  </si>
  <si>
    <t>a900cfe1e6bef4263b7cc682bcff77afca9a466d433950d6299eb4e9080a9f3c</t>
  </si>
  <si>
    <t>201664B01005</t>
  </si>
  <si>
    <t>314092e42f7549415b4ffdd79469a43b7563d33767996dadb5ac8f5e2d86762b</t>
  </si>
  <si>
    <t>201664E01005</t>
  </si>
  <si>
    <t>3936b5ac356401817b6c2a7c89e8b5fbf75379a87835b727bd0d93620e33bb24</t>
  </si>
  <si>
    <t>201686B01005</t>
  </si>
  <si>
    <t>SANTA CRUZ AMILPAS</t>
  </si>
  <si>
    <t>628cd68ae9fffce24911dacf54d71a283799e2d51abb8221dcb99855d7d4af33</t>
  </si>
  <si>
    <t>201686C01005</t>
  </si>
  <si>
    <t>567ab89176ee4f5ab7e9462da312ab1138fa513548cbf8af45ab8cbcf492172b</t>
  </si>
  <si>
    <t>201686C02005</t>
  </si>
  <si>
    <t>0b5ebcad3e457d4ffa83632f536dcaa645b8b91bc82c580631238501f94806cf</t>
  </si>
  <si>
    <t>201686C03005</t>
  </si>
  <si>
    <t>e2cbb8ef3d7762cd66d93dd0fa7f5bb4822e12c6aba625342ccfe803107e5ce5</t>
  </si>
  <si>
    <t>201686C04005</t>
  </si>
  <si>
    <t>9dd8029370eff46f5fad4214ea9de5e8c250ad0a55503f0947ad55b509f57c76</t>
  </si>
  <si>
    <t>201686C05005</t>
  </si>
  <si>
    <t>59077ceba0984954163e470644765a4d3894e9bc87a50d63afc50c875dd7e854</t>
  </si>
  <si>
    <t>201687B01005</t>
  </si>
  <si>
    <t>37104aa1677ddd48aa0be842cc8eafc2a08daa360a7b81eb24befc6f29aa6d14</t>
  </si>
  <si>
    <t>201687C01005</t>
  </si>
  <si>
    <t>4cb0e83f6f758337502220bfa201882695c2c2fa7fd35d8d78dfaca511ac5e65</t>
  </si>
  <si>
    <t>201688B01005</t>
  </si>
  <si>
    <t>f95eb03c06685b1f5d3bcaa0938f125b49c54ba72df172e87f536616b7e2fbc6</t>
  </si>
  <si>
    <t>201688C01005</t>
  </si>
  <si>
    <t>23f0587ce6a0803a689a5e93e60201ee91f327e37125f7a5e1659bf877e84811</t>
  </si>
  <si>
    <t>201688C02005</t>
  </si>
  <si>
    <t>3a5223f8e1af3c61f1a559ae36b7398f626f71973f65810fb4275c124dc1e304</t>
  </si>
  <si>
    <t>201688C03005</t>
  </si>
  <si>
    <t>02d32569328bb99a0e57145a88f1e3afc0f8aaa8f897ea5c1778fe2169acfe64</t>
  </si>
  <si>
    <t>201689B01005</t>
  </si>
  <si>
    <t>b02d92dcdf9088275108514c90a6475366960874d6792169ab6d67794b38a05a</t>
  </si>
  <si>
    <t>201689C01005</t>
  </si>
  <si>
    <t>29f3eae02c1c19a2a0ca0179a4b6bb2be154a6ca820e17f8afa1a18b6298e29d</t>
  </si>
  <si>
    <t>201691B01005</t>
  </si>
  <si>
    <t>SANTA CRUZ ITUNDUJIA</t>
  </si>
  <si>
    <t>10516fdb85e398d6b20cd41c680c508c6473cd16999c71c418c9b0ffd1b1244c</t>
  </si>
  <si>
    <t>201691C01005</t>
  </si>
  <si>
    <t>1b1bb1f4ff17c194b94d89ccacae956b8f8dee323e19609540ad12035c113339</t>
  </si>
  <si>
    <t>201692B01005</t>
  </si>
  <si>
    <t>f48bca9214280806d092bf2521fd645b4a00fd84f1b29f30efe0395f06a4c43e</t>
  </si>
  <si>
    <t>201693B01005</t>
  </si>
  <si>
    <t>904c2eeb012747dd57730261608e6df45c9b744cb5ce36e162c563d36866c2b6</t>
  </si>
  <si>
    <t>201693E01005</t>
  </si>
  <si>
    <t>19a53e6066f6e503953f0798a27a27cafca8f0518fa341b8e4bac035dcee92ea</t>
  </si>
  <si>
    <t>201694B01005</t>
  </si>
  <si>
    <t>a7c734fcfc794eff28d3b496d0e8a24c9204fbffb56aae3096d1cdb69dc7a91a</t>
  </si>
  <si>
    <t>201694C01005</t>
  </si>
  <si>
    <t>5f221b28ddb4d779f49147a77c788a205b76072709ed2c2fa240a5184fd790ba</t>
  </si>
  <si>
    <t>201695B01005</t>
  </si>
  <si>
    <t>5a9d87fd6ce73ecec692973238829f6d21c435c646ebe043901370cf017d3208</t>
  </si>
  <si>
    <t>201695E01005</t>
  </si>
  <si>
    <t>c1c7ed2827d30d88858c017ca81041c8ac779b52b7ce195972006c9488052ec9</t>
  </si>
  <si>
    <t>201696B01005</t>
  </si>
  <si>
    <t>418bf35e86546eabb5a48fdfcd8f467688d0054bf5ea346a7c1d364449a817e8</t>
  </si>
  <si>
    <t>201696E01005</t>
  </si>
  <si>
    <t>f5ea23dd1bc5f35c70b543fcb1372640a805e9721083fea8569c55c4beb6aa8a</t>
  </si>
  <si>
    <t>201697B01005</t>
  </si>
  <si>
    <t>e9c7b0cef997fbfe938c571553cde40c31774d3115e0e85b9bb5b3b4aa73864d</t>
  </si>
  <si>
    <t>201697C01005</t>
  </si>
  <si>
    <t>adaf8cd4612da854878a9c7292e57aed44c6d80ef798407cdcd12851224136c3</t>
  </si>
  <si>
    <t>201698B01005</t>
  </si>
  <si>
    <t>bc252f6ac14d3bb8112d0e202b17bae0c9450c716c6f147f548f4166b3b7572a</t>
  </si>
  <si>
    <t>201698C01005</t>
  </si>
  <si>
    <t>6c6354997528eb2ca1bdc8c121b1023d43a4eafacf593e742e6f97ba68f3f5a4</t>
  </si>
  <si>
    <t>201698E01005</t>
  </si>
  <si>
    <t>7d697bf8e02161fbf227fc17bd6936242e44e8f7435c3fe56eb36f2235df7a6a</t>
  </si>
  <si>
    <t>201704B01005</t>
  </si>
  <si>
    <t>SANTA CRUZ TACACHE DE MINA</t>
  </si>
  <si>
    <t>38af0515a128627db73f78154169b59097ea2501e7908d5d699032b4cc386f9a</t>
  </si>
  <si>
    <t>201704C01005</t>
  </si>
  <si>
    <t>01d8a53b8550ffaa205f6582173ebe6da964fc81a4aeea09e252faf8c51ad2b4</t>
  </si>
  <si>
    <t>201705B01005</t>
  </si>
  <si>
    <t>220dfdb0609ce492482b392c11d228bb513006127b63198c64b1bf8ada243e7f</t>
  </si>
  <si>
    <t>201705C01005</t>
  </si>
  <si>
    <t>0c9654d80609acceaf978fc8a8c38365b88a362677d040c73de05bcbedc05b75</t>
  </si>
  <si>
    <t>201706B01005</t>
  </si>
  <si>
    <t>d40178e78bc2cdb4c49901d99b8d991390db35c5faef4215959d9ef3322508b9</t>
  </si>
  <si>
    <t>200037B01005</t>
  </si>
  <si>
    <t>SANTA CRUZ XOXOCOTLAN</t>
  </si>
  <si>
    <t>7de6f2749c100af12728cf045eda3c57040dfbdccfe9e5690ab649024e8cefb6</t>
  </si>
  <si>
    <t>200037C01005</t>
  </si>
  <si>
    <t>e1918b42a35c2e597205ac380a8b8407586808424d9137e79b77d94368f4f8c9</t>
  </si>
  <si>
    <t>200037C02005</t>
  </si>
  <si>
    <t>e2d84ffa9a51ca75c4866197c61303817e488d948f617505692f61a4ce735ff9</t>
  </si>
  <si>
    <t>200038B01005</t>
  </si>
  <si>
    <t>c349c873d57cc2d16081126a780af18b9801b53276b78d1b8bef3da8c28ac3e8</t>
  </si>
  <si>
    <t>200038C01005</t>
  </si>
  <si>
    <t>72482efa4f5907377d5c38f31aa8b21032c31c006a09d15979171750555dc913</t>
  </si>
  <si>
    <t>201712B01005</t>
  </si>
  <si>
    <t>2aa075007c55f4dcf31494bea68c980711c016b0b04f0b8bb928f3675733ae84</t>
  </si>
  <si>
    <t>201712C01005</t>
  </si>
  <si>
    <t>fb2a30935f2b23336c1e380cbc2d172b21252b43432ed61e5b16d235df861961</t>
  </si>
  <si>
    <t>201713B01005</t>
  </si>
  <si>
    <t>48c4b4fd0696501e66c92f4098d74b989f691e76c133e005554a181134958ccc</t>
  </si>
  <si>
    <t>201713C01005</t>
  </si>
  <si>
    <t>c991497de8e32504cdec07017f20c30d1fb9e85fa489a8774ada7bce5858d588</t>
  </si>
  <si>
    <t>201713C02005</t>
  </si>
  <si>
    <t>8525b8fe4d876cbeb4c5b63e93494cc4849f855d6316d5bb7ff822fc4ca51a33</t>
  </si>
  <si>
    <t>201714B01005</t>
  </si>
  <si>
    <t>d6d78ff36eb279bb942447b9a52508be32fc9ca1f80fba308158ee1885ba3c17</t>
  </si>
  <si>
    <t>201714C01005</t>
  </si>
  <si>
    <t>55c37b586953d9498889e0db2fe1f0322d57ca55c55637aff389441d6c2923ae</t>
  </si>
  <si>
    <t>201714C02005</t>
  </si>
  <si>
    <t>ddb20135a87da8b944959dc6d4d33c97f7ac879ae43ec1edcf6f5e260bec92c3</t>
  </si>
  <si>
    <t>201715B01005</t>
  </si>
  <si>
    <t>fbe62415ebf402eb1cb2083d8396335f7ddf7f21bd3a2b5af444e8b41f926e2d</t>
  </si>
  <si>
    <t>201715C01005</t>
  </si>
  <si>
    <t>712f66eaa258101139d8532d3fbb451c0e7c77495a3391963a7ddb4b713f3a7e</t>
  </si>
  <si>
    <t>201715C02005</t>
  </si>
  <si>
    <t>1cf9434de59cc96c8fbe3d63a2649f375dc9447cbef1d5104002982a18b37fa2</t>
  </si>
  <si>
    <t>201716B01005</t>
  </si>
  <si>
    <t>890ef24ff809e6cae92e9c10475d758d7dc009fc7a8ae3798b44711fd9d8874c</t>
  </si>
  <si>
    <t>201716C01005</t>
  </si>
  <si>
    <t>79ac22593a3bfed0778373bcfc1317be3b381b5f9776f87e3a097b0cba1ab05e</t>
  </si>
  <si>
    <t>201716C02005</t>
  </si>
  <si>
    <t>ee67109531177a8bfee437bc1c66266f1e1078663f3ad4a4b61579b27fc523eb</t>
  </si>
  <si>
    <t>201717B01005</t>
  </si>
  <si>
    <t>d99d35c45efe7e4937f9fe40c6d65e0586a8cc90a441187201e0e178cbb1dd7f</t>
  </si>
  <si>
    <t>201717C01005</t>
  </si>
  <si>
    <t>236c1681c744c333c409399d6155e811374a2c54271931b91f1a6ad000a04b15</t>
  </si>
  <si>
    <t>201717C02005</t>
  </si>
  <si>
    <t>38db823c3668485276b230da876052bfc7d55bdf734b276a8adbba2b2d61fd69</t>
  </si>
  <si>
    <t>201717C03005</t>
  </si>
  <si>
    <t>d54924b6bd8ff19756260fa3351d47643d2407e4a68f5f2637d399e13b920b07</t>
  </si>
  <si>
    <t>201718B01005</t>
  </si>
  <si>
    <t>dee227f9ffc7c06c3685f061d3583b51f9c685ea557b6d60d51ab8ead2599c02</t>
  </si>
  <si>
    <t>201718C01005</t>
  </si>
  <si>
    <t>4ced7c8b09e148fac0089c23df82d2748c0c6ae07144ed6e3acc3189c9e3835a</t>
  </si>
  <si>
    <t>201718C02005</t>
  </si>
  <si>
    <t>bd565b7c71039772d4ff4697242d7367db49b4285c4673cd6d9ea696957e7b8c</t>
  </si>
  <si>
    <t>201718C03005</t>
  </si>
  <si>
    <t>3ea27cbca6ca69701a3f3c3b472664676f7497ba7fdf40181108c53e75e1e3e5</t>
  </si>
  <si>
    <t>201718C04005</t>
  </si>
  <si>
    <t>4799d515c978fb55eb39adfa7bc3ae9d38a56dfc115eb15196479944fdfce046</t>
  </si>
  <si>
    <t>201718C05005</t>
  </si>
  <si>
    <t>ef36176bc3ede447380b9178ccd445decd4d12425e1f7e4cbf79119912a5a353</t>
  </si>
  <si>
    <t>201718S01006</t>
  </si>
  <si>
    <t>4341139e367a7730ccbc1d5e97fad15712f5621990b94373b1d5f9fbc22a32c2</t>
  </si>
  <si>
    <t>201719B01005</t>
  </si>
  <si>
    <t>ff6ab8f9085a5ab6a03dff6659ead437e69748eb823a24d0910638ed81cbe7c7</t>
  </si>
  <si>
    <t>201719C01005</t>
  </si>
  <si>
    <t>8d4ac8d1de4832edd82d2e8fa99e3820fbe7513c15b60420271e31f9998bba04</t>
  </si>
  <si>
    <t>201719C02005</t>
  </si>
  <si>
    <t>137f5de3433770652633ecb092abec6de439559aa48af9507adfb0df9c911aaf</t>
  </si>
  <si>
    <t>201719C03005</t>
  </si>
  <si>
    <t>b2eb672b285147e3ed13004dd1477845a68b356150fec1caa4b0f67b731578e0</t>
  </si>
  <si>
    <t>201720B01005</t>
  </si>
  <si>
    <t>a4901ea5c17acc338fed78d60f30d2c82f2dd770b00459b0af55849febfee05d</t>
  </si>
  <si>
    <t>201720C01005</t>
  </si>
  <si>
    <t>90145bfe9801dfdf2a578b451b3ec21761451bf7f514d2afb251649747068bbb</t>
  </si>
  <si>
    <t>201720C02005</t>
  </si>
  <si>
    <t>4a80df16e5d499e7783e7befbe4d0088428b2787c68e0753de322112d618532a</t>
  </si>
  <si>
    <t>201720C03005</t>
  </si>
  <si>
    <t>fff09a9044f3651340dd92f7a0733908a0eb7062f5ec591737f76d1c38ce442f</t>
  </si>
  <si>
    <t>201720C04005</t>
  </si>
  <si>
    <t>f1b4e057556d99992cf4c5ece0c76acabdf74ff487ecdea48e46f7799446b66f</t>
  </si>
  <si>
    <t>201720E01005</t>
  </si>
  <si>
    <t>ce5ef3807720a03cf8084ec0fea5b251df189a1a1fc81b9b809212214b1a0634</t>
  </si>
  <si>
    <t>201720E01015</t>
  </si>
  <si>
    <t>e032241b95e1a1f4666b9524265f7c3ca3b15f4f8a2ffea4c44a3e36153e76f6</t>
  </si>
  <si>
    <t>201720E01025</t>
  </si>
  <si>
    <t>efcf700715140539bf48a7f8658af6219816a178f6ce2032b6001a9aeb9c56ac</t>
  </si>
  <si>
    <t>201720E01035</t>
  </si>
  <si>
    <t>b2916142ad79b2a0d3d816215b4f35c1ddca1aaebe387f22e4143fa3f13ceb0b</t>
  </si>
  <si>
    <t>201720E01045</t>
  </si>
  <si>
    <t>4af0a65d95e6efc2d9e3aeb216f164ba5a5f73ec2d10264d01305900d7a19eb6</t>
  </si>
  <si>
    <t>201721B01005</t>
  </si>
  <si>
    <t>e22861d633dccaadc9aa86ce0b6fa81ed031c051adc276a80f3a4ff0aacdabba</t>
  </si>
  <si>
    <t>201721C01005</t>
  </si>
  <si>
    <t>78bc74db631694b9f065209183251980d1a6a16d1bd3d1bf993e667d2c3eec36</t>
  </si>
  <si>
    <t>201721C02005</t>
  </si>
  <si>
    <t>2923dd29a73c799db06891068e33bbda8c7a77f5cdbf0de16abbbc2d5aed1e7b</t>
  </si>
  <si>
    <t>201721C03005</t>
  </si>
  <si>
    <t>bb627f2258f6f2926c7fe19b2de269fe479ac038ad04f8b200d05461657612bf</t>
  </si>
  <si>
    <t>201721C04005</t>
  </si>
  <si>
    <t>d36985a1a7bda3934a3f8ee133f7ea8902912523b74a9690017c7fa28c9a488d</t>
  </si>
  <si>
    <t>201722B01005</t>
  </si>
  <si>
    <t>ae6dccf1e218472d5f43fada7b2f034b522f5e3080640aae6623accd7ed76bc7</t>
  </si>
  <si>
    <t>201722C01005</t>
  </si>
  <si>
    <t>51cdb5f81e98998195e662e53cc5957ac56b09f2a6234e1c694057936b6ebb78</t>
  </si>
  <si>
    <t>201722C02005</t>
  </si>
  <si>
    <t>fba47ddf2d16451abc4f9696d97e396b1c1a1310a2d75837195ef1924e974604</t>
  </si>
  <si>
    <t>201722C03005</t>
  </si>
  <si>
    <t>1b591f0bf836ad5d9c6460653e3f3c5805dc7827f8b7a49182f57b9370aa26db</t>
  </si>
  <si>
    <t>201722E01005</t>
  </si>
  <si>
    <t>672304da2f8b7049b7b4794cf5e5096367e92e702a1ad7632f135f5a322b205b</t>
  </si>
  <si>
    <t>201722E01015</t>
  </si>
  <si>
    <t>501171346fc598558a15e8786d1ac42f274722e680e7b186532dd766990977b9</t>
  </si>
  <si>
    <t>201722E01025</t>
  </si>
  <si>
    <t>aa7cab8ed29b41ee7ef27309c41c0b8061c595f26a95c4e8d680cba72fbc0140</t>
  </si>
  <si>
    <t>201722E01035</t>
  </si>
  <si>
    <t>49b260468e425f41d80e4573d5e2cc29e08381106903e2b1618ec57215766a8f</t>
  </si>
  <si>
    <t>201722E01045</t>
  </si>
  <si>
    <t>7f5607ddce49d63a76a7f3c23d9cf66498755e625025013e02ece927a3c11a9c</t>
  </si>
  <si>
    <t>201722E02005</t>
  </si>
  <si>
    <t>60af2b946f9adfae8342c4c7b6018eb90f7463fc9674f6e2662ba05232c38bc5</t>
  </si>
  <si>
    <t>201722E02015</t>
  </si>
  <si>
    <t>f69b087201d53b1ef62d0e4f620239ae2ea785e611c9a4093de33a5cf2c8c838</t>
  </si>
  <si>
    <t>201722E02025</t>
  </si>
  <si>
    <t>edd8b6dfb6f60f1ef7d748102fdf16fecc02ae63702c50f9214c1c58ec02f9ae</t>
  </si>
  <si>
    <t>201722E02035</t>
  </si>
  <si>
    <t>8833c9fd26d66ef2545af82089f5961648170976d9f7668e3eba26f7821d2f7c</t>
  </si>
  <si>
    <t>201723B01005</t>
  </si>
  <si>
    <t>61f0c5ede4788f9e5600226615507e3867e6975e772c1c9d165648513afe7b57</t>
  </si>
  <si>
    <t>201723C01005</t>
  </si>
  <si>
    <t>2e11a22a5dfc7c3ec0babbc1313eb0f060276e4258c32f2643fd70edaa491f22</t>
  </si>
  <si>
    <t>201723C02005</t>
  </si>
  <si>
    <t>2563d544f8a5a854da89d7eff3bd815921d3fc288498ecdcf4d90c9875b032b1</t>
  </si>
  <si>
    <t>201723C03005</t>
  </si>
  <si>
    <t>f27fd215b09d44c00e554b53ececb75ffae4bedc6a1b56b1a208d49fe4491d74</t>
  </si>
  <si>
    <t>201723C04005</t>
  </si>
  <si>
    <t>ff31a7f99b2fcf2b1dff61b7c0e07c3537cc1193df42aad988d75c073c81aec4</t>
  </si>
  <si>
    <t>201724B01005</t>
  </si>
  <si>
    <t>cf1d60a885422cd7abed6121d3d0b0fdbfabb7d14f10fd970fa548473ac7a378</t>
  </si>
  <si>
    <t>201724C01005</t>
  </si>
  <si>
    <t>23afdd60bcca0751accc571c5cb2f15274627df557ef31c628a5c2ef96a59ee0</t>
  </si>
  <si>
    <t>201724C02005</t>
  </si>
  <si>
    <t>4b8cdc98cdd481b6d78c8609f69f419348a1cffee28e334283533cadca16f148</t>
  </si>
  <si>
    <t>201725B01005</t>
  </si>
  <si>
    <t>f7c67d59d10b03afed623a12c5bdd21d5b26ebff40b5c597c349015b83581c7d</t>
  </si>
  <si>
    <t>201725C01005</t>
  </si>
  <si>
    <t>205db85310c26d1eedc254e2ea5c37477c8adc40014710afe4c8fa0153cfe676</t>
  </si>
  <si>
    <t>201725C02005</t>
  </si>
  <si>
    <t>3e66aec87820cf1dc4a62061f59be93484052fdc16016b2bf06177c73782b01d</t>
  </si>
  <si>
    <t>201725C03005</t>
  </si>
  <si>
    <t>a29632a625b47cee3092845093d6de3128fce8f1b2902da24671e09afcfde6a6</t>
  </si>
  <si>
    <t>201725C04005</t>
  </si>
  <si>
    <t>c5992e7b0b3918da49e56a4a8193aa5a0986c1e8c292759ce43305e688255f5f</t>
  </si>
  <si>
    <t>201726B01005</t>
  </si>
  <si>
    <t>16a09b4a2a2b6455b99212625f111209d147654871494a5d59b12245a4bd8309</t>
  </si>
  <si>
    <t>201726C01005</t>
  </si>
  <si>
    <t>3693d0747fe6effdce842526a4f6778f7089b1e6cf5d9f9c3209a8cf76562136</t>
  </si>
  <si>
    <t>201726C02005</t>
  </si>
  <si>
    <t>9aaed691201546500461f647496f837f3001f8d0f5d0310406e088c580943f8b</t>
  </si>
  <si>
    <t>201726C03005</t>
  </si>
  <si>
    <t>d5d1fa5be401a4face8bc8dc6ab455d40b329ee9456dc5dc052838b2cf394e3e</t>
  </si>
  <si>
    <t>201726C04005</t>
  </si>
  <si>
    <t>86487539212cce86bc4c482a6eed3c50df4c76e6b8b633b8f4b9fbde947743ce</t>
  </si>
  <si>
    <t>201726C05005</t>
  </si>
  <si>
    <t>3bee7b13a5e102f1698a88a78ca449df69b59f006e7c531805f78221b4fe383e</t>
  </si>
  <si>
    <t>201726E01005</t>
  </si>
  <si>
    <t>2db8e95d4cce32425aab523ce1634d2ad4781592a8b27ebd2195f6d717e0c5a5</t>
  </si>
  <si>
    <t>201727B01005</t>
  </si>
  <si>
    <t>d6af3d5717b7fd3615483e76b7b74c72b531e500a4a17edaba58880b83daabf8</t>
  </si>
  <si>
    <t>201727C01005</t>
  </si>
  <si>
    <t>bf6c9d57e83f92fb192f92a4ac1fcbdf1c89e5b0b586e157a4ce76acb165ed80</t>
  </si>
  <si>
    <t>201727C02005</t>
  </si>
  <si>
    <t>e724c4ad9d1df15796d58d0b448e4ee8b3254b68d2ac3ba180aa40a96a2c3280</t>
  </si>
  <si>
    <t>201727C03005</t>
  </si>
  <si>
    <t>63f9bee5c531b236661b2d5ed9a3651c145687ff3b4578e38d128d07db5a46a1</t>
  </si>
  <si>
    <t>201727C04005</t>
  </si>
  <si>
    <t>827de614b2a58240a53a99e648d1db51d9e725384be6c8424c5b3aa4ffa4911a</t>
  </si>
  <si>
    <t>201727C05005</t>
  </si>
  <si>
    <t>538ceb07c49c9bfd873cf0e7ad56dfd2b1a6b4871f89e1210fc46d68b589ee66</t>
  </si>
  <si>
    <t>201728B01005</t>
  </si>
  <si>
    <t>973e9e0555e462e0ae71e5689fc7a0cfdda2197bced6501f6cbd8ba75e2f2fb9</t>
  </si>
  <si>
    <t>201728C01005</t>
  </si>
  <si>
    <t>c9de3186bb080dfd3999d512b68e5c243bcaceb726b7677cd3a948f89d6921f6</t>
  </si>
  <si>
    <t>201728C02005</t>
  </si>
  <si>
    <t>d0957ad3ec060ca0240c6f40edbe64a390f73667f362c326762cd936b4fd4113</t>
  </si>
  <si>
    <t>201728E01005</t>
  </si>
  <si>
    <t>505f9ed03926266c3a5607f80b348b336a472f99469cf221ed6a796b39d3c0cb</t>
  </si>
  <si>
    <t>201728E01015</t>
  </si>
  <si>
    <t>2612232ba9ae4154fc4cdb7ee64ecaeb0713528f964633006e296461b265a354</t>
  </si>
  <si>
    <t>201728E01025</t>
  </si>
  <si>
    <t>1b35250f39749ffacac632a616f3daa6ec9f6f119e1fda2c32360e502dd180b1</t>
  </si>
  <si>
    <t>201728E01035</t>
  </si>
  <si>
    <t>4905d8972f207cddbc9e6500904027d0860069fd2121fbe4403d5c0021db2bfd</t>
  </si>
  <si>
    <t>201728E01045</t>
  </si>
  <si>
    <t>a50e4acd3b7fb4bcaf8fd38e0f45ff1bdcbcfb1e8116e0aa7024eb619a024220</t>
  </si>
  <si>
    <t>201729B01005</t>
  </si>
  <si>
    <t>4c9e49f143bc130f6400c2a4db1d93733f2b50848cde5c2b3d8055486f105497</t>
  </si>
  <si>
    <t>201729C01005</t>
  </si>
  <si>
    <t>812703d8b4dd5e120b2fb5b19b062e64606f90464824a23a0bc0f6eeb2a1dd4f</t>
  </si>
  <si>
    <t>201729C02005</t>
  </si>
  <si>
    <t>f57e49d603f4cda1394d5311e665989c2fafa8099fc216a013f4f3865fba8087</t>
  </si>
  <si>
    <t>201738B01005</t>
  </si>
  <si>
    <t>SANTA GERTRUDIS</t>
  </si>
  <si>
    <t>9697254df490e3ee66ed2e8702d5d48ab845d811b8a3491f02789a23be4b3510</t>
  </si>
  <si>
    <t>201738C01005</t>
  </si>
  <si>
    <t>65ec823f83bb471e363d19f090934e60f908913fc6baf661ddaf10e119660c9b</t>
  </si>
  <si>
    <t>201739B01005</t>
  </si>
  <si>
    <t>8304c709bce057fc7c1034067433154358389df041f262ac9306a82f9091163d</t>
  </si>
  <si>
    <t>201739C01005</t>
  </si>
  <si>
    <t>9b48f007f154d79bb51c1c16bb0da7ad953a490e7f6cc8c59d65f57d539c305e</t>
  </si>
  <si>
    <t>201740B01005</t>
  </si>
  <si>
    <t>b732dfd60ae374964ac509ef81bfd88ac7f1c861062bfcd574b7b7f0f2ddd6fb</t>
  </si>
  <si>
    <t>201746B01005</t>
  </si>
  <si>
    <t>SANTA LUCIA DEL CAMINO</t>
  </si>
  <si>
    <t>091148f6be7b351312f86cdbc57b05630902e742d676d926ec6e19bb00d547cc</t>
  </si>
  <si>
    <t>201746C01005</t>
  </si>
  <si>
    <t>0cd1b963f91ed39c7b47b0f87d7690cf115e3ace638d4fa87224e83f342864ed</t>
  </si>
  <si>
    <t>201747B01005</t>
  </si>
  <si>
    <t>40bca56edb39137c813a0a33a2cf035ea3f3adc094886cd4d1e8498cde1dd303</t>
  </si>
  <si>
    <t>201748B01005</t>
  </si>
  <si>
    <t>0b39b51d95ff92090e142335cc6ae35afc24ba5ab8a4c3067e627a232bb2783a</t>
  </si>
  <si>
    <t>201748C01005</t>
  </si>
  <si>
    <t>91fa89e05a0555fed280d51817858af2ade8816a4586eb9d1932505f7a087d75</t>
  </si>
  <si>
    <t>201749B01005</t>
  </si>
  <si>
    <t>98dfc030ba9295f2d9c13c4bd5e20eb3e4d2237d7ef74e60edf083c6a5964a12</t>
  </si>
  <si>
    <t>201750B01005</t>
  </si>
  <si>
    <t>c579017968d1d0feba5d151aac977384b4e8502bf2207ac3e54c849dd15ad611</t>
  </si>
  <si>
    <t>201750C01005</t>
  </si>
  <si>
    <t>8b02e605319a38ce071100683f46b2de6b1d705190b4f305bd4da625c9bca1be</t>
  </si>
  <si>
    <t>201750S01006</t>
  </si>
  <si>
    <t>2fa3b4d674fa2aef51c934d92439f100105ad99da1f9b62f8f79df5cc8b7fe22</t>
  </si>
  <si>
    <t>201751B01005</t>
  </si>
  <si>
    <t>4c4f3f48d9e30f05722fa05a03f484cfe1bb8b3c9be6fc76d9bb91fe93dd98e9</t>
  </si>
  <si>
    <t>201751C01005</t>
  </si>
  <si>
    <t>841af572664dada2879cc455d7ae167c9762644c9e81719a43393e559a8c4ba8</t>
  </si>
  <si>
    <t>201751C02005</t>
  </si>
  <si>
    <t>7ad7a76eec910c52eeb22c0e0f50c307e4425267049c10e1a5806965d84a187e</t>
  </si>
  <si>
    <t>201751C03005</t>
  </si>
  <si>
    <t>aaf53e556273cecff2605e7bac15c4f661780bf9057e3c20e058ed19aab33ce4</t>
  </si>
  <si>
    <t>201752B01005</t>
  </si>
  <si>
    <t>d1d663f3cee02629dd2dff49f00920673f5266bc2d9ceefdd86028ae9f74c14b</t>
  </si>
  <si>
    <t>201752C01005</t>
  </si>
  <si>
    <t>41338c50405eac820bd6cb726a65e4833c652a6ccd70bc461c632392d7532d0f</t>
  </si>
  <si>
    <t>201753B01005</t>
  </si>
  <si>
    <t>4a09aeeb70993939d56a32f5a013d33c1e1db155b50079368984b5960e0b900f</t>
  </si>
  <si>
    <t>201753C01005</t>
  </si>
  <si>
    <t>5082dfcc59b14906cbc21a2290130a2afdd458f34a390cd239c9d0da75bf7b49</t>
  </si>
  <si>
    <t>201754B01005</t>
  </si>
  <si>
    <t>1a56b7777ff149e6908d46a173e04bee3b9eec8011a8e02e08e2bbc5fec3a652</t>
  </si>
  <si>
    <t>201754C01005</t>
  </si>
  <si>
    <t>468aceef3e955f2b0f475e80ad46d2f1529cad80ac0a17b31fcaf44e55ccae95</t>
  </si>
  <si>
    <t>201755B01005</t>
  </si>
  <si>
    <t>d597c7f858566043bfd0a9f276400db24057106a327d8bab22093d9dea593267</t>
  </si>
  <si>
    <t>201755C01005</t>
  </si>
  <si>
    <t>de798d6956c3af85e0fda4f6db584aa45d14454d2927ea3331d452ff8fc1bd2c</t>
  </si>
  <si>
    <t>201755C02005</t>
  </si>
  <si>
    <t>6af5807d6392c3a16e58119c7ed1097fb06ff426386457060957b2333d6dcdb5</t>
  </si>
  <si>
    <t>201756B01005</t>
  </si>
  <si>
    <t>23c6346bd9e2af294c5158d2606e0643b3fa27ced582ddf3d4de6e2f44f490f1</t>
  </si>
  <si>
    <t>201756C01005</t>
  </si>
  <si>
    <t>562ffec4ca822555413242b1da61cc26375ad06ca016ee983211cdd21f294b1d</t>
  </si>
  <si>
    <t>201757B01005</t>
  </si>
  <si>
    <t>8528f9ffde96d29e068b28fcc0661635345c7c3e641c81b6b82eb9f87f428c81</t>
  </si>
  <si>
    <t>201757C01005</t>
  </si>
  <si>
    <t>9fc4c64090f87e1722f3af4f6fa367d3e51a5c73731f29772ffecc3de0328c51</t>
  </si>
  <si>
    <t>201757C02005</t>
  </si>
  <si>
    <t>00e278d22d4c2320516c8f09ca3686d73ec3b054db4b832c5dc1b5ca82d4248a</t>
  </si>
  <si>
    <t>201758B01005</t>
  </si>
  <si>
    <t>e2ba0bec0492825557280acceba4c3eb649d7a43738c3ad72aed5cefa0158637</t>
  </si>
  <si>
    <t>201758C01005</t>
  </si>
  <si>
    <t>8bb909defce6af47294f002bb82c4a4cb601271538baa874fa7dd9b0fe6f9fe6</t>
  </si>
  <si>
    <t>201758C02005</t>
  </si>
  <si>
    <t>34bb2e02dfd659b798c7a9200fad7810f4af2b488240c6c1e0722d5c043aade4</t>
  </si>
  <si>
    <t>201759B01005</t>
  </si>
  <si>
    <t>d57776827e22a998372e6b4336574be100eaf22edda52bb1aff710a2d3e236aa</t>
  </si>
  <si>
    <t>201759C01005</t>
  </si>
  <si>
    <t>cdd70b84f94a0e61898a549820a4d91ba7d93f4564572358219fdcc272ddcc21</t>
  </si>
  <si>
    <t>201759C02005</t>
  </si>
  <si>
    <t>29f73d1aff30360f7a2a0f386282ee881ad41caefd6821041e6c529a2975c437</t>
  </si>
  <si>
    <t>201760B01005</t>
  </si>
  <si>
    <t>6b16446af8a78218023141d472d6c7c099aa582262748cc40b9eda22dbd5f910</t>
  </si>
  <si>
    <t>201760C01005</t>
  </si>
  <si>
    <t>3df9618abcf9508c0c811049fd94abd722324385839dabcfce30671b5fcdd2b8</t>
  </si>
  <si>
    <t>201760C02005</t>
  </si>
  <si>
    <t>2330bf624f9616bed1520790412d0438089ea00e5a305c531d29aae8aca15723</t>
  </si>
  <si>
    <t>201760C03005</t>
  </si>
  <si>
    <t>136fb8e5d98396ceb7c4d3b54d8f14ee8dfed3dda126ec946f5881458d222e05</t>
  </si>
  <si>
    <t>201761B01005</t>
  </si>
  <si>
    <t>f675130b17c75cbad75a6656616bf0201ec5df244c5dc55f1fbc2b302fa66ba5</t>
  </si>
  <si>
    <t>201761C01005</t>
  </si>
  <si>
    <t>fb6ce33fbdc7c011fc7cf96c2766c640faf2d332d2712526fac8472e3531df81</t>
  </si>
  <si>
    <t>201761C02005</t>
  </si>
  <si>
    <t>c9f7a7b2fb2bf612daba99294637d59a08cd837ceb8463a41ced10bb165539a1</t>
  </si>
  <si>
    <t>201761C03005</t>
  </si>
  <si>
    <t>bee2391a108b569c1f28d03476dba72d0115952920f7a21f2fb56ab9156ca0c1</t>
  </si>
  <si>
    <t>201762B01005</t>
  </si>
  <si>
    <t>969424b67acd614e2a7b81eb4355ea3f097a0717ab2791619bf917e6c66461eb</t>
  </si>
  <si>
    <t>201762C01005</t>
  </si>
  <si>
    <t>24cb8bc08dbf8e8226651b6c7b51d100d6fa9d3cef1d9b001d37d628a11e5936</t>
  </si>
  <si>
    <t>201762C02005</t>
  </si>
  <si>
    <t>1a2fa750cc5ed5e2cb146df3dff074c34dbdad237bd3f675490c1238527cbc45</t>
  </si>
  <si>
    <t>201762C03005</t>
  </si>
  <si>
    <t>8a997a70d4dd0a324c7591783dd8b09be018014a928cf67547c62179ee95b252</t>
  </si>
  <si>
    <t>201762C04005</t>
  </si>
  <si>
    <t>592c9b594a2ae4fd7138e4f30b31b28e3eb572a3460b6416028d8e989cd114e6</t>
  </si>
  <si>
    <t>201762E01005</t>
  </si>
  <si>
    <t>fedb60ce9e5bfa009ff967dfa7e0de96d53f41ffa1e4dcb652e6a09fd72d7fe8</t>
  </si>
  <si>
    <t>201762E01015</t>
  </si>
  <si>
    <t>220fd4363dc1e6f3413365e51b5415c6ad60c5ecb43c0d5a7d371be5900dcac4</t>
  </si>
  <si>
    <t>201762E02005</t>
  </si>
  <si>
    <t>145fc49c5d24814a39004a74056f9b74cf788ec764ce14219b2749be7eabb757</t>
  </si>
  <si>
    <t>201762E02015</t>
  </si>
  <si>
    <t>3c481303392c8235aaa5f329033fd2f807b1e6dd0c55c9794e0cd15b61162f28</t>
  </si>
  <si>
    <t>201763B01005</t>
  </si>
  <si>
    <t>e99a5658f9509287c56acc0f52faf2b1de4eb5e891ed465f90948779d68c522b</t>
  </si>
  <si>
    <t>201763C01005</t>
  </si>
  <si>
    <t>fde7470a736fe7b913cdba5a684c95aedf6e54f7c6e1b661b2d6aa4f9954c493</t>
  </si>
  <si>
    <t>201764B01005</t>
  </si>
  <si>
    <t>d442f2527cf31542d41ef131c1d04aed345633d19391cc044526732e62db47b2</t>
  </si>
  <si>
    <t>201764C01005</t>
  </si>
  <si>
    <t>927263218fe221bb302f75fe9dc56230b1276546a5b611020cd76fc88c000057</t>
  </si>
  <si>
    <t>201765B01005</t>
  </si>
  <si>
    <t>b2c6fdd2a6cb5be23bd126ad9556d4c694b9b52add3e49e71c39f56d84ec931b</t>
  </si>
  <si>
    <t>201765C01005</t>
  </si>
  <si>
    <t>e72548ca97289b5f9ff2ea0a3f84d4bbc15015fde392a89f957265d6b72d0071</t>
  </si>
  <si>
    <t>201766B01005</t>
  </si>
  <si>
    <t>746a185260b0e6d9cb3e2f52a47aa7932bc32d759e3b027256e18ed0522b867a</t>
  </si>
  <si>
    <t>201766C01005</t>
  </si>
  <si>
    <t>e738b076288c57f3371616adc8ddc068f6145f04d08bc2cfcd55baadbff611ef</t>
  </si>
  <si>
    <t>201767B01005</t>
  </si>
  <si>
    <t>80565565fb252a8b8423fa76862f8d9eec235384757d6c16a2b25032b08a99e5</t>
  </si>
  <si>
    <t>201767C01005</t>
  </si>
  <si>
    <t>b6f7a0db3897aca527f4bea62b999eedd309942cbc66c8bb821299985226cf09</t>
  </si>
  <si>
    <t>201767C02005</t>
  </si>
  <si>
    <t>f79ca283a78b0100a0db0944709c4e70600d3f89a3481bef91ccf0cedf3d60ab</t>
  </si>
  <si>
    <t>201767C03005</t>
  </si>
  <si>
    <t>3d90b02d0ac936c927a8c70a3bdad61351baeb196e3b9187f5939facc4dc67c0</t>
  </si>
  <si>
    <t>201768B01005</t>
  </si>
  <si>
    <t>5d492ae63ec79f14b0fe6dff012104aae6a6f5584b25e0293f2c9812f84c9c74</t>
  </si>
  <si>
    <t>201768C01005</t>
  </si>
  <si>
    <t>00408b50a32610d710aca6e1cf7867f2b32b41a2d6de42505d67642e96c5d048</t>
  </si>
  <si>
    <t>201826B01005</t>
  </si>
  <si>
    <t>SANTA MARIA CORTIJO</t>
  </si>
  <si>
    <t>c215b0ac5a11971e19a2d92b716b49e10b016d6208bf0293daa44db1471de8f6</t>
  </si>
  <si>
    <t>201826C01005</t>
  </si>
  <si>
    <t>8e8e2de08d1c9636f19a28fd171b290807c7edcd76d5e5d9a860c27ae045fd2c</t>
  </si>
  <si>
    <t>201841B01005</t>
  </si>
  <si>
    <t>SANTA MARIA HUATULCO</t>
  </si>
  <si>
    <t>1d748128424bc1c74bcfba78bcec538d467d384c90d72d71e9363f6910bb1d1f</t>
  </si>
  <si>
    <t>201841C01005</t>
  </si>
  <si>
    <t>c959289f56783fc9e3e71ad7de5413b9729118c23420aaa64eb035ab3bcded33</t>
  </si>
  <si>
    <t>201841C02005</t>
  </si>
  <si>
    <t>892d32ccbdfabdae713ec4ae8ca2eadfb3b2967d548c88a1e98c80d144b61e97</t>
  </si>
  <si>
    <t>201841C03005</t>
  </si>
  <si>
    <t>401ce5a2addb805984c8f08edaea2da03c8864bd87691077f304ac1eb49e43ff</t>
  </si>
  <si>
    <t>201842B01005</t>
  </si>
  <si>
    <t>4e07e896624dcef95d163bc950d72f1f1c9d82af99ced9014c888f2c68e80fd8</t>
  </si>
  <si>
    <t>201842C01005</t>
  </si>
  <si>
    <t>0db51bd9ac33895ea45222c5026b04c5d56e317b68c36ccca09acd7e8cf45bd7</t>
  </si>
  <si>
    <t>201842C02005</t>
  </si>
  <si>
    <t>6c9da200c6c461f1205527fd47ef3c3230d6dad5a110b487d95e1562404b06d1</t>
  </si>
  <si>
    <t>201842C03005</t>
  </si>
  <si>
    <t>87c4399d7a0684f2eddfba46eb6e1904e2c40e641f4a3ec27e912ff6cea35b10</t>
  </si>
  <si>
    <t>201842C04005</t>
  </si>
  <si>
    <t>cebc32ea873301ca2752a617a8f05dad0a8d446c8872e230f2e4ac8ba6febf95</t>
  </si>
  <si>
    <t>201842E01005</t>
  </si>
  <si>
    <t>8e9e127969cc6781203d05dc7adef959d116a2eee7316669e2bc77098ee2f36b</t>
  </si>
  <si>
    <t>201842E02005</t>
  </si>
  <si>
    <t>09e4a288a7d90123e3af34cead4d2f4508200713d374167c6bd8cb9b27aecc43</t>
  </si>
  <si>
    <t>201842E02015</t>
  </si>
  <si>
    <t>ea05f9e66f38a6e39fc0e2dabd111024784683f686ae1e72075ccf8603aa89da</t>
  </si>
  <si>
    <t>201843B01005</t>
  </si>
  <si>
    <t>194ea60115a1abd92cae2d1246abe8c11cec422abebe56412cabc0d9daa4fed8</t>
  </si>
  <si>
    <t>201844B01005</t>
  </si>
  <si>
    <t>035725759cc6eee2267a082848ea0456713d3a7f56a042d767ada42c3669d2e5</t>
  </si>
  <si>
    <t>201844E01005</t>
  </si>
  <si>
    <t>857049fe881964a5365ba44d34be0ce41d9624af5c105f43a41e4541ce6ab985</t>
  </si>
  <si>
    <t>201844E02005</t>
  </si>
  <si>
    <t>ee92fe4ae9f29ac1ec78750828d60a57a7f1fa100ca98cc7ce2e6df5ad2e91ac</t>
  </si>
  <si>
    <t>201844E03005</t>
  </si>
  <si>
    <t>fb2d46b0f562ffeb819f91e5c52ca382771a0fe5f6c58d795cc125f291c95293</t>
  </si>
  <si>
    <t>201845B01005</t>
  </si>
  <si>
    <t>a37e9e66dd96150733b84bd24b17db25634f2efda1050c4f9cd0e9e862e97331</t>
  </si>
  <si>
    <t>201845C01005</t>
  </si>
  <si>
    <t>4e065cabfac7e7b227f8766ccc3861744791102044c38991a68d9bc2582f75b7</t>
  </si>
  <si>
    <t>201845C02005</t>
  </si>
  <si>
    <t>1a042c0b7c732da84bd0ffa0fa116310056daf1d97fff49b6c8b46e15a6ee943</t>
  </si>
  <si>
    <t>201845C03005</t>
  </si>
  <si>
    <t>6b558e013ff4d312ef608c323291d9f82e8cc495318868c8a7d34e3c806da6ea</t>
  </si>
  <si>
    <t>201845C04005</t>
  </si>
  <si>
    <t>46a250067809235b3aa7483176c2eaa10eea05e7cc8d9ceb4b0127089a72dd80</t>
  </si>
  <si>
    <t>201845C05005</t>
  </si>
  <si>
    <t>5828bd095992573c29ec52ac5bd01f42546e34e195d7ef0d6a3be6fae7a54573</t>
  </si>
  <si>
    <t>201845S01006</t>
  </si>
  <si>
    <t>41b946e63942d064c6823dbce462f4dab1f1109c99d750c4c6ef21ddd518736b</t>
  </si>
  <si>
    <t>201846B01005</t>
  </si>
  <si>
    <t>7161afe12eb4914d6509e28eacb08b15aaae5701038ddaa9cd2c2a885b717db6</t>
  </si>
  <si>
    <t>201846C01005</t>
  </si>
  <si>
    <t>a6ae07060e24645e216395ba3c41309702f1fd5612604301d35811e3fb0cf4ae</t>
  </si>
  <si>
    <t>201846C02005</t>
  </si>
  <si>
    <t>8a6ec898b9f0b9c7ae8d906e330a7bb32d36d0ba8129200635ae99cc5662a32d</t>
  </si>
  <si>
    <t>201846C03005</t>
  </si>
  <si>
    <t>0f0553d1c352e0cf28928a24bf737a1013cf5a1e1677d4def3f78df34a2843ca</t>
  </si>
  <si>
    <t>201846C04005</t>
  </si>
  <si>
    <t>4f156268bf6754cc49098fdbbd1d57ed5c5f190d8fdfbb970e7dabcb5396a450</t>
  </si>
  <si>
    <t>201846C05005</t>
  </si>
  <si>
    <t>4cb5fc06b84ed4f14d0a68653d993766041fb81454496ee5c429f5d93d0a30ae</t>
  </si>
  <si>
    <t>201846C06005</t>
  </si>
  <si>
    <t>36143a1f9aae9b4432510bdd05cd8a78f90dd69e0e2d8c27fb13ca8284492032</t>
  </si>
  <si>
    <t>201846C07005</t>
  </si>
  <si>
    <t>2d3ae902ac598875919b4bbb018c6775ecc8aa1629fd21b8cc8ca4a17323b834</t>
  </si>
  <si>
    <t>201846C08005</t>
  </si>
  <si>
    <t>2e418642cf65cfdae3bda72000285645ae34e1e3656b296dcff91dea36018d1a</t>
  </si>
  <si>
    <t>201846C09005</t>
  </si>
  <si>
    <t>e0f3c48dfde3c64c0c5c7b49975e413cd8a577e35190fafce258aaf9a20dfbf9</t>
  </si>
  <si>
    <t>201846C10005</t>
  </si>
  <si>
    <t>71ede0d110ea43810039a6b7619798f490c0c55bbd3a3fbdb77a2fddbabf7a97</t>
  </si>
  <si>
    <t>201846C11005</t>
  </si>
  <si>
    <t>2b9e62e6fe00c6ff6c48906f0473c6883d03ddd489e1ffc555cc7ba425bd2cb5</t>
  </si>
  <si>
    <t>201846C12005</t>
  </si>
  <si>
    <t>bfdff31fc4bfdf916a77598db1dc0910e0fac7a3c6e4ae276a41177e98ce894f</t>
  </si>
  <si>
    <t>201846C13005</t>
  </si>
  <si>
    <t>d11c5f4a707152f5731fcc0a09f7336ed1472bb6add0164e879cbd31895f2ffe</t>
  </si>
  <si>
    <t>201847B01005</t>
  </si>
  <si>
    <t>0973b37c199bdfa7c33a44630e9381ed4d5612dd497565983a22b93ceb1798de</t>
  </si>
  <si>
    <t>201847C01005</t>
  </si>
  <si>
    <t>828bd3cbf15c269c7895a9505c8c2f7efe294fc3bc75553586fb4a92cd601dba</t>
  </si>
  <si>
    <t>201847S01006</t>
  </si>
  <si>
    <t>3a164f25d61fa38a391172e19f54a16663f9b0c8c611c190e0d647b2168306c0</t>
  </si>
  <si>
    <t>201848B01005</t>
  </si>
  <si>
    <t>50f4453ca19937df874f89ac35a918dc5be5eb45e30d7117ff0beec2eed601f8</t>
  </si>
  <si>
    <t>201848E01005</t>
  </si>
  <si>
    <t>bb268374f7bb441a55fea78e759be5863a68fa5627adbe22de6f8d600decee2b</t>
  </si>
  <si>
    <t>201848E01015</t>
  </si>
  <si>
    <t>4d9bf11562d7a976e616c70cd04a35f585016a07129171a2695c6c6cdb32a69f</t>
  </si>
  <si>
    <t>201848E02005</t>
  </si>
  <si>
    <t>1feab1bf7d8b54f2bee91fcbb3d9b805075b42223dfac9a0e8d5bd963af1c164</t>
  </si>
  <si>
    <t>201848E03005</t>
  </si>
  <si>
    <t>77302b940e3e0bab259a4223a2f1279643557392832fad68d0ee9d3a8222af75</t>
  </si>
  <si>
    <t>201848E03015</t>
  </si>
  <si>
    <t>7ca9916b518cfa5b87337ccf75793d816393a7677a6dc0432678f2463e56aa3e</t>
  </si>
  <si>
    <t>201848E04005</t>
  </si>
  <si>
    <t>601d01482201b6e3b53599ffe7f114e54a24cda89b6c7b805db7f77a56c6ca2d</t>
  </si>
  <si>
    <t>201849B01005</t>
  </si>
  <si>
    <t>c644e2a1f40c627f5426caff529e97d0cbe06ed8f7ae1cae8f82834d2bae377a</t>
  </si>
  <si>
    <t>201849C01005</t>
  </si>
  <si>
    <t>615de492939007951625a6644752d7936a5510d64cc49c98f9bb2ee6fc88f786</t>
  </si>
  <si>
    <t>201849C02005</t>
  </si>
  <si>
    <t>5e96cff5c1f66ad1a6e5b6f583856196baa7996788c6039b6b57b84d5e0076d2</t>
  </si>
  <si>
    <t>201850B01005</t>
  </si>
  <si>
    <t>2d5e0209a232f14b6b62615c3198a0e9f4d73953947950cd6003d3e7b77eddfa</t>
  </si>
  <si>
    <t>201850C01005</t>
  </si>
  <si>
    <t>e25c9e18cef1970ea5e4b37e1d274eec9d00b5cec519e06cb132728e1996f92c</t>
  </si>
  <si>
    <t>201851B01005</t>
  </si>
  <si>
    <t>SANTA MARIA HUAZOLOTITLAN</t>
  </si>
  <si>
    <t>e2116d83192ff7d1de71ac2d8711d65bde2d3fbf06b9183bb5d59950244a476e</t>
  </si>
  <si>
    <t>201851C01005</t>
  </si>
  <si>
    <t>4a9de3171a24f8a2c5e18b2e7a95b21e44ff5284cf8114d55b4a541c68945ed5</t>
  </si>
  <si>
    <t>201851C02005</t>
  </si>
  <si>
    <t>a8dfc0a2bae7329735a2bb7bcafbc8c4c96aa86f71d508d4ace9bddbf54f08fc</t>
  </si>
  <si>
    <t>201851E01005</t>
  </si>
  <si>
    <t>3f033d0d8278660bb5f333e9ca9b62edd7124790b865228022a413512665ea99</t>
  </si>
  <si>
    <t>201852B01005</t>
  </si>
  <si>
    <t>21a67dc3476e7c72a0b4c77f3536dbd83c70d6fffc45e92b81a4ca5cac8c30a8</t>
  </si>
  <si>
    <t>201852C01005</t>
  </si>
  <si>
    <t>053298a02d6eb87c49688684b281c34a699fcf1f82d9e793708a670a1afc3154</t>
  </si>
  <si>
    <t>201852C02005</t>
  </si>
  <si>
    <t>9a05b0f34734dec56ac53ea7fe17af907e7f2b2b8f0e8bf42601f1f5ace8d194</t>
  </si>
  <si>
    <t>201853B01005</t>
  </si>
  <si>
    <t>d3ad5c503586ea87409665299a73a4f49e0ab81b6d6830ef554607fde04d1898</t>
  </si>
  <si>
    <t>201853E01005</t>
  </si>
  <si>
    <t>084dbe9fbbb821a47d06640c5133b1279781d70c27f108eaaac20e39df7052ba</t>
  </si>
  <si>
    <t>201854B01005</t>
  </si>
  <si>
    <t>5a143a8d4ace276bf23fbb04ad4d5f2053c229c34db378771d94dd7ae839b1cf</t>
  </si>
  <si>
    <t>201854C01005</t>
  </si>
  <si>
    <t>e43e7e0ebc72604c5167ac53532ab0f051ee5968889870d21a825efa38ef9eea</t>
  </si>
  <si>
    <t>201854C02005</t>
  </si>
  <si>
    <t>eb564db55c20370e9795b1eb6c50c0e60efc0fe08cf723cd86c4fbb4b33d32ca</t>
  </si>
  <si>
    <t>201855B01005</t>
  </si>
  <si>
    <t>7f3193b4073fd7d4fad945a097208266bcb4e6ef49e9da16a96b7b34dff3f536</t>
  </si>
  <si>
    <t>201855C01005</t>
  </si>
  <si>
    <t>413f7ac2be36d8d15debc2df86076e446c32bd7f44c244b36ba6a7ff491f7018</t>
  </si>
  <si>
    <t>201855E01005</t>
  </si>
  <si>
    <t>5ce608ee0c8c2131fce5dc0540e71e47ec4b86232cb4abb78a00de3f4e8740d3</t>
  </si>
  <si>
    <t>201856B01005</t>
  </si>
  <si>
    <t>SANTA MARIA IPALAPA</t>
  </si>
  <si>
    <t>1d066529e3eb1b2047ec0ef439eac0f3eef95fa2f45ca6f408491decaae082bc</t>
  </si>
  <si>
    <t>201856C01005</t>
  </si>
  <si>
    <t>02823f139fbf8e0539afadd9d9b9755790f42344a5544bcaa65733c9803fd134</t>
  </si>
  <si>
    <t>201856C02005</t>
  </si>
  <si>
    <t>9d11c571441c35fc9633f96577d927d21073ef514ae5ad759870de14898912f2</t>
  </si>
  <si>
    <t>201857B01005</t>
  </si>
  <si>
    <t>ff17e9b8f0e39c232525aa6e75bf6ff2f1dde1abfe518d40c4526822348acd08</t>
  </si>
  <si>
    <t>201857C01005</t>
  </si>
  <si>
    <t>927aa7ac59265340ab27d3d959d1514daf41b249152b3c6e22b8d8b53a4ccda1</t>
  </si>
  <si>
    <t>201857E01005</t>
  </si>
  <si>
    <t>c67ebc9283bcc927cf670e475525d5216e9ec9878903fd6c35c2ae936e775106</t>
  </si>
  <si>
    <t>201858B01005</t>
  </si>
  <si>
    <t>0e3a404ea9af794bb62dc8ca5a61f51f4d23fa6be30c55983c1140db2861fe98</t>
  </si>
  <si>
    <t>201858C01005</t>
  </si>
  <si>
    <t>11d952bfce939e98676f06818872c4b48f4cfadec87bd9b7ab847066869f061c</t>
  </si>
  <si>
    <t>201860B01005</t>
  </si>
  <si>
    <t>SANTA MARIA JACATEPEC</t>
  </si>
  <si>
    <t>1d04706dfbd9c66e195eb71a2bde222f7835ef73f74d6f26d27ec2349725f8fe</t>
  </si>
  <si>
    <t>201860C01005</t>
  </si>
  <si>
    <t>344f56288dbe3dad6f8ab9855faf7ae2c4f453a933a566393ef87ea133190513</t>
  </si>
  <si>
    <t>201860C02005</t>
  </si>
  <si>
    <t>96cdeb4e184fc768e858618b4432f332c8bc89712e78c62f5757e54c7069ea23</t>
  </si>
  <si>
    <t>201860E01005</t>
  </si>
  <si>
    <t>0c0e6431f18ec823fc7a428596c28d9284561e95b8de660bc5dea4143779a382</t>
  </si>
  <si>
    <t>201861B01005</t>
  </si>
  <si>
    <t>63a7fe73bbce59568dee603a657a254a18e7630aa5e315db5f7fb4178754da20</t>
  </si>
  <si>
    <t>201861E01005</t>
  </si>
  <si>
    <t>7c912ed7fa1e03109825fb01ae72f2b9bb5fa1ae8d45441a1a5b98f0631f8baf</t>
  </si>
  <si>
    <t>201862B01005</t>
  </si>
  <si>
    <t>49f66636d37732fb3aedffffedd36b21f88f3b360f21e0abb9338e74220b029e</t>
  </si>
  <si>
    <t>201862C01005</t>
  </si>
  <si>
    <t>e83c77124447d384439a23fa660c1d083e4702ad8edf16957bfeada3d6615d6a</t>
  </si>
  <si>
    <t>201863B01005</t>
  </si>
  <si>
    <t>ce7e6ff92e2fb3c71729bb1ffc0dd3f7aa05a52e9244597bce8c9636ee5909ee</t>
  </si>
  <si>
    <t>201864B01005</t>
  </si>
  <si>
    <t>768e4faad091f9a0612a78e276e4a31a24f3a7c30870546063d96632bbff633b</t>
  </si>
  <si>
    <t>201864C01005</t>
  </si>
  <si>
    <t>56b41f2fc62c3130232d852a85e3e2337124145caa460a848c4e2b376b2528f8</t>
  </si>
  <si>
    <t>201865B01005</t>
  </si>
  <si>
    <t>a73f65fa4a163917b4da1de071c2733dff423f960cd6f2c571b9d2103ffa2a09</t>
  </si>
  <si>
    <t>201865C01005</t>
  </si>
  <si>
    <t>f2d7ca846137abd19fcc87ba0d81f52ac958d89cbf0b02540a413a03ccd48cef</t>
  </si>
  <si>
    <t>201866B01005</t>
  </si>
  <si>
    <t>SANTA MARIA JALAPA DEL MARQUES</t>
  </si>
  <si>
    <t>7b1e9121230f3b85f8607730d8459eb053edc5ed19e1df4010478b870e12109f</t>
  </si>
  <si>
    <t>201866C01005</t>
  </si>
  <si>
    <t>c07e9fc3305c160c91fd3676c0c5339677024cf22f69059ac42c05a2403936ce</t>
  </si>
  <si>
    <t>201867B01005</t>
  </si>
  <si>
    <t>22081c08f6c48809aafb6eba2c6fc47c9ea8ade8f4d5a9b5dfb562dfd81483d6</t>
  </si>
  <si>
    <t>201867C01005</t>
  </si>
  <si>
    <t>35acc21c279b1ef95479b1d67239c381375d20b48ffe540a937afe5ee5eae1cb</t>
  </si>
  <si>
    <t>201868B01005</t>
  </si>
  <si>
    <t>f7f0a4ec7b5f3614b04e468fdbc16f73039633a2e5a864afa76b2f18881064bf</t>
  </si>
  <si>
    <t>201868C01005</t>
  </si>
  <si>
    <t>03d9672f6e4404318581493a596758ce48a5d6c41a5e63197770692a89ab1b26</t>
  </si>
  <si>
    <t>201868C02005</t>
  </si>
  <si>
    <t>66c9a6a9a6bce0c44a2818cca6f8aadd7dbf88a2ede355e29630a48658cedf57</t>
  </si>
  <si>
    <t>201869B01005</t>
  </si>
  <si>
    <t>89dd4cd3d013274aaa62fb9f1379fc2c269f8a5d73617b82d5b22685b345bfa9</t>
  </si>
  <si>
    <t>201869C01005</t>
  </si>
  <si>
    <t>680dbccb77196d0f9f802f6d4abfcc9655e691f95d36157fd51b5ee593383d87</t>
  </si>
  <si>
    <t>201870B01005</t>
  </si>
  <si>
    <t>74ef15c2c9c36bf8a705006db8b975c7f7a159ffccf330a794266ed8fb140b56</t>
  </si>
  <si>
    <t>201870C01005</t>
  </si>
  <si>
    <t>ba61f50f15fc0bca34f844852362c72acce704861f2f7697a25010d178dc1bf2</t>
  </si>
  <si>
    <t>201870C02005</t>
  </si>
  <si>
    <t>ccfc437de74a0535c120fb68ae36706105bf7c4d19ddcc49159fd66ce49ff129</t>
  </si>
  <si>
    <t>201871B01005</t>
  </si>
  <si>
    <t>f0811f406af00ecfb79c539bc51a738a09827a1d07b3cb17dfdab427ea8bd9cf</t>
  </si>
  <si>
    <t>201871E01005</t>
  </si>
  <si>
    <t>0bf510a8896484b5757fa2f3d598982f8f934496017665c7b87a7ec45fe57654</t>
  </si>
  <si>
    <t>201872B01005</t>
  </si>
  <si>
    <t>1ec0aa0ff7ceaba8c40f062b2f2680a31eeaf71c557a4800d12abfdac145910d</t>
  </si>
  <si>
    <t>201872E01005</t>
  </si>
  <si>
    <t>d6aa2f6fa9c16862da9cd24a1cd8cf8b9513ba43e7ebd6e540ff14977460efd2</t>
  </si>
  <si>
    <t>201875B01005</t>
  </si>
  <si>
    <t>SANTA MARIA MIXTEQUILLA</t>
  </si>
  <si>
    <t>d114cbf80ee8b19c4e8f6fe703768d9373db046cbea801ffc27e4cbaca67f77e</t>
  </si>
  <si>
    <t>201875C01005</t>
  </si>
  <si>
    <t>f89af5ae76ae483164d0fff80eff6332563495087a7afefddb4202d6106309f7</t>
  </si>
  <si>
    <t>201876B01005</t>
  </si>
  <si>
    <t>7b2633408456e8c1c5b202d2e0d00fe1d95a05c60d608ee92da263804e4c0faf</t>
  </si>
  <si>
    <t>201876C01005</t>
  </si>
  <si>
    <t>ff708a161571bbf08ff496fb44d3ee49f4fdb84cfd6246e66e4fe1f2f632d8a4</t>
  </si>
  <si>
    <t>201877B01005</t>
  </si>
  <si>
    <t>cf08c9769af6d70d616e42a18071d9e92e6f2a8fb177ae9ed32312bbeb7b1da0</t>
  </si>
  <si>
    <t>201877C01005</t>
  </si>
  <si>
    <t>b93990b06b6b16bc1654404816b13233a754bb15eb469b6a9912f0438655023a</t>
  </si>
  <si>
    <t>201888B01005</t>
  </si>
  <si>
    <t>SANTA MARIA PETAPA</t>
  </si>
  <si>
    <t>2effa9ed713f5299deea89d0a6c0a69678ed55bc0f86704aaf2b8a971defaa86</t>
  </si>
  <si>
    <t>201889B01005</t>
  </si>
  <si>
    <t>3891e8502adcf20bae30f0ac39cfd22013234039a520a22662975a19a4b2c2dd</t>
  </si>
  <si>
    <t>201889C01005</t>
  </si>
  <si>
    <t>0361f366de6b73df001bdc2d6fc7c5c02fff479dd90f771b9288f39bf2642340</t>
  </si>
  <si>
    <t>201890B01005</t>
  </si>
  <si>
    <t>c85ef63b8cb845023c6ee7e28a7f448acfb5b40901d02e313979d7317b72c3d2</t>
  </si>
  <si>
    <t>201890C01005</t>
  </si>
  <si>
    <t>dd0dfeae72b8bb4ff61488d3cf7573470ae89d63a98a97b79051f4327f3f584d</t>
  </si>
  <si>
    <t>201890C02005</t>
  </si>
  <si>
    <t>81b99268f91466f85813927f0fa2131049990cd26326e06de74f51f8c55d947d</t>
  </si>
  <si>
    <t>201891B01005</t>
  </si>
  <si>
    <t>a900a214060d0cc9036b345245ad5af1bc17abb52130ad75fe939f17d51a46b1</t>
  </si>
  <si>
    <t>201891C01005</t>
  </si>
  <si>
    <t>9bce9c1527e556ed055d2f6c197de0245416ebbfe33ff6b86cdbff895a2b6c46</t>
  </si>
  <si>
    <t>201892B01005</t>
  </si>
  <si>
    <t>ab5c3909b7c50068e8945833cf6aec7110711a13b177f38e58c957f102544aa9</t>
  </si>
  <si>
    <t>201892C01005</t>
  </si>
  <si>
    <t>0b9c29b4b4e83c0d9153659e4d67f155dc1e7e189fc7c99db969377f4feeedd2</t>
  </si>
  <si>
    <t>201893B01005</t>
  </si>
  <si>
    <t>b830075486d0f730c88e1e6766d711db8e686e33a7819a3fce264947cc24914b</t>
  </si>
  <si>
    <t>201893C01005</t>
  </si>
  <si>
    <t>3e02115a4453863ae302294dd6772cd8dcf0aa72c191b65aba9402f69d071b76</t>
  </si>
  <si>
    <t>201893C02005</t>
  </si>
  <si>
    <t>bf2a8bbfbd3f9d6d2453b29df2392343135a56ea4a830728e6ee2ff79881d01e</t>
  </si>
  <si>
    <t>201894B01005</t>
  </si>
  <si>
    <t>4f9a2d29f2974d073daa4359e684348646e6959a7ec1ebff71b49a2cc53ee2d9</t>
  </si>
  <si>
    <t>201894C01005</t>
  </si>
  <si>
    <t>e35afa1ea8869a6947a11cfecb463251ee1e6a900cfef2cad31f37394abc0b87</t>
  </si>
  <si>
    <t>201894E01005</t>
  </si>
  <si>
    <t>428c686074416934665b38e159f24d71a0fbc2e88da7f1e94f60a5cf8c5ddb18</t>
  </si>
  <si>
    <t>201895B01005</t>
  </si>
  <si>
    <t>aaeb7d33a63282b029ecf1dc4663fa33a711fe156f2f5ce728e5352e219ab138</t>
  </si>
  <si>
    <t>201895C01005</t>
  </si>
  <si>
    <t>bc717498ac81518994d7ddb1ccbbe8dc4775cf757cb4f05fb61de21b9f015d85</t>
  </si>
  <si>
    <t>201895E01005</t>
  </si>
  <si>
    <t>b789eebe8284f554b1b305f6e97a3cdf4d2f267cfdc35b56284ed5d359273f03</t>
  </si>
  <si>
    <t>201896B01005</t>
  </si>
  <si>
    <t>e88036388d10e9da09f0071d2a5841f791b6d3bbac7d538ea2a68483fdbf3e13</t>
  </si>
  <si>
    <t>201897B01005</t>
  </si>
  <si>
    <t>f0ed8c79e9ae9934aed8a5aa9d792cafd0e968ecf630c3b1670459651f61b27f</t>
  </si>
  <si>
    <t>201906B01005</t>
  </si>
  <si>
    <t>SANTA MARIA TECOMAVACA</t>
  </si>
  <si>
    <t>c5710e65b58c21ef69bd17f41ef82b7033ce2f995684042ca497afb5cc205247</t>
  </si>
  <si>
    <t>201906C01005</t>
  </si>
  <si>
    <t>7b2b6a249f7713ed6e4fa298fe156244334474023864c2efe1e59e3de5847db4</t>
  </si>
  <si>
    <t>201909B01005</t>
  </si>
  <si>
    <t>SANTA MARIA TEOPOXCO</t>
  </si>
  <si>
    <t>3eb0e12a4f180350b17670579535ff91711b1eeb42eaf68f05858ee282250d84</t>
  </si>
  <si>
    <t>201909C01005</t>
  </si>
  <si>
    <t>d61f8d668bc4a20c20246b16ac91abef8ee7aa3d53c360721d9edf81c2c3de12</t>
  </si>
  <si>
    <t>201910B01005</t>
  </si>
  <si>
    <t>3dd01e29843a73b030d4f0c703258bff04e4853cf4c557ef4751038b5daf5abf</t>
  </si>
  <si>
    <t>201910C01005</t>
  </si>
  <si>
    <t>8600c3690a76257d9cb0025b60dd1c3a77c56fa6e1ccb954a1337baf74ef0579</t>
  </si>
  <si>
    <t>201910E01005</t>
  </si>
  <si>
    <t>4658dd2c4d6de9ae650dbd6ba137b4922bd204d05c760b9ef668d0947d520b53</t>
  </si>
  <si>
    <t>201910E02005</t>
  </si>
  <si>
    <t>575802caddc87a21179aca02c4ff19c2e9b3da6661a0786b47ba34c12482c412</t>
  </si>
  <si>
    <t>201913B01005</t>
  </si>
  <si>
    <t>SANTA MARIA TEXCATITLAN</t>
  </si>
  <si>
    <t>507071efb2640543013e9ed2657b49c68f2d7107ef25ea3f7b3a83c6202f86ab</t>
  </si>
  <si>
    <t>201913C01005</t>
  </si>
  <si>
    <t>cd5407ef18676eaadbc354ff2576f12193a15cbf9d43f5494a30af1e80f18417</t>
  </si>
  <si>
    <t>201919B01005</t>
  </si>
  <si>
    <t>SANTA MARIA TONAMECA</t>
  </si>
  <si>
    <t>a2cf98696d5aa44b08cfce5d15a6523ff8dba1d9d9ba40968d00247e7eb286ab</t>
  </si>
  <si>
    <t>201919C01005</t>
  </si>
  <si>
    <t>f5379ef22fbb38dcb00c4ea867b809c5d2fc00cc8f9f83262f44306acfa87c51</t>
  </si>
  <si>
    <t>201919C02005</t>
  </si>
  <si>
    <t>0c988c10b095777ab3612964e5103031698f68e0cf86874844e0dfadaa0f9131</t>
  </si>
  <si>
    <t>201919E01005</t>
  </si>
  <si>
    <t>b612b8b67eb75c46e044b246c36571e538f4b0be16818c79af403cb2e778852f</t>
  </si>
  <si>
    <t>201919E01015</t>
  </si>
  <si>
    <t>ff1c39e3f0d3ced889113d6c24b474f3a0c92be86521a4d3bb4fcbd095daea31</t>
  </si>
  <si>
    <t>201920B01005</t>
  </si>
  <si>
    <t>a1069fb3a4553724be3048fb9bc44d407fa310c3a2a772f1557bc17bcf0b792c</t>
  </si>
  <si>
    <t>201920C01005</t>
  </si>
  <si>
    <t>ae66522322d2226d2fb08066d6a274adb085891e9822197659ff932d87980f87</t>
  </si>
  <si>
    <t>201921B01005</t>
  </si>
  <si>
    <t>722ac77063d77620e09707f96adab8dd3b0e1d5d6149ba2dd61e1a7dfe33384c</t>
  </si>
  <si>
    <t>201921C01005</t>
  </si>
  <si>
    <t>5f46bed51ebf6658407c9ed3d79b33698c090d76d1ade3f8645014e836003b5c</t>
  </si>
  <si>
    <t>201922B01005</t>
  </si>
  <si>
    <t>b034d55fdd08edcb196ebd77a3d047e7e70ae05e9112a6349b6fff78a1bff6be</t>
  </si>
  <si>
    <t>201922C01005</t>
  </si>
  <si>
    <t>1ae80926074b25cb7bd5378457690b62bd0a4057e095f412395689e0d07aa838</t>
  </si>
  <si>
    <t>201922C02005</t>
  </si>
  <si>
    <t>452d098fdfec168b912cf01913e330b5300239877bc2b66e86b7fbc0cf17c462</t>
  </si>
  <si>
    <t>201922C03005</t>
  </si>
  <si>
    <t>97a27409d58901af7523bbc6195ba578c52d1f756e5012d4800c66b0b9e1b5f7</t>
  </si>
  <si>
    <t>201923B01005</t>
  </si>
  <si>
    <t>ed04fc94b59bfe474dba04e44bc48b0536af82cf83bd55b2112fc31078af5999</t>
  </si>
  <si>
    <t>201923C01005</t>
  </si>
  <si>
    <t>6a0fe0e27934e9bad5d37b25ab1787010fe68456659f43be7ef805c04ad4dc8e</t>
  </si>
  <si>
    <t>201923E01005</t>
  </si>
  <si>
    <t>2f7d44a1d274aa2c275fdbbedf193d43ad9c554387649548f707c4b878775edc</t>
  </si>
  <si>
    <t>201924B01005</t>
  </si>
  <si>
    <t>c839688f1cdffafe29cac1fd94acd05f17291d8e5076b3fb1e94d533a0ad1839</t>
  </si>
  <si>
    <t>201924C01005</t>
  </si>
  <si>
    <t>601a16a032ea167e9c727883832c1472b1c03abe91c3e7a101ae40dae009109f</t>
  </si>
  <si>
    <t>201924E01005</t>
  </si>
  <si>
    <t>fe9c48c8fde857cf3f01b1882a1d761ce436447e53a70705ac70a5271866411f</t>
  </si>
  <si>
    <t>201925B01005</t>
  </si>
  <si>
    <t>ecb3a43fd0351920943370d961a1d26a49c10cdd1b36870bf3c1fae0b8f1a7e5</t>
  </si>
  <si>
    <t>201925C01005</t>
  </si>
  <si>
    <t>8a6bd095b084f7d58d12c1dd3a69f8c38ceffcdfc40a4da32bcbd81ab0d0f6d3</t>
  </si>
  <si>
    <t>201925E01005</t>
  </si>
  <si>
    <t>6690229f88a5b73639d5d7efde1990962e54f7870c4e40bc4135aa6c773ccf00</t>
  </si>
  <si>
    <t>201925E02005</t>
  </si>
  <si>
    <t>37d1ccc2837fe2fb419b3eb2310da57da1d5adeaa80f0a0a16c38030916162f8</t>
  </si>
  <si>
    <t>201926B01005</t>
  </si>
  <si>
    <t>6734d0ab05e1d7f549d46397a36ee447a883a80e88fb360aa7ef3051306fe868</t>
  </si>
  <si>
    <t>201926C01005</t>
  </si>
  <si>
    <t>45d7b8e7c86c7aa586b0293939b3bf46706937de9b20a295dab8ef9d2b07328e</t>
  </si>
  <si>
    <t>201927B01005</t>
  </si>
  <si>
    <t>e83ac14b34eee5ae696542786afcaf1d299a30e0a8576f01f9f5cf684eb0f722</t>
  </si>
  <si>
    <t>201927C01005</t>
  </si>
  <si>
    <t>26db47df520c9cc6d7c88246fe03d60c27dc46e32ceca412431c75319b388305</t>
  </si>
  <si>
    <t>201927C02005</t>
  </si>
  <si>
    <t>321137a199ff4e169d473a6714e71f5d8ad6d1baf6d71369d4f7aa564e238f0d</t>
  </si>
  <si>
    <t>201927E01005</t>
  </si>
  <si>
    <t>6992a6a8d6adc98a7a39d1b8897f5f536ef19a6377b4b4b9be856f5884ecb8d9</t>
  </si>
  <si>
    <t>201927E01015</t>
  </si>
  <si>
    <t>b3ce6c870f7afb751822357f48d6aae1c136b4e8a964aa149f5ff2cd6147eba0</t>
  </si>
  <si>
    <t>201929B01005</t>
  </si>
  <si>
    <t>SANTA MARIA XADANI</t>
  </si>
  <si>
    <t>0ddb9eddc02e42fbb5a68a1ac0ab54eeae9f03332b0c6036f0df44c8316f9d78</t>
  </si>
  <si>
    <t>201929C01005</t>
  </si>
  <si>
    <t>73f1de31b77f3cb616d4984e622c865b0385e4cb4b19201bc1509efe9e7b3a00</t>
  </si>
  <si>
    <t>201930B01005</t>
  </si>
  <si>
    <t>cf8a659d8913b9463c8a4ddbb410d19866147361462fa4feebd5bc6c75dacbe5</t>
  </si>
  <si>
    <t>201930C01005</t>
  </si>
  <si>
    <t>13a0d62ee1dc896578df505938b8c51dee598cc1f9eddf484e9aaabaf3423f2e</t>
  </si>
  <si>
    <t>201930C02005</t>
  </si>
  <si>
    <t>eb7e8c55eb087c6c3128a1245ef752801d7246fcb290e7923127883fc0b4d31b</t>
  </si>
  <si>
    <t>201931B01005</t>
  </si>
  <si>
    <t>311bd4792404475a5239078db460cb498fe855d0cd262412ae7d277cfa35bdb1</t>
  </si>
  <si>
    <t>201931C01005</t>
  </si>
  <si>
    <t>2d1effae25ecff20bf07ad58eeedc8f9fd9005727ac25ec0133d56a820410011</t>
  </si>
  <si>
    <t>201931C02005</t>
  </si>
  <si>
    <t>0545f1dec2082e476ebfbf3654011bb073bb37ef9ed7f96f7fe745b5e5da05b5</t>
  </si>
  <si>
    <t>201932B01005</t>
  </si>
  <si>
    <t>f0db3d3ac04516758b6d348f9f6a8d3087c0369bb9c84ae5ecfb47ef8d0bd86f</t>
  </si>
  <si>
    <t>201932C01005</t>
  </si>
  <si>
    <t>a43da6304e3cb9b0373e8e3abe3f3d5155da3e953e2d1071a2aaf033a08dcfa6</t>
  </si>
  <si>
    <t>201940B01005</t>
  </si>
  <si>
    <t>SANTA MARIA ZACATEPEC</t>
  </si>
  <si>
    <t>d3edafc9db46856e0f1a9ddaaadb554eba7bfc76158025c29eecfeaedb0a598b</t>
  </si>
  <si>
    <t>201940C01005</t>
  </si>
  <si>
    <t>a409164fd30bc7c754923edfff39b9048a2c892898c54ad6c494d661defdc034</t>
  </si>
  <si>
    <t>201940C02005</t>
  </si>
  <si>
    <t>1f381f34285bc35d9a4509a5d46d6ff8ec5f037d4fb29fe5380f3293ca012714</t>
  </si>
  <si>
    <t>201941B01005</t>
  </si>
  <si>
    <t>1f9f5dc60bab062af37708c200ad190b1005355a47de62e47a0b30eb0513d04c</t>
  </si>
  <si>
    <t>201941C01005</t>
  </si>
  <si>
    <t>30d9d7a56d1b2d8a7bb31aa641e7049c72f156b155a9aa932386f5b2a44ab466</t>
  </si>
  <si>
    <t>201941C02005</t>
  </si>
  <si>
    <t>beb2449c02ac09b707c22134f14ab1a12e56ea72932a22c34bdca12626e8f0ec</t>
  </si>
  <si>
    <t>201942B01005</t>
  </si>
  <si>
    <t>3d6afe4c9b870d53e347d5743987e9023ba35fa2ed59c2d26ab7fc26cae8954a</t>
  </si>
  <si>
    <t>201942C01005</t>
  </si>
  <si>
    <t>b89dadf432f053071aaa50317021e41e6ce7e029b5c8a648b712800ac3c976f0</t>
  </si>
  <si>
    <t>201942C02005</t>
  </si>
  <si>
    <t>36e69503a6aa0349940340ec546657e605a48217fdae8813991b3a457837d090</t>
  </si>
  <si>
    <t>201943B01005</t>
  </si>
  <si>
    <t>1004fce8d4a2436db0a0b2ea675b78544fa0790d81eb301df4ef881c57fd44d3</t>
  </si>
  <si>
    <t>201943E01005</t>
  </si>
  <si>
    <t>dcb66eb12bbe194b486305956faf2240b1145b7f58355cf451d7624310d41c7c</t>
  </si>
  <si>
    <t>201944B01005</t>
  </si>
  <si>
    <t>5101a622848e7bbdceaa9b806d841d8f784c90c07c10585bfa6ad39b254a007b</t>
  </si>
  <si>
    <t>201944C01005</t>
  </si>
  <si>
    <t>157e8a30f70ddfa7989b64c16c579233026a1a3038bf0422b10640575e7154bf</t>
  </si>
  <si>
    <t>201945B01005</t>
  </si>
  <si>
    <t>afbbb310e3acc390c1bfb135973cce47d794f7e23161aeeaedff0a06567ac538</t>
  </si>
  <si>
    <t>201946B01005</t>
  </si>
  <si>
    <t>e19fa0f4559e682dd2b4169ed14016d959096d5ae1b7a2691186ce8b498004ae</t>
  </si>
  <si>
    <t>201946C01005</t>
  </si>
  <si>
    <t>7be4879364be71eb88636b9ffe87ea43b89e89f4c1b3e8cacb097d4143e484f3</t>
  </si>
  <si>
    <t>201947B01005</t>
  </si>
  <si>
    <t>180bcf4cfda118cc9a0cc4375ed892f757ee7151077e7a6ff85e972ae35be4ef</t>
  </si>
  <si>
    <t>201947C01005</t>
  </si>
  <si>
    <t>12b736ea1b350fe957f12d9fabdfd1b3426b817fddbd018ef1c15c686f34fe6f</t>
  </si>
  <si>
    <t>201948B01005</t>
  </si>
  <si>
    <t>36aaa60106ca02b6b51d650efe86744c079d5452ad51a5d82e59aa126cf2cbdb</t>
  </si>
  <si>
    <t>201948E01005</t>
  </si>
  <si>
    <t>da9780aff2c1e2da0104e46fadce08710ec94cec548611375948008708b8941b</t>
  </si>
  <si>
    <t>201949B01005</t>
  </si>
  <si>
    <t>bc16aa677fb6f1613740d377b6eec582b2f29c0be73846eb1f491d36882bf70b</t>
  </si>
  <si>
    <t>201971B01005</t>
  </si>
  <si>
    <t>SANTIAGO AYUQUILILLA</t>
  </si>
  <si>
    <t>04b5b26b4e0ee9b0a5fd63a406259fc7ec26322c4e92545eebfe8c9f3be8b230</t>
  </si>
  <si>
    <t>201971C01005</t>
  </si>
  <si>
    <t>4a1da94832806f157c0869c1e24b176cd3e0f79c55ae718181099d9b3b5b85a0</t>
  </si>
  <si>
    <t>201972B01005</t>
  </si>
  <si>
    <t>e282e634d2718e0f362664346e2d813d1c2d3450f2f62297230b514f9db0eb65</t>
  </si>
  <si>
    <t>201973B01005</t>
  </si>
  <si>
    <t>SANTIAGO CACALOXTEPEC</t>
  </si>
  <si>
    <t>3f7806013185fbc09992c4a101329359d8d138f5930ef2e9f7eb46d5bcd0369c</t>
  </si>
  <si>
    <t>201974B01005</t>
  </si>
  <si>
    <t>80a285bf239b03fbdd5117cc46a83af8f025f90758e42ff71d4b95438673814b</t>
  </si>
  <si>
    <t>201975B01005</t>
  </si>
  <si>
    <t>694cdb5eee7d400c0f64701dba110c8228276b5fae219b71d2686158c24c8c23</t>
  </si>
  <si>
    <t>201978B01005</t>
  </si>
  <si>
    <t>VILLA DE SANTIAGO CHAZUMBA</t>
  </si>
  <si>
    <t>aec14d252fb0ae143962a8a5cb82768a8895be72fbdca8160df4a7d8dcfecd6a</t>
  </si>
  <si>
    <t>201978C01005</t>
  </si>
  <si>
    <t>52839b7544ff6974dfa79be0cf97a408256bdb431ad6de1fcc942743c2eb4012</t>
  </si>
  <si>
    <t>201979B01005</t>
  </si>
  <si>
    <t>bc99ce2cb4e55119ede99bc82066ce1fa55fd646ecc66111bf8bfc8fd9d5b0ec</t>
  </si>
  <si>
    <t>201980B01005</t>
  </si>
  <si>
    <t>e6eacda03aba166fe36ae5c182e8743802acdd1c0ac47a2f9b0b58cbc2812941</t>
  </si>
  <si>
    <t>201981B01005</t>
  </si>
  <si>
    <t>a030f6b24bd085126761fd50d2e5378be886e863dafa61c4a03d9255090bd495</t>
  </si>
  <si>
    <t>201982B01005</t>
  </si>
  <si>
    <t>a814ce18dcf663b874deeb6ce173be8c30eb6e9e78e48dfb2ac86808720420b4</t>
  </si>
  <si>
    <t>201983B01005</t>
  </si>
  <si>
    <t>940479b8fe40420d4c01468a060116484e9eedd64677feb3381b496fb357215b</t>
  </si>
  <si>
    <t>201984B01005</t>
  </si>
  <si>
    <t>6631397f2bad6336b6eea34475deacfe4aa911c94b917b4d2580ef276634cd7c</t>
  </si>
  <si>
    <t>201985B01005</t>
  </si>
  <si>
    <t>d6b30df948f174f185060a82eb431e2aeb03a78068f0de8d22ee4bd1164649bc</t>
  </si>
  <si>
    <t>201986B01005</t>
  </si>
  <si>
    <t>c1f40c5fc360728e12c1fc1f792a07bcf2b90d16337ef8197418862180f0369d</t>
  </si>
  <si>
    <t>201995B01005</t>
  </si>
  <si>
    <t>SANTIAGO HUAJOLOTITLAN</t>
  </si>
  <si>
    <t>3e77135dd7eb61e846341b640b649b5181c2c3bedd2c67ef46be4f578eaec5d0</t>
  </si>
  <si>
    <t>201995C01005</t>
  </si>
  <si>
    <t>dc7895a35fb0a070941be93f24fd4350298f9f2db1817a2c7261925f4713cc1f</t>
  </si>
  <si>
    <t>201995C02005</t>
  </si>
  <si>
    <t>3d6780bb8e760565c13a57fb056ae39a06f9c318a57f88d0c114b0c416b4daa3</t>
  </si>
  <si>
    <t>201995E01005</t>
  </si>
  <si>
    <t>9344a7b78c52aa882e66ec5b08efd430c353e7be9567934535b608c7b7670bfd</t>
  </si>
  <si>
    <t>201996B01005</t>
  </si>
  <si>
    <t>f1b9ac872796d94efd74fe9b594610ae3a935cfd189c0686cc84af26b3f49ec8</t>
  </si>
  <si>
    <t>201997B01005</t>
  </si>
  <si>
    <t>ee33f7ff5ce68c32d9998830d8f6d7f6841f072d73ac079c962f90332150a120</t>
  </si>
  <si>
    <t>201998B01005</t>
  </si>
  <si>
    <t>0d3105fa50c657699027ab7a7bd2f32cf4ed2608551efe3f7871f0e48dbda966</t>
  </si>
  <si>
    <t>202012B01005</t>
  </si>
  <si>
    <t>SANTIAGO JAMILTEPEC</t>
  </si>
  <si>
    <t>2660077bcf92ed6165757959ff29819c36946a87646d8f66b43423df7cf29c5c</t>
  </si>
  <si>
    <t>202012C01005</t>
  </si>
  <si>
    <t>f7930697b8dae62f8f5fe3271a04d3b8da1daaae1cd429fc81eefe9f6c289fdc</t>
  </si>
  <si>
    <t>202013B01005</t>
  </si>
  <si>
    <t>5d557608cdb519ab4bf251d25e87d9bafcbc8b3fe95443c30d25dfb9cb4953c6</t>
  </si>
  <si>
    <t>202013C01005</t>
  </si>
  <si>
    <t>9b3d54c1d07c812f77b0280d06a016a517803b8a05b88953f41fb5db07ccba32</t>
  </si>
  <si>
    <t>202013C02005</t>
  </si>
  <si>
    <t>021fb10a28b95565e3a52cc4f9c976dcd51f5a8f7d108569faed71185e3fccaf</t>
  </si>
  <si>
    <t>202014B01005</t>
  </si>
  <si>
    <t>bb9cac7d5d0f2efab09defa47162b7781bfdf52a19bc50e2f917b346dd9acd0d</t>
  </si>
  <si>
    <t>202014C01005</t>
  </si>
  <si>
    <t>b7a864a7ccba2a5c73248ff2123b3d3b85b039df5727bb0445af7470b1f98234</t>
  </si>
  <si>
    <t>202015B01005</t>
  </si>
  <si>
    <t>8c8da9b3ee2c42cdca5ccfc438c9db47a81dcb1e8158b95be66fd4396de9b027</t>
  </si>
  <si>
    <t>202015C01005</t>
  </si>
  <si>
    <t>bd00d461c1479f7c3e93e99fd50d6697ce6c90d482269d585ee09a9bed9d3124</t>
  </si>
  <si>
    <t>202016B01005</t>
  </si>
  <si>
    <t>7285702d55b53a728c2623b32a03679bc5ac8bf094cec8c4aada0792c2ea906b</t>
  </si>
  <si>
    <t>202016C01005</t>
  </si>
  <si>
    <t>9c51cf1ec5e2d4beeb71ee42671ae9db7cda3bf4c965f91e51151cfdcd81f0ab</t>
  </si>
  <si>
    <t>202017B01005</t>
  </si>
  <si>
    <t>432e4fcba968a2608f138f7e827c823e04eed1a873824c2262722963f34db98d</t>
  </si>
  <si>
    <t>202017C01005</t>
  </si>
  <si>
    <t>8363b339bb95298605f6490f7f858a987bbfd7d5eadbe5045a9874e3efa9c24c</t>
  </si>
  <si>
    <t>202018B01005</t>
  </si>
  <si>
    <t>fe053339aaa711e7e007716f67899f2750918ce04fb46e968e9fc43f738d790b</t>
  </si>
  <si>
    <t>202018E01005</t>
  </si>
  <si>
    <t>ceba495a34b4a7057ddcd15653e5ebb6036c7ca271658b1f0a4869ee250a3a8d</t>
  </si>
  <si>
    <t>202019B01005</t>
  </si>
  <si>
    <t>ae9f334826c9b31d77d674c0b4925dc2e33c1c051f1c750b242e43d240f21f2f</t>
  </si>
  <si>
    <t>202020B01005</t>
  </si>
  <si>
    <t>678d422a355c2d62b9ab74d47837fb4c82ccd12f6ff4de74d958eac2613802a6</t>
  </si>
  <si>
    <t>202021B01005</t>
  </si>
  <si>
    <t>3fe0af48410e8bf2478bbd0db7121fce1c192ec7e14b902affc729ab93685045</t>
  </si>
  <si>
    <t>202021E01005</t>
  </si>
  <si>
    <t>b1ad12f40bc1f0b1b2860c4a8093e3455eaf276829258f61acc1a59d32ec5ff9</t>
  </si>
  <si>
    <t>202022B01005</t>
  </si>
  <si>
    <t>76bc7f2d9627713041b3e1483065fab412f8447e18008d8c3088ed29b2834933</t>
  </si>
  <si>
    <t>202022E01005</t>
  </si>
  <si>
    <t>f65c1d0b5543544b68bc4e72369f9b99828e56a83cf1e6ae7be18926d9d4523a</t>
  </si>
  <si>
    <t>202023B01005</t>
  </si>
  <si>
    <t>95e40a62060ed50cb31d079fc11104ee9c9e29d1a87850772e6abd30b8bf7f38</t>
  </si>
  <si>
    <t>202024B01005</t>
  </si>
  <si>
    <t>c85fd089867d1dfad9a1d5b882df8766c59b12faad374fd9083c918d1b8cc6f2</t>
  </si>
  <si>
    <t>202024C01005</t>
  </si>
  <si>
    <t>3992259228c8d5494d4dcca9fd8ec26869dd7ab8bd3977b1b4db5f99e561f7e4</t>
  </si>
  <si>
    <t>202033B01005</t>
  </si>
  <si>
    <t>SANTIAGO JUXTLAHUACA</t>
  </si>
  <si>
    <t>513224b7bef853317099d28192737f85319df4ff10197c79b5ea132d29155419</t>
  </si>
  <si>
    <t>202033C01005</t>
  </si>
  <si>
    <t>a16f65c72c6e785986a1ca56cd5345ce35ee15da9fe737915f22ed8a0834a734</t>
  </si>
  <si>
    <t>202033C02005</t>
  </si>
  <si>
    <t>a43f5ec098dd04742cc155c874aa3a58dd4ab500f99f19a3ed6dbbb071192b1a</t>
  </si>
  <si>
    <t>202033S01006</t>
  </si>
  <si>
    <t>a4a8988721b511bf0aa69d73dbb6c74dcd6859bf3de2a43ecbb54544e28732c9</t>
  </si>
  <si>
    <t>202033S02006</t>
  </si>
  <si>
    <t>62307641d8641323b3ff68acfb748a6e8782edfee16c71e3b8237d7735239c1c</t>
  </si>
  <si>
    <t>202034B01005</t>
  </si>
  <si>
    <t>3ed72a19e9d22e187924b061c2931a5a38e6e603d99c9e576a7bd59f27ba1a46</t>
  </si>
  <si>
    <t>202034C01005</t>
  </si>
  <si>
    <t>2af4f63c61385e08d0a08e3994bf1f7cdc92fd2b210da25f51b52d305e8561ac</t>
  </si>
  <si>
    <t>202034C02005</t>
  </si>
  <si>
    <t>714ed19bde8b74da3c3cd3d2855d6c6c0781cdcae2b5cefb5634a2e804e75e8c</t>
  </si>
  <si>
    <t>202034C03005</t>
  </si>
  <si>
    <t>519fc88dad324c725a3c29a2224ed8105a56da9984f0b2259d30b5fa71c6531d</t>
  </si>
  <si>
    <t>202035B01005</t>
  </si>
  <si>
    <t>548f567d9997e5830ca0aabee53ff3243ed08fcc8142d01e71b5b21c204dab93</t>
  </si>
  <si>
    <t>202035C01005</t>
  </si>
  <si>
    <t>32a18b9e84c5aff3fef2330ec177b35e47e5eaa636e4e59c2a70d064ae2ca103</t>
  </si>
  <si>
    <t>202035C02005</t>
  </si>
  <si>
    <t>5a47e7652b307a1d2fc22e77a23df74abc7b65431aefe6efb8cf6a2d485185dc</t>
  </si>
  <si>
    <t>202036B01005</t>
  </si>
  <si>
    <t>2dc5fd92b83d90202201fa82997a6831054384deeb73d231f3937bab0067230f</t>
  </si>
  <si>
    <t>202036C01005</t>
  </si>
  <si>
    <t>082c4758495911fbb3a7267d3471e020506f7b21284cc730f49166840645c26f</t>
  </si>
  <si>
    <t>202036C02005</t>
  </si>
  <si>
    <t>4d10ecfbb180b92056bc243edd12128c0c98a6bbd83200d0e1ab45d262fcae43</t>
  </si>
  <si>
    <t>202037B01005</t>
  </si>
  <si>
    <t>296a3b99be763fcabd2b5c90291ed5c7c526edca5760cd985aeddf87b76993c1</t>
  </si>
  <si>
    <t>202037C01005</t>
  </si>
  <si>
    <t>1da2ba18210bc5e80f9a0244c59a3f4ec374273236773599ca35c4704a8221cd</t>
  </si>
  <si>
    <t>202038B01005</t>
  </si>
  <si>
    <t>a5cb7b0f3b7edafe30a572aee0235c6a26a31b986e16f6271876520318af7f6c</t>
  </si>
  <si>
    <t>202039B01005</t>
  </si>
  <si>
    <t>9c2c378180c6b398dacfeec7656723d0229c50e60dadd47db1763700730bcdfa</t>
  </si>
  <si>
    <t>202039E01005</t>
  </si>
  <si>
    <t>21d9d289a5e48a66ec0b7745c46b9148e662437da2a7aa08ad9229528cd5e301</t>
  </si>
  <si>
    <t>202039E02005</t>
  </si>
  <si>
    <t>9df9b155b6ce4e85736c5f35cd91a60bb63118585ef5efd217b74ca26da490fd</t>
  </si>
  <si>
    <t>202040B01005</t>
  </si>
  <si>
    <t>678ef46c042aef2115d0a3fa35d80eff52549f28480950b800949f0ddcc07eac</t>
  </si>
  <si>
    <t>202041B01005</t>
  </si>
  <si>
    <t>0e2140378160bb954ff6b97be5a9862d4c3bd3cfe3ff9dd2d18042b15760ea5e</t>
  </si>
  <si>
    <t>202041C01005</t>
  </si>
  <si>
    <t>18ec30aa3eabb14e40e1589f54605653c2b6404ce5db49e9a4325197a8163b36</t>
  </si>
  <si>
    <t>202042B01005</t>
  </si>
  <si>
    <t>d6d5e40569042d144800304c61096816043c7ff575aa1d21b88a363012683f24</t>
  </si>
  <si>
    <t>202042C01005</t>
  </si>
  <si>
    <t>9518b83aa0291730991106a77f9cb6f6bdc5d2fca004e5057135edc6acabb6ed</t>
  </si>
  <si>
    <t>202042E01005</t>
  </si>
  <si>
    <t>51f9408f38140a29d687ae792ceea5499944205dd2768456040bad3fd56f31ac</t>
  </si>
  <si>
    <t>202042E01015</t>
  </si>
  <si>
    <t>9c8dd939fb084d042bbf1c4e28d6b726f3c2dddcbae8afe0a05240c7944a381f</t>
  </si>
  <si>
    <t>202043B01005</t>
  </si>
  <si>
    <t>1066095158fc6c66b10c9e684d69983832dc610a233a64bdefe653e1af8610a4</t>
  </si>
  <si>
    <t>202043E01005</t>
  </si>
  <si>
    <t>921851582cf3a65838b1021a082caa760e42d8c8e81e2cfaa1e29a8a62d692c6</t>
  </si>
  <si>
    <t>202044B01005</t>
  </si>
  <si>
    <t>d0dd7d961ca8c920120829e4bb11076688d401b675c917c1db2791e7fb696e03</t>
  </si>
  <si>
    <t>202045B01005</t>
  </si>
  <si>
    <t>9450eb11c2eb7afcad1ad07ac10214c350757fd234028a214db4e93c57939231</t>
  </si>
  <si>
    <t>202045E01005</t>
  </si>
  <si>
    <t>993d1cadb8f67bc12b618fa9b6023ea9b6afc51ca8d17cdde1ca10e198dba85b</t>
  </si>
  <si>
    <t>202046B01005</t>
  </si>
  <si>
    <t>96cd61c5b03ef8379777e46b0fa1b4795332bae8c0a2da52eb6b8179a48c080e</t>
  </si>
  <si>
    <t>202046E01005</t>
  </si>
  <si>
    <t>6088e3da7a534a60df94be12c07a4e2f7e3cc54c7a464ff98526322595aa55be</t>
  </si>
  <si>
    <t>202046E02005</t>
  </si>
  <si>
    <t>11fc77c3f6b7e87c290021a622eeecfa94b2b655be752adb4bcb475d9830ce4b</t>
  </si>
  <si>
    <t>202047B01005</t>
  </si>
  <si>
    <t>e024206498234baee9ab08e298bc950b9f84fab1aaef51316ee96e2cd8588503</t>
  </si>
  <si>
    <t>202047C01005</t>
  </si>
  <si>
    <t>8e665c9094d18b49e046d7142aee8c708a5839a2cdaed6991fb278d0f8b2bcd3</t>
  </si>
  <si>
    <t>202047E01005</t>
  </si>
  <si>
    <t>350679eb8dae766c3a875c93fc220be16dd249d0f61a4c497272dac61a93c217</t>
  </si>
  <si>
    <t>202048B01005</t>
  </si>
  <si>
    <t>22558a0e4d5538a0177edf40c5cb1d5c6293362a64883595b4a1728d651896d8</t>
  </si>
  <si>
    <t>202048C01005</t>
  </si>
  <si>
    <t>f3ba7728837c27993c61d989cd6efa0385aead19236239caba325c2ff093bedc</t>
  </si>
  <si>
    <t>202048E01005</t>
  </si>
  <si>
    <t>254390f68ad5404ec0f66bf145749375da41070f1c8396dda83f2eab176d7c9d</t>
  </si>
  <si>
    <t>202049B01005</t>
  </si>
  <si>
    <t>0da8d821983c93bc5dce8ee1a30064fdf1cf30eea21353109dc77b576e48cf5b</t>
  </si>
  <si>
    <t>202453B01005</t>
  </si>
  <si>
    <t>c5a710c7b58ef85234aebcdb1912540fd8c97915b5f63feb7b46e164b222cac9</t>
  </si>
  <si>
    <t>202057B01005</t>
  </si>
  <si>
    <t>SANTIAGO LAOLLAGA</t>
  </si>
  <si>
    <t>706c65e0fc924ac16331a7bc682fd30d5f42f9fe00567c66f8bd427f45d82d52</t>
  </si>
  <si>
    <t>202057C01005</t>
  </si>
  <si>
    <t>741bda7fddece90a372b5075e85590592641af4fbe85c166db1f5e794f40110b</t>
  </si>
  <si>
    <t>202058B01005</t>
  </si>
  <si>
    <t>0dadd4912e26cb9c041a9bba8a7e4d75252891de27f211dba167ce08b9f1b315</t>
  </si>
  <si>
    <t>202058C01005</t>
  </si>
  <si>
    <t>38f8608d2880ceb5f7de36fb9ed2c876f29f936993f99a1e2a020e241597cd3d</t>
  </si>
  <si>
    <t>202058C02005</t>
  </si>
  <si>
    <t>b3749ddfacd25bca39c3ca208795203219147ba088cd4a133b8c028ba64b6331</t>
  </si>
  <si>
    <t>202059B01005</t>
  </si>
  <si>
    <t>076b70be9e77afec99174047efab72748c710579b8525d567f43dde23f6c80ee</t>
  </si>
  <si>
    <t>202062B01005</t>
  </si>
  <si>
    <t>SANTIAGO LLANO GRANDE</t>
  </si>
  <si>
    <t>be3b98cbec93f5ab73236405e42e5c3420d9c242f8dd2bee0fd420b61032c7d0</t>
  </si>
  <si>
    <t>202062C01005</t>
  </si>
  <si>
    <t>13265e9b8bdcbdd16b70072121ba6007e43ff42cc9a3736a468faf3415e32f45</t>
  </si>
  <si>
    <t>202062C02005</t>
  </si>
  <si>
    <t>20b1cb5dbd6de497f5526a4d6f8b35de1a684fa7f14a712862a1b841469f3298</t>
  </si>
  <si>
    <t>202063B01005</t>
  </si>
  <si>
    <t>d5d981f5291f5c96dcd946ac7a78352de83a1a88cb298a4abc39f2ed2d274459</t>
  </si>
  <si>
    <t>202064B01005</t>
  </si>
  <si>
    <t>7474921a0b27d42c349d172e1a32e89ea2ec6df43ff03e35be78b5e82a059ced</t>
  </si>
  <si>
    <t>202077B01005</t>
  </si>
  <si>
    <t>SANTIAGO NILTEPEC</t>
  </si>
  <si>
    <t>8883de72a06d81c2836e5272b2144af744fe53c7876dd69734e50c6997f26ace</t>
  </si>
  <si>
    <t>202078B01005</t>
  </si>
  <si>
    <t>fe67fd586ae0fb75dd19b90f08756c72f53322d92bec2311c086ef62e5b73971</t>
  </si>
  <si>
    <t>202079B01005</t>
  </si>
  <si>
    <t>70fc0e2f8afba1ff316bd81fd56a3b16e358c60698655b1ba0896a0857463dde</t>
  </si>
  <si>
    <t>202079C01005</t>
  </si>
  <si>
    <t>d458695e54ff81421ad73124377cb41a5a03a1d13bc1062443d3e619296cb7c7</t>
  </si>
  <si>
    <t>202080B01005</t>
  </si>
  <si>
    <t>f4c75ac186f763cf4ad9527c6df6a32377dc4dff451871e6107b862116f3cad2</t>
  </si>
  <si>
    <t>202080E01005</t>
  </si>
  <si>
    <t>441c425b46a1dc82119ff0c7a873077d44b6a931f2de4ab8dfa69ee95f769402</t>
  </si>
  <si>
    <t>202081B01005</t>
  </si>
  <si>
    <t>b230e9150196118959fa1be74821052cee897629872f9970d0de71ee1bd1650a</t>
  </si>
  <si>
    <t>202082B01005</t>
  </si>
  <si>
    <t>010553f8f2db936572af59673cb3f0a10e46a2ba010c3890ff189c1d093b45b8</t>
  </si>
  <si>
    <t>202083B01005</t>
  </si>
  <si>
    <t>c7f9b253aeae4963fd029725aa5cf4b1867fb964c113d258834f3818efdf3318</t>
  </si>
  <si>
    <t>202088B01005</t>
  </si>
  <si>
    <t>SANTIAGO PINOTEPA NACIONAL</t>
  </si>
  <si>
    <t>d88bed73c467ef360c347d96726de36aeeea156c3e3bc5ec7e154d08046df150</t>
  </si>
  <si>
    <t>202088C01005</t>
  </si>
  <si>
    <t>a1b578c74c40e133ed5b9b3657ca6bc40b33e8e3d0b2b45a6f1a06e50063a99b</t>
  </si>
  <si>
    <t>202088C02005</t>
  </si>
  <si>
    <t>bb124f1cd4cdbb2da99c734c6d9342c684123c10752146f074907553ac770302</t>
  </si>
  <si>
    <t>202088S01006</t>
  </si>
  <si>
    <t>dc35718898687f4c278d4c83c147c0d64c6b4ec1b438bde240b17efcd091b184</t>
  </si>
  <si>
    <t>202089B01005</t>
  </si>
  <si>
    <t>797e496501d2f99b551d9bf969ffd4f66910a9c83dd69071ecae99dc044e2ee6</t>
  </si>
  <si>
    <t>202089C01005</t>
  </si>
  <si>
    <t>453f5829608cc9fbd3292620b178b4d59e5c1b38ef53d1ca7542a824b77ed468</t>
  </si>
  <si>
    <t>202089C02005</t>
  </si>
  <si>
    <t>e1495561cd3c6100c028e029d7992a44e48887528c13355da201aff5609af530</t>
  </si>
  <si>
    <t>202090B01005</t>
  </si>
  <si>
    <t>75cbf6cdd56ac9f074d4672a0d8b9cfee83f8a00bf67b47596650762757e60b3</t>
  </si>
  <si>
    <t>202090C01005</t>
  </si>
  <si>
    <t>2253655910f80580cdcd69180e9e634378deb20b425c67fae9995dbc6a15446f</t>
  </si>
  <si>
    <t>202091B01005</t>
  </si>
  <si>
    <t>0363e5d1741855a686a4e0b0e8384486f8ac8890e253a4fa287feb0ae8b25c66</t>
  </si>
  <si>
    <t>202091C01005</t>
  </si>
  <si>
    <t>4f6e2b12e6eadf0e50aa2393b21ace05ceb8da7d892327c4d3e9ae9e9e0d6a58</t>
  </si>
  <si>
    <t>202091C02005</t>
  </si>
  <si>
    <t>0c6b23796cd58b54fefda55ae79594425cb3b0cbff8e3297251010cc7b0c8a3b</t>
  </si>
  <si>
    <t>202092B01005</t>
  </si>
  <si>
    <t>eccb49e06e607be612f2521e65451744a54a1617acac14c6db2b91d4efd0f89f</t>
  </si>
  <si>
    <t>202092C01005</t>
  </si>
  <si>
    <t>1738c0394bc77b861951ffa27843f6bb90ef8b9083fc766b62e151cfa0c2811d</t>
  </si>
  <si>
    <t>202092C02005</t>
  </si>
  <si>
    <t>f7f6d325772461bb4af68aa4dd352169fa6f8a5a8d2247a86d3edb5a72f43bef</t>
  </si>
  <si>
    <t>202093B01005</t>
  </si>
  <si>
    <t>e05b798058fd9f1114fc9b8246713b5a661ced7b79ad2e58dff38d5bad734d82</t>
  </si>
  <si>
    <t>202093C01005</t>
  </si>
  <si>
    <t>f686d6096cecbd03d8e4a61ca14417b6c9a13746d542789c8cb9ca5112bff320</t>
  </si>
  <si>
    <t>202094B01005</t>
  </si>
  <si>
    <t>004b5585f7e5de0b178ba9a0d086f0a27d2c305474f9ed0471129e652ac093b0</t>
  </si>
  <si>
    <t>202094C01005</t>
  </si>
  <si>
    <t>765f5918ba8c1079e542dc24de598623f11d0fd3e0ba928ef2dbc0c090a36361</t>
  </si>
  <si>
    <t>202094C02005</t>
  </si>
  <si>
    <t>2e62bfa149b209f245e86428fd0d8797902d1d5091dd7d7ba9aada8e889c62f8</t>
  </si>
  <si>
    <t>202095B01005</t>
  </si>
  <si>
    <t>5c69feaba25ac90880b46711df233bba8a3955a5470b0bc092d8700029dc9c9d</t>
  </si>
  <si>
    <t>202095C01005</t>
  </si>
  <si>
    <t>3ed4cbb5fabc19e138b574e92e5542fe03a4719c6fdb1c81da9284185016dd1d</t>
  </si>
  <si>
    <t>202096B01005</t>
  </si>
  <si>
    <t>ea63844fbe64a3a6307422cbd2c7a58d79592e89da15f41b1484770142b50966</t>
  </si>
  <si>
    <t>202096C01005</t>
  </si>
  <si>
    <t>161aaaae51d84be6ed01a573dc17a735c40b1d1c29a9a032cb13c624a4509a41</t>
  </si>
  <si>
    <t>202097B01005</t>
  </si>
  <si>
    <t>b7426a31a4fb461ef94f5718bd331139ec28159974fefc954c49072e0c61d391</t>
  </si>
  <si>
    <t>202097C01005</t>
  </si>
  <si>
    <t>f0c54b7deaa16aa7a7a14214971312e39ffeaa55681dc4bd2f3bebbb35dfe10c</t>
  </si>
  <si>
    <t>202097C02005</t>
  </si>
  <si>
    <t>3e374c9587a418ea6def7e176c99cae4ab7ec654cfba4a9da51cc47515ced666</t>
  </si>
  <si>
    <t>202098B01005</t>
  </si>
  <si>
    <t>54b6f01a38ecf8daaaa8c81c8d7dbe4c0918eb2fde32f9f381d1dfac65021365</t>
  </si>
  <si>
    <t>202098C01005</t>
  </si>
  <si>
    <t>08ce06dc1c6ac07d1fa3f4ee6c0cf67101d45f35f3668fb7e0045971e3e71610</t>
  </si>
  <si>
    <t>202098C02005</t>
  </si>
  <si>
    <t>73dbc7417dc7c12a464bde334afb9172f71eb7a443b4f8b725a78169dfa78955</t>
  </si>
  <si>
    <t>202098C03005</t>
  </si>
  <si>
    <t>602864aaa5051581049b4671e68957b383b79c98b73ac4ec863a58a23b6c03c5</t>
  </si>
  <si>
    <t>202099B01005</t>
  </si>
  <si>
    <t>634960d14125cdfaa63e0ba6eed758d29483d7b518bcd5db9f6e6ceab1018a25</t>
  </si>
  <si>
    <t>202099C01005</t>
  </si>
  <si>
    <t>3ed8450b3de3894e3f28545bc0757e925200503db6ce3bce16363eda7e121e14</t>
  </si>
  <si>
    <t>202099C02005</t>
  </si>
  <si>
    <t>b317985797089af917c967bf979b7a566dee00dcc7d5f6aca31988dabe07a3d4</t>
  </si>
  <si>
    <t>202099C03005</t>
  </si>
  <si>
    <t>af91c0707c06766e9333a281f10fd9b259c6684432c76c59725bbb1423687bae</t>
  </si>
  <si>
    <t>202100B01005</t>
  </si>
  <si>
    <t>99e11737a5cb31a9808d0d5bd2846b1683fd091b09a5215b718bf6b3ccbfc421</t>
  </si>
  <si>
    <t>202100C01005</t>
  </si>
  <si>
    <t>5a770ec507fe6a74425954b959c48cf65de083d0b5c406aaccf57230426f5ac9</t>
  </si>
  <si>
    <t>202100C02005</t>
  </si>
  <si>
    <t>2cb4fcc970c8c6cfd3036696f0dbe60492fd54b2b16d46469f53553b1887c042</t>
  </si>
  <si>
    <t>202100C03005</t>
  </si>
  <si>
    <t>6b7f5e62af2c0cf141672d26df0082fd5c3c9ed7e90f60ed4d22b40ac494d099</t>
  </si>
  <si>
    <t>202100C04005</t>
  </si>
  <si>
    <t>4fada19c30208d8d2c1758fcc0c32825f014ab2d1f26bd3cd2266b0a69dbdd67</t>
  </si>
  <si>
    <t>202101B01005</t>
  </si>
  <si>
    <t>df7da547c8a9be4f9f519142753a466073ef626664760737e69bd9b600141183</t>
  </si>
  <si>
    <t>202101C01005</t>
  </si>
  <si>
    <t>d6587bd4b41c1a6efa34e178840a5ef7465fac9488504b154967061ffcc43fbc</t>
  </si>
  <si>
    <t>202102B01005</t>
  </si>
  <si>
    <t>a41fb507ba2be498ce497bb09081a3461526711e1905efc49a19549f63b3c136</t>
  </si>
  <si>
    <t>202102C01005</t>
  </si>
  <si>
    <t>6bf34ce1292d0919df959713bfbfa7227816a1fe305b9c99dad5c75093ad2162</t>
  </si>
  <si>
    <t>202103B01005</t>
  </si>
  <si>
    <t>0b5b1d5281719cb8ca81895a64ac59dcc9077228916b8d8bb1a9ac397f18f562</t>
  </si>
  <si>
    <t>202103E01005</t>
  </si>
  <si>
    <t>7cc238e8da0416a9a9115ef6c678a7cfe866bf73fdae5e73d71179c0b36286ba</t>
  </si>
  <si>
    <t>202104B01005</t>
  </si>
  <si>
    <t>a3d79d8665b95d052b21b92ab6b52fcaee06581599ea47a507414268134819c0</t>
  </si>
  <si>
    <t>202104C01005</t>
  </si>
  <si>
    <t>5c978aec2ef7a1aff04dc8a008a6bdeb23c19ea2072e40e05837dc8a227ab480</t>
  </si>
  <si>
    <t>202105B01005</t>
  </si>
  <si>
    <t>fa234870fce22364bd4d1284f64fadfc4cd453df5f5810b8524103f6e29fe3a5</t>
  </si>
  <si>
    <t>202105C01005</t>
  </si>
  <si>
    <t>c2b7dfdcd2feaed03b659e5d59dcf378f46b034eed8cd25373e41c6e27bfcd01</t>
  </si>
  <si>
    <t>202106B01005</t>
  </si>
  <si>
    <t>c33f8b2bce254d2da82e89b2cd1e9510c15738e56d188abd8fbb9bb98ef761ee</t>
  </si>
  <si>
    <t>202106C01005</t>
  </si>
  <si>
    <t>d84932e9f5613b0fcc5b549e8e7326907dcdb8a2151242dfc86d07a00efd861a</t>
  </si>
  <si>
    <t>202106E01005</t>
  </si>
  <si>
    <t>84a4feee5eae8541c0d26c63d5ecde653188a1b0bccf63410af49ca90af90273</t>
  </si>
  <si>
    <t>202107B01005</t>
  </si>
  <si>
    <t>f0ddec5c1069abcb1333adce8750241825fbdc5af9c032a28b3765057e12cfd9</t>
  </si>
  <si>
    <t>202107C01005</t>
  </si>
  <si>
    <t>05e4fdfc6e24474918788667dc636f4f4368b2ba11994d3f70bd083430d15cc4</t>
  </si>
  <si>
    <t>202107E01005</t>
  </si>
  <si>
    <t>3f25699c8977f5204f62579042fa494f0a74368e7ecbe183c7bac3bbab360fab</t>
  </si>
  <si>
    <t>202108B01005</t>
  </si>
  <si>
    <t>ec8fc1e29ce5cd1229551b417e6ad55e1e34ccbf49d21e12739824637360aa45</t>
  </si>
  <si>
    <t>202108C01005</t>
  </si>
  <si>
    <t>f0b023aa1c49ae7021238d8ba73a9279f3c44214f9b8abce9b49cd5e5b9b493e</t>
  </si>
  <si>
    <t>202109B01005</t>
  </si>
  <si>
    <t>e128ea9bd26c0ccdba4b8ea91b7620573a58e3d8eba06e97f077f93f23e61e9e</t>
  </si>
  <si>
    <t>202109E01005</t>
  </si>
  <si>
    <t>5098a14d217c1852f1f178d2e00af93414d270622a914fb9af4ce73b8ea1e54b</t>
  </si>
  <si>
    <t>202110B01005</t>
  </si>
  <si>
    <t>210d4e9ca2f175f1a12218e3053a046fc477d405b03e77f584c8a6c7021894e5</t>
  </si>
  <si>
    <t>202110E01005</t>
  </si>
  <si>
    <t>c23ff2b68ff12e89c076dbd4ca92ac60ee88541b8e4dddb7e55001296007fe1b</t>
  </si>
  <si>
    <t>202111B01005</t>
  </si>
  <si>
    <t>2688245ed643f7a9ba2331a2a3c3f13f2b1398dc85e050fb97b5f240f8e653d2</t>
  </si>
  <si>
    <t>202111C01005</t>
  </si>
  <si>
    <t>d97aec31b40e272773a162f1cfafcba4b9223869e6bf04c7a042c830f9ff3ff9</t>
  </si>
  <si>
    <t>202111C02005</t>
  </si>
  <si>
    <t>238259e249a5c0087d0a1047c13a36c30f6b2555285df204713f49f57e9d4182</t>
  </si>
  <si>
    <t>202112B01005</t>
  </si>
  <si>
    <t>SANTIAGO SUCHILQUITONGO</t>
  </si>
  <si>
    <t>b661250d5b4b6f1d654d2a03b9f9e140e93faf920846ceddd5d6c8a18a7dfa3d</t>
  </si>
  <si>
    <t>202112C01005</t>
  </si>
  <si>
    <t>1e4738376b33d3a60e73480addccccec3d2417ffb50d81290f3bb2250263bea3</t>
  </si>
  <si>
    <t>202112C02005</t>
  </si>
  <si>
    <t>4abfe3c160efa7748d9094c87536cd5a2f73bd8183311795dbc57a8161a1ff47</t>
  </si>
  <si>
    <t>202113B01005</t>
  </si>
  <si>
    <t>29bbff2368cd24a882068c75b175f0641bbfa6f81568c1c39f6240bc842d7cb5</t>
  </si>
  <si>
    <t>202113C01005</t>
  </si>
  <si>
    <t>aa657709977539ac0a4b27231754976ce34b3aa494e71abe8715bfa950662a42</t>
  </si>
  <si>
    <t>202113C02005</t>
  </si>
  <si>
    <t>ef4a8c5bd3fbf8e2c64ef5a56639d2ece14474afa135710242904bd5ff66c0bb</t>
  </si>
  <si>
    <t>202114B01005</t>
  </si>
  <si>
    <t>b059f65b94619c2ccaa2bf1990e521a1d2df295f2f578bdb0a68b3536eb5d5ce</t>
  </si>
  <si>
    <t>202114C01005</t>
  </si>
  <si>
    <t>6b61a5f0e77de35cc9d0fbda936c5b9500807e57b9ee5e0a19a7537298e3c324</t>
  </si>
  <si>
    <t>202114C02005</t>
  </si>
  <si>
    <t>fc6713bac66a4c315b479e17c1670eceaf486aa0b144e667289b598b876eecc8</t>
  </si>
  <si>
    <t>202115B01005</t>
  </si>
  <si>
    <t>c49632b9af7ef08ea4584e933219b695157deb6da7a330effb1f4340d680b2a0</t>
  </si>
  <si>
    <t>202116B01005</t>
  </si>
  <si>
    <t>187d0f84887ca87e749f65360c8281c8c877030dafc81a6e5eb2fc4b61a61310</t>
  </si>
  <si>
    <t>202116C01005</t>
  </si>
  <si>
    <t>641394c3fd0316e1b7d42efdeb5962f35fcc4932ffaecfe64d34848d92da797e</t>
  </si>
  <si>
    <t>202117B01005</t>
  </si>
  <si>
    <t>SANTIAGO TAMAZOLA</t>
  </si>
  <si>
    <t>fe96a826c893ffac4b223825e1c2220e960ecae6fe574856b32e1b660c9bdcc6</t>
  </si>
  <si>
    <t>202118B01005</t>
  </si>
  <si>
    <t>01adb8f59dd96e80c4c63ce601d2c6a07409a27a0e6a04348d85ab42519d15b7</t>
  </si>
  <si>
    <t>202118C01005</t>
  </si>
  <si>
    <t>25eb95ac3a9eaf3c20f5acd5ed0737483259a0eadc1eefc4cade3a6068e817ee</t>
  </si>
  <si>
    <t>202119B01005</t>
  </si>
  <si>
    <t>71f747bd631a339e2f3c1817fe1180cdc18982d122c715c9328c04c12f086bc6</t>
  </si>
  <si>
    <t>202120B01005</t>
  </si>
  <si>
    <t>32c1147a1ef3dd2b90bb93dcc61b3e4459b353d5ea184f02bfd620753abb2530</t>
  </si>
  <si>
    <t>202121B01005</t>
  </si>
  <si>
    <t>35b7f2fda45e314290998dcceef8c584ff2a2acae147a4efdc8c763c161361b5</t>
  </si>
  <si>
    <t>202122B01005</t>
  </si>
  <si>
    <t>9f4aef5690e168d86fe6a95ac2156d5abb819ab0decf291bed09921b7b533f84</t>
  </si>
  <si>
    <t>202123B01005</t>
  </si>
  <si>
    <t>SANTIAGO TAPEXTLA</t>
  </si>
  <si>
    <t>400c8d71d67d623f5bbf16794e50e5a22a45f6d8c76170edbc7305bcbb50c2be</t>
  </si>
  <si>
    <t>202123C01005</t>
  </si>
  <si>
    <t>09090e5de091745fbc2d088170ef307c850fa729bf36aef4dfd1dba3bbdf7f8e</t>
  </si>
  <si>
    <t>202124B01005</t>
  </si>
  <si>
    <t>97da02d825e34a5e7363fa63e273d53f5e3c9460e4022351d48d5cd747a9ff5e</t>
  </si>
  <si>
    <t>202124E01005</t>
  </si>
  <si>
    <t>1be1f2a3d4a8ffd44573902bd794e1519d745dfe020b7abaad3ea38297f4cf88</t>
  </si>
  <si>
    <t>202124E02005</t>
  </si>
  <si>
    <t>3d8f53d2978c66ee6d5d95eecd9bc41069cce09e1863f1c229243dee2abab20e</t>
  </si>
  <si>
    <t>202128B01005</t>
  </si>
  <si>
    <t>SANTIAGO TETEPEC</t>
  </si>
  <si>
    <t>a22071796528472fdf6df0c82a8501d2755395430b6e8151d32c068d47d48e0d</t>
  </si>
  <si>
    <t>202128C01005</t>
  </si>
  <si>
    <t>00acf2e513f5a328cc5af749b6c4e08dd52015d11b96681a06054a53e6c01175</t>
  </si>
  <si>
    <t>202129B01005</t>
  </si>
  <si>
    <t>70e58894921bac953d0d444f6c3273da74fc7dc3507436a54e96866040ec0e43</t>
  </si>
  <si>
    <t>202129C01005</t>
  </si>
  <si>
    <t>85b6e13b8d8be70fdb18717454211e4d3a72fea0a4a40dcf72cb217fd31a1d8f</t>
  </si>
  <si>
    <t>202129E01005</t>
  </si>
  <si>
    <t>1330ea309d5fab8b96f5c1647e662221dec5b8cdf5627368098392fa68adeb62</t>
  </si>
  <si>
    <t>202130B01005</t>
  </si>
  <si>
    <t>9eaf3a8cf6ec3bc779ce0367ab2c4fef51f949082f13ab3ab000d006fab901c5</t>
  </si>
  <si>
    <t>202130E01005</t>
  </si>
  <si>
    <t>b07dd00d7473383385500377d1a4af0ab559a38e6ceadd44ed936ce7619488e9</t>
  </si>
  <si>
    <t>202130E02005</t>
  </si>
  <si>
    <t>86f3747d306984c5b854ebab5f300edbd5cf60bad15ad5c10b089e810b704f1e</t>
  </si>
  <si>
    <t>202173B01005</t>
  </si>
  <si>
    <t>SANTO DOMINGO ARMENTA</t>
  </si>
  <si>
    <t>2104e20310b5a582f1a549bc391741d80fafde0ddad89c81b665d637fffedcc6</t>
  </si>
  <si>
    <t>202173C01005</t>
  </si>
  <si>
    <t>1968d7ef3b20596a65a8a09deadc07596196734a0ce78c375a18d6090c951e45</t>
  </si>
  <si>
    <t>202174B01005</t>
  </si>
  <si>
    <t>39487ea941983e1d6546d7cd5fb884c27268d28e832e68f003578d649160979a</t>
  </si>
  <si>
    <t>202174E01005</t>
  </si>
  <si>
    <t>7d378a931a6ef329470cf21caa5d08e0a5619233ac0c47f6a1fdda638f8a1aa7</t>
  </si>
  <si>
    <t>202175B01005</t>
  </si>
  <si>
    <t>SANTO DOMINGO CHIHUITAN</t>
  </si>
  <si>
    <t>f1a2c3f00d1c263363472c93e4bbc74703037a8da670a92d217e31f7b190fbdb</t>
  </si>
  <si>
    <t>202175C01005</t>
  </si>
  <si>
    <t>f38472f80fef5ee3518f00f30cb3d406ad8a263c6c3222d69bd13f82a8b1e857</t>
  </si>
  <si>
    <t>202180B01005</t>
  </si>
  <si>
    <t>SANTO DOMINGO INGENIO</t>
  </si>
  <si>
    <t>e6901b5ebf266ddb9ea5554c06325adec60b272b3a93bd89dc747e7b157c7ac9</t>
  </si>
  <si>
    <t>202180C01005</t>
  </si>
  <si>
    <t>9f53249fcba55bfb6891ee16cf9b3b10ab7e377d3f89100ec04c98190572dda3</t>
  </si>
  <si>
    <t>202181B01005</t>
  </si>
  <si>
    <t>b20f37a7ab1ed22f009928285e47aa40d5a50946e477ef1eaf6efde0415c196e</t>
  </si>
  <si>
    <t>202181C01005</t>
  </si>
  <si>
    <t>a0298fda756878f9e66ac3cacd0045927c1f1160e24ad809173cff540ddfca97</t>
  </si>
  <si>
    <t>202181C02005</t>
  </si>
  <si>
    <t>03c77890c11df6baa38cdbd24d7ee99055bd680302720d1b92d8959fa904343b</t>
  </si>
  <si>
    <t>202182B01005</t>
  </si>
  <si>
    <t>d66656568cf8a09f513e8bf04fc713a20fde1ed6f9fef7d04d47ebc561c678a0</t>
  </si>
  <si>
    <t>202182C01005</t>
  </si>
  <si>
    <t>5c9584fb29ba5a90ce941fbebdcac0b43c9ffea84f46957ee454b1ddbc63bda2</t>
  </si>
  <si>
    <t>202182C02005</t>
  </si>
  <si>
    <t>727490a385b98eefbfb6297a3b3b8fdcdfb27c675dc8f5c76a73f6ba4f70374a</t>
  </si>
  <si>
    <t>202183B01005</t>
  </si>
  <si>
    <t>1e0a9cf7238d99f99c4ca26f1bc41641c8f06819789aed2a54f62e0ebf44c4dd</t>
  </si>
  <si>
    <t>202184B01005</t>
  </si>
  <si>
    <t>163660071601bba465abe689a8ddeae4e8cc6bef5223172534737166aecf37a4</t>
  </si>
  <si>
    <t>202184C01005</t>
  </si>
  <si>
    <t>435368f60eb5fd1a55be51fc18880e0f29a39d9a2eb6321a5245bcd52d5a8f76</t>
  </si>
  <si>
    <t>202184E01005</t>
  </si>
  <si>
    <t>57b2955bc5d7eeb881f0fe16082b23ac4c098d08b7e281c8ecb464e1c856891a</t>
  </si>
  <si>
    <t>202190B01005</t>
  </si>
  <si>
    <t>SANTO DOMINGO PETAPA</t>
  </si>
  <si>
    <t>3f3a3f54aa45a656486b1f9b740f92895c5750f732ad1a72e42032189925e37e</t>
  </si>
  <si>
    <t>202190C01005</t>
  </si>
  <si>
    <t>21b2125151aad95989c6c317fc8377deaf7331aa8a2d4ec97e92403885e98e29</t>
  </si>
  <si>
    <t>202191B01005</t>
  </si>
  <si>
    <t>41d9aa43459d718fbc1708ff4297e2b884cda728fbf3a0808485f299da84879d</t>
  </si>
  <si>
    <t>202191C01005</t>
  </si>
  <si>
    <t>23b2021c258163773545532d6295aa1198dd252bd21143807436417e7c907af2</t>
  </si>
  <si>
    <t>202192B01005</t>
  </si>
  <si>
    <t>bfd20bcb8abca119616b967b0c6684d508ad2ad24803a94307594d56eea66d40</t>
  </si>
  <si>
    <t>202192C01005</t>
  </si>
  <si>
    <t>d2821afaf831905b03f23aad5a16c225696563320f080453882dc7546ae304db</t>
  </si>
  <si>
    <t>202193B01005</t>
  </si>
  <si>
    <t>3e90401744b547ba61ef473d9d2f3e788543c689ae4ec4cdf0f216c1acf5af16</t>
  </si>
  <si>
    <t>202193C01005</t>
  </si>
  <si>
    <t>7ba4b206ee1f200745f2788db2f05e4c9a5381ce0bfab1c4f17059ff098f1073</t>
  </si>
  <si>
    <t>202194B01005</t>
  </si>
  <si>
    <t>ba75a379b1b8bede882b681c4e119d20daa3915f9bb56fbd3ff81c923b3a91c6</t>
  </si>
  <si>
    <t>202195B01005</t>
  </si>
  <si>
    <t>e2a415dc3a7556af5519e4f22ea8d2f7203b46046c463f76ce216ddb1ee5b06a</t>
  </si>
  <si>
    <t>202195E01005</t>
  </si>
  <si>
    <t>a052ffefdba5be76c9abc00e1f736b723a9d02f95b4364e01f745b01e43198fa</t>
  </si>
  <si>
    <t>202196B01005</t>
  </si>
  <si>
    <t>bd9fe650d804561401b4cb317aefa602a5b0ec7ec8f80dd95c4875bd0ef37da9</t>
  </si>
  <si>
    <t>202197B01005</t>
  </si>
  <si>
    <t>20adcbac934470eafe84b8281e90dfbfcff3d92dfccfd8177dff7f1678b8e745</t>
  </si>
  <si>
    <t>202198B01005</t>
  </si>
  <si>
    <t>ecf7b13a7df7f835020302e0b428b8e0212fb88931bbd1ae5a3b6ce0bed2cd2b</t>
  </si>
  <si>
    <t>202054B01005</t>
  </si>
  <si>
    <t>SANTO DOMINGO TEHUANTEPEC</t>
  </si>
  <si>
    <t>8c13e2aacd0cc00fd9ba4d8b8ae5dcbaf70969dbad3d22210b6a5a4ed51f3e79</t>
  </si>
  <si>
    <t>202200B01005</t>
  </si>
  <si>
    <t>d72ba445f2e1214bcbbb9db82179134a4b83b021893dadb4435ed90bc90bbc85</t>
  </si>
  <si>
    <t>202200C01005</t>
  </si>
  <si>
    <t>ed81b7a4e444d10e09e5673702f511f844c95065aa8c4a6b44d0a08bb6e7456d</t>
  </si>
  <si>
    <t>202200C02005</t>
  </si>
  <si>
    <t>8f8d4281b933fb7fefed1c01ceae788f22dc34f9257a53ee00a54e8ce1a6fa02</t>
  </si>
  <si>
    <t>202200E01005</t>
  </si>
  <si>
    <t>6d0e4725d4e3816d316fabdd50286209c0fb53140984f56e5fac42225d263bf1</t>
  </si>
  <si>
    <t>202200E01015</t>
  </si>
  <si>
    <t>31f589c155f6ffba63d33b0a9e4ef475945620cdaae1d030da0593da061dc504</t>
  </si>
  <si>
    <t>202201B01005</t>
  </si>
  <si>
    <t>fb7ad2dbef697932e083530bc4531433df4ce7cdcee4521888788d18a03a4bb2</t>
  </si>
  <si>
    <t>202201C01005</t>
  </si>
  <si>
    <t>ad9b8da310e8b8ccbf54be5cdfcd49c30262c38de5e1daad98b292e2afa8cc73</t>
  </si>
  <si>
    <t>202201C02005</t>
  </si>
  <si>
    <t>c66275dbef23fbd35c6fdcd206fb71a218bbe3503f2aa22b09e0d79fab53ed34</t>
  </si>
  <si>
    <t>202202B01005</t>
  </si>
  <si>
    <t>68eff87fd02fca2d9e77fb0dbd27a89d894e2b93c5d7c29f320e3e97ac9ff692</t>
  </si>
  <si>
    <t>202202C01005</t>
  </si>
  <si>
    <t>fbc26119b3a1c5f9118f28b95aeb14bbd617df4af1333b66d104567003ff3ff9</t>
  </si>
  <si>
    <t>202203B01005</t>
  </si>
  <si>
    <t>70d967f776d82a95a94ad4e1762a14e64435ed760e1f58104b15e90586cbf552</t>
  </si>
  <si>
    <t>202203C01005</t>
  </si>
  <si>
    <t>798cd6ea4093ec59dc90404a19b891b74d007664e7332ba4f809f2dc0364908e</t>
  </si>
  <si>
    <t>202204B01005</t>
  </si>
  <si>
    <t>08d4a2d1084792629af3bd540a307fe8556b2d31f7eb5ff59fa3c40d84ed92cc</t>
  </si>
  <si>
    <t>202204C01005</t>
  </si>
  <si>
    <t>116295a1541d1ed0b9a2c269c853adfc82a21c4f7af96fde3cccae899c39aa82</t>
  </si>
  <si>
    <t>202205B01005</t>
  </si>
  <si>
    <t>c79d0e92da9777bc796b457926cbd841ceb7b11544bc143dd42b6cda543e34cf</t>
  </si>
  <si>
    <t>202205C01005</t>
  </si>
  <si>
    <t>010365437858350a5efe9a9e11c58afa89196d78dc922d206a3bed7aa45f95c1</t>
  </si>
  <si>
    <t>202205C02005</t>
  </si>
  <si>
    <t>59bfe65553ea6df6e7fe917a4c587344bef518d0b14dfa4dfc0dbf6217f91a3d</t>
  </si>
  <si>
    <t>202206B01005</t>
  </si>
  <si>
    <t>0076f58b807b0db5cbe2dd6453ee9ab632718d8b4849bf8cd86202dcd461a611</t>
  </si>
  <si>
    <t>202206C01005</t>
  </si>
  <si>
    <t>b3313390bc73ddb04ae236510c49ae9dbdca91372c14726a42aaf279d3af66e8</t>
  </si>
  <si>
    <t>202207B01005</t>
  </si>
  <si>
    <t>93e830fcfab2102d628de1c148c9268fc8641d8d996c3f30571e4db4e0b6e720</t>
  </si>
  <si>
    <t>202207C01005</t>
  </si>
  <si>
    <t>652572a2d4db97d9c069e8e035728356827f39fb97ba8fb8300b876f27ce1e1b</t>
  </si>
  <si>
    <t>202207E01005</t>
  </si>
  <si>
    <t>f624d3a7dbffb34cf8f02ab2142141ab052c3f417e49497c95e8dc399a383539</t>
  </si>
  <si>
    <t>202207E01015</t>
  </si>
  <si>
    <t>7084c8c17db88d9c3743870a279d4da85df3d39460ac527613584fd9eeaa6542</t>
  </si>
  <si>
    <t>202207S01006</t>
  </si>
  <si>
    <t>b5327e28db9e08944f9ee73a0e939b6a7abd013c48d25b58aff8c2c926807a62</t>
  </si>
  <si>
    <t>202207S02006</t>
  </si>
  <si>
    <t>3152634dfb8d17e76e29ab581ee18094e614645dbe94d54833ee27cdafe3527d</t>
  </si>
  <si>
    <t>202208B01005</t>
  </si>
  <si>
    <t>9b4591a24fe5d97ab01ca8231bbfb4e49d2b693c59e5db8e273c1bfbcca10e9b</t>
  </si>
  <si>
    <t>202208C01005</t>
  </si>
  <si>
    <t>164f2b53846ed8362d65dd291a30de9a2652dfbf5e80ae1f57eb63872bf79cd3</t>
  </si>
  <si>
    <t>202209B01005</t>
  </si>
  <si>
    <t>6d7a8bc0ea2b0dbb5fff1b49489296c2fff4004dab56f542a5f46156e581e1c4</t>
  </si>
  <si>
    <t>202209C01005</t>
  </si>
  <si>
    <t>f03d8c6a2b55b17dc3124105bc2abee651ae6af4df090e4a3a1ce1a9ae9c1567</t>
  </si>
  <si>
    <t>202210B01005</t>
  </si>
  <si>
    <t>c4a1d34915fcfc6841370fdb92a8a97bfb1670f5814f296b4df9462f0a9e9473</t>
  </si>
  <si>
    <t>202210C01005</t>
  </si>
  <si>
    <t>07b56b2d0672ef5cfae3c1ef5bc000332631fa1e26bbc4cfc9531c999446af73</t>
  </si>
  <si>
    <t>202210C02005</t>
  </si>
  <si>
    <t>e3fba682705a64154e7b9ca8b65bfe78bddf7791d68ef5242572e8979a2d01f5</t>
  </si>
  <si>
    <t>202211B01005</t>
  </si>
  <si>
    <t>142ab25dec96c7353fd60118d259532cde224fb0eb8443242cf0fb0d56301182</t>
  </si>
  <si>
    <t>202212B01005</t>
  </si>
  <si>
    <t>9e53951738426cd52aea9f86b93565d97b8979c8fb5165bfd6b251033b19ece1</t>
  </si>
  <si>
    <t>202212C01005</t>
  </si>
  <si>
    <t>0ba783b5595da4f16235b5a1caca9cfb27830c2ed8438f93d8477238b1e0f2fb</t>
  </si>
  <si>
    <t>202213B01005</t>
  </si>
  <si>
    <t>269a3ceb1a51cc55b00c45fb51e984a8645f689c46f51b67d209f5cf202c9344</t>
  </si>
  <si>
    <t>202213C01005</t>
  </si>
  <si>
    <t>64a8d5dc410e0dd70cc1c40b0ac430cd4dfbe19fb3af85fdffa3d42dc377b214</t>
  </si>
  <si>
    <t>202213C02005</t>
  </si>
  <si>
    <t>65e91154c2a0e6be50082be1346bdeaf1488be03284185d36a498800c41c534d</t>
  </si>
  <si>
    <t>202214B01005</t>
  </si>
  <si>
    <t>440551652534b4dede3a6f841aef00bc576af08b732894131fd55157b089b37f</t>
  </si>
  <si>
    <t>202214C01005</t>
  </si>
  <si>
    <t>3d30b6e83c94930f2d564de5dc909ae177395a1c72c5579c420dbfe3f75e9a5f</t>
  </si>
  <si>
    <t>202214C02005</t>
  </si>
  <si>
    <t>d8b052e7e65f30aef05b780480ad1d3285000b95cf8200cca07fb24f2f18698c</t>
  </si>
  <si>
    <t>202215B01005</t>
  </si>
  <si>
    <t>e21bce732bbc291ee47f1e85bec32d7c1d074841ac598e715c027b1708a46c7c</t>
  </si>
  <si>
    <t>202215C01005</t>
  </si>
  <si>
    <t>34f3f7fa4f74a0677239a062679b1a1d3838b654a8462b21f6d7b4a9773d1f1e</t>
  </si>
  <si>
    <t>202215C02005</t>
  </si>
  <si>
    <t>18d326fc735c0f40057899f625516907162ef5dcef226253ccdb2997e4577855</t>
  </si>
  <si>
    <t>202216B01005</t>
  </si>
  <si>
    <t>5bef40f041b0ec48c0bb84c9a0a93c4ada6e67d6b03480a27c723a7b5fbf19da</t>
  </si>
  <si>
    <t>202216C01005</t>
  </si>
  <si>
    <t>dc56a78d9948c2a9a80d4a93a0f2416bf0025af5d13ea20c0940b52d70a63529</t>
  </si>
  <si>
    <t>202217B01005</t>
  </si>
  <si>
    <t>5b1bf71147b3db7788ae3b7af3878c0e5fb33315a6c7d99546c34bf622a1c0db</t>
  </si>
  <si>
    <t>202217C01005</t>
  </si>
  <si>
    <t>33d06f9be18fe7ac3ed01e8f4571a0e35d637c043ec713a77be36ca174f95024</t>
  </si>
  <si>
    <t>202217C02005</t>
  </si>
  <si>
    <t>c3a470007e8ed40f0c3f8967cfd9ef5233399ab7a35e070b984a58c0c1ca2152</t>
  </si>
  <si>
    <t>202218B01005</t>
  </si>
  <si>
    <t>303b61c06ca5b7edb9c90a664fb187a835ad6af6482f83dcc35afd7e289a4781</t>
  </si>
  <si>
    <t>202218C01005</t>
  </si>
  <si>
    <t>68c46408abdd518ea18a73ca005ccee2c8859b519bda157fc08041c67fa983e3</t>
  </si>
  <si>
    <t>202218C02005</t>
  </si>
  <si>
    <t>54dbfe69b8b945ef7d0ad056db9ac97d17562b6bb9233ab20e6f0b0f2d462866</t>
  </si>
  <si>
    <t>202218C03005</t>
  </si>
  <si>
    <t>b1d1b78812c52758119bed0803d6a2a20a6647ba790e12d5fc15bcac8ac880a1</t>
  </si>
  <si>
    <t>202218C04005</t>
  </si>
  <si>
    <t>60c85e8cc6ad1b3ddf4ffcc47c3871629a5a2c267dcf08872400cb276c0f85e0</t>
  </si>
  <si>
    <t>202219B01005</t>
  </si>
  <si>
    <t>924d354939b7d813f97893535593df686a05d3831c029d2f217aea829fd98afe</t>
  </si>
  <si>
    <t>202219C01005</t>
  </si>
  <si>
    <t>efd3e2e01b29c9f4dc8e7132c563a9f3565b15369843a478522990f1edb61595</t>
  </si>
  <si>
    <t>202219C02005</t>
  </si>
  <si>
    <t>820053d31686027c1d6ad02f587b90f875d9c1b97a30702e74f4b592ee29b22f</t>
  </si>
  <si>
    <t>202219C03005</t>
  </si>
  <si>
    <t>9bb6ce5648a15198395835ed6a7abf1a2bc1d8a0e0bb9c749dcc82141d1473ab</t>
  </si>
  <si>
    <t>202219C04005</t>
  </si>
  <si>
    <t>51148750db7199c29cfd6af50b6dea1d162130c20365312d46c679a1f9a1355a</t>
  </si>
  <si>
    <t>202220B01005</t>
  </si>
  <si>
    <t>d0178c3e1e6458f56d732f94fc87b953c6ad2fb8fc662a69171a8151c2598b87</t>
  </si>
  <si>
    <t>202220C01005</t>
  </si>
  <si>
    <t>adb9bba2c7e5d37faf1bab6724aabc4c3b47f3aeb7aa362b73fca45fb88ff42a</t>
  </si>
  <si>
    <t>202220C02005</t>
  </si>
  <si>
    <t>9a544409c557abd9b0bceb7ec46a0be7d7bd06bf41fb1f38df62dab3ca66d5cb</t>
  </si>
  <si>
    <t>202221B01005</t>
  </si>
  <si>
    <t>3969d0495764092a8392f91be938ec0d7c44198e0e2fe0ae894157467b9194aa</t>
  </si>
  <si>
    <t>202221C01005</t>
  </si>
  <si>
    <t>be6193c99f65f672fae3cfb9a87f96d0c2ec739e7c7354be8bca0942d220ab8d</t>
  </si>
  <si>
    <t>202221C02005</t>
  </si>
  <si>
    <t>07b7f8f3f4a1fe3d605f452de90e2f632b9890152006d61985cf69093388fcd5</t>
  </si>
  <si>
    <t>202222B01005</t>
  </si>
  <si>
    <t>27f74b7212a382667b868f896eb75772f50ad56406475e26756a6e5eae9a9c48</t>
  </si>
  <si>
    <t>202222E01005</t>
  </si>
  <si>
    <t>0c4d21c0bd671d7545fcafde739fb6df4ab0270cd8b8be21c8e99ad955900687</t>
  </si>
  <si>
    <t>202223B01005</t>
  </si>
  <si>
    <t>b1e95692a053344eb4ba98a7f260b32b5dd13c18f4e578bd72468e35a1d1c429</t>
  </si>
  <si>
    <t>202223E01005</t>
  </si>
  <si>
    <t>d655c6b6c4fa6b1eb93779a57dfa4e9dd5a51d063024fc6dc2783d2f65442a04</t>
  </si>
  <si>
    <t>202224B01005</t>
  </si>
  <si>
    <t>36e7b0f67403c9a997a731cc45efe56feaab2ce3c56e2666e58b5aaff54c2a05</t>
  </si>
  <si>
    <t>202224C01005</t>
  </si>
  <si>
    <t>59af2fbe38da61d9e77984db19fead3526b67cdc9978192db8aa60152bfb280f</t>
  </si>
  <si>
    <t>202224E01005</t>
  </si>
  <si>
    <t>25b1b08240ef92b3962a86a23a29352e9ec7fc6624fa885f52701ef649e95919</t>
  </si>
  <si>
    <t>202224E02005</t>
  </si>
  <si>
    <t>09e015d493a7070aaa63db2934acd89fae0a41c166c00e1ff550ea2aafe0a7f8</t>
  </si>
  <si>
    <t>202224E02015</t>
  </si>
  <si>
    <t>1e44fa9788318d6c69226cb2bfca1dc34b10a8fa0ac8ddc98b9ad68ef289825a</t>
  </si>
  <si>
    <t>202224E03005</t>
  </si>
  <si>
    <t>034847425691da908c8a071276a0b36fc4c060e6efd2a87e9edd54c5a0130e60</t>
  </si>
  <si>
    <t>202225B01005</t>
  </si>
  <si>
    <t>aec290f29371702b841d9c104650a0952e5b69ea9c4c05cc11289771d9f1a959</t>
  </si>
  <si>
    <t>202226B01005</t>
  </si>
  <si>
    <t>6fc34ee31871e937997ee1a7946bb6da7a7390b055adab5ca6d04ee26a70a3b1</t>
  </si>
  <si>
    <t>202226C01005</t>
  </si>
  <si>
    <t>6a79cdf199ed35d68abda5eb20e24a2dd05faf4338a63047f10f5d98e01c179f</t>
  </si>
  <si>
    <t>202226E01005</t>
  </si>
  <si>
    <t>51c841bd4c6d6c4a86f92ced9a85d076c3024c7a42e2d4bf649521ff29eaca79</t>
  </si>
  <si>
    <t>202226E01015</t>
  </si>
  <si>
    <t>b8b14db17abe7c566d7fb45ccd2dfaa95d5aa266fa2cbef25e3f7d54271bdd32</t>
  </si>
  <si>
    <t>202227B01005</t>
  </si>
  <si>
    <t>fa180087df1c55718de5a1c63de6ee7a47d42588fed13ff6bd41d08da78ac520</t>
  </si>
  <si>
    <t>202227C01005</t>
  </si>
  <si>
    <t>9c32b121d243cc9cd02de277ea4d4b5bb5ccfae984d7ed7a23e63efa2bf82a9c</t>
  </si>
  <si>
    <t>202227E01005</t>
  </si>
  <si>
    <t>0d0b2305c4de025bc936226df2d71da926ee01fc4a5d875ccf119e4c81ecdf02</t>
  </si>
  <si>
    <t>202228B01005</t>
  </si>
  <si>
    <t>1e31325b8098bc3b5bbd5d8f3ece5415072d386d14cf8cb85ee1a6adea1dc7d8</t>
  </si>
  <si>
    <t>202228C01005</t>
  </si>
  <si>
    <t>0f37da5c115c1a08392377e03b113e66cd3b31fada5722f4340f355244be5d4e</t>
  </si>
  <si>
    <t>202228C02005</t>
  </si>
  <si>
    <t>452b8017dc6c29e73179f6d8ca517b4a06a8d63ddd8ba954a386e97e788a924d</t>
  </si>
  <si>
    <t>202237B01005</t>
  </si>
  <si>
    <t>SANTO DOMINGO TONALA</t>
  </si>
  <si>
    <t>1387a579cae04f4eacb5b50adadc06ca719a5619dc606842f3ec71bcfc016315</t>
  </si>
  <si>
    <t>202238B01005</t>
  </si>
  <si>
    <t>c61db4589c2b10a265bf04791fc19c87bba47e68b214537e3f55257565d098b3</t>
  </si>
  <si>
    <t>202239B01005</t>
  </si>
  <si>
    <t>25c6c1f522757656623dd0c3b654dab30268e65be069bfe7303127d5e330e7bc</t>
  </si>
  <si>
    <t>202239C01005</t>
  </si>
  <si>
    <t>9ce963b041b1602289f992fd862ae2cd90215871bcfe9c9bad6edcab17fc1405</t>
  </si>
  <si>
    <t>202240B01005</t>
  </si>
  <si>
    <t>0bd0897f6005118bcbf41f57e6a208a7191cbebebbdb85a8c00949bc54332460</t>
  </si>
  <si>
    <t>202241B01005</t>
  </si>
  <si>
    <t>60e1fc3bd741876da539ecca3062f86869782487825c0cf97137b1dc0465ec84</t>
  </si>
  <si>
    <t>202242B01005</t>
  </si>
  <si>
    <t>0a488136ae3ca530e23c10713ddd018d9668d09bd7a9f60218d3f6ed335e2543</t>
  </si>
  <si>
    <t>202242C01005</t>
  </si>
  <si>
    <t>65528b7916de8a6c4e060e3f5f40c758aceddb2eec9b78ef716c419797d86a68</t>
  </si>
  <si>
    <t>202242C02005</t>
  </si>
  <si>
    <t>c29557be38fcd302401d43d301d9df15ec581cc76be8610c398ebfb845dafab7</t>
  </si>
  <si>
    <t>202243B01005</t>
  </si>
  <si>
    <t>06721197827766ee0c81e62c62c253d8340f26adb1a0ac119ebf2e0d14a86a0b</t>
  </si>
  <si>
    <t>202243C01005</t>
  </si>
  <si>
    <t>3fb1e519ad3173e4a937e6e56d9c39a27abcec7eb71b1699ab84ae1da4553aa6</t>
  </si>
  <si>
    <t>202249B01005</t>
  </si>
  <si>
    <t>SANTO DOMINGO ZANATEPEC</t>
  </si>
  <si>
    <t>d80bdffa3a6979ef49b7e0c99972136cfce2d4eca55bd56e85aa98fa9a414bca</t>
  </si>
  <si>
    <t>202249C01005</t>
  </si>
  <si>
    <t>34d1f7a5a33f6cef51b85ec2b79a8758ad0b6fb424298de56b3264af8f757e21</t>
  </si>
  <si>
    <t>202250B01005</t>
  </si>
  <si>
    <t>d457a03a38f33a2d7016d2207b6549ade68f389d3d4b62b4cfd4f36a1c6c3c4f</t>
  </si>
  <si>
    <t>202250C01005</t>
  </si>
  <si>
    <t>4e18c09759505adf05b81d02838840e5ae2f25b0bac1de6fef5fc7741cc0bf38</t>
  </si>
  <si>
    <t>202251B01005</t>
  </si>
  <si>
    <t>2a9f66ac08eebe667316c05b61695a748de08c18a257033c70fddd05bb851ec9</t>
  </si>
  <si>
    <t>202251C01005</t>
  </si>
  <si>
    <t>d73354b396c4ddb2144f9c62bab0c7bfd9fc41a7f8e3cb037eec048785601c98</t>
  </si>
  <si>
    <t>202252B01005</t>
  </si>
  <si>
    <t>aaea921e102158aee09f27255d4bc1ab8a6d920e0632a087a630f2e7b33e2106</t>
  </si>
  <si>
    <t>202252C01005</t>
  </si>
  <si>
    <t>70a43bb56605f0358978903306b3d8d770776debcf691de43285d4a3e2de07f6</t>
  </si>
  <si>
    <t>202253B01005</t>
  </si>
  <si>
    <t>4fd4bd2a85cddb9259490d2b6b1ab8ce5daa69ed031e9b5e391227cd3505d3df</t>
  </si>
  <si>
    <t>202253C01005</t>
  </si>
  <si>
    <t>857e67dc856d2f3843d82781e9d7cbc69c9ac1838da3cd299894df6a78c23ae9</t>
  </si>
  <si>
    <t>202253E01005</t>
  </si>
  <si>
    <t>5159908078a945a098938c9e48299c1facd5b2d24bbb8e70f4b829273b0b8d08</t>
  </si>
  <si>
    <t>202254B01005</t>
  </si>
  <si>
    <t>617e7d1a3e6372675d479c111e77cdbb53815a0e367de1239e78d0da9b68ec1d</t>
  </si>
  <si>
    <t>202255B01005</t>
  </si>
  <si>
    <t>1db484f2c64d4ab69ad8f468ec24459e9087424329024b0c19feb4025cfe32f9</t>
  </si>
  <si>
    <t>202255C01005</t>
  </si>
  <si>
    <t>fd8f282b53103cdce6d6be8c9848777c9954ba247ae7af6ed53501f851d50b31</t>
  </si>
  <si>
    <t>202256B01005</t>
  </si>
  <si>
    <t>5494e4997962ede72e11ae11b999da87e2432b5c7d199bbb5790f6d63242ace6</t>
  </si>
  <si>
    <t>202257B01005</t>
  </si>
  <si>
    <t>9de795f6711b2c952377c3327c2d55552d9283a9340cd5174dc45ebd2a4b78f0</t>
  </si>
  <si>
    <t>202257C01005</t>
  </si>
  <si>
    <t>df425902b926e60ad04546b3bcf1739bfce4f7935c1321332d38155c1927aaca</t>
  </si>
  <si>
    <t>202257E01005</t>
  </si>
  <si>
    <t>d3c9ea5af367804410d567fe912eba7c22052d2c7c5df7bffa460b2061cb7966</t>
  </si>
  <si>
    <t>202275B01005</t>
  </si>
  <si>
    <t>SILACAYOAPAM</t>
  </si>
  <si>
    <t>2be728e01ec0f1c07399932bbee4a65b9095aec94d07f6826ac949b3dfe9fc3c</t>
  </si>
  <si>
    <t>202275C01005</t>
  </si>
  <si>
    <t>11cd3f19fe6f335a0a5089f8d460ff46129e5ae02fc5348e17d711072631d096</t>
  </si>
  <si>
    <t>202276B01005</t>
  </si>
  <si>
    <t>10b26d9dbee7c70273af51d0a4354b0f3454ef4ee86708708fddb8b331440d6b</t>
  </si>
  <si>
    <t>202276C01005</t>
  </si>
  <si>
    <t>13d4b2759b45833754340fde38d6386bc6316fe3ae5efb0172d7c84ff5ad07b5</t>
  </si>
  <si>
    <t>202277B01005</t>
  </si>
  <si>
    <t>63f4fce9a0fa950708b7e9a51fc79afb6a3f086c43fd912cdcad5eafe19b013c</t>
  </si>
  <si>
    <t>202278B01005</t>
  </si>
  <si>
    <t>d5ed65a261a04350b53d1da7f42a7e7273261f3a38c5237feb878b8a5d6b25ce</t>
  </si>
  <si>
    <t>202279B01005</t>
  </si>
  <si>
    <t>3c67d36e6e169981a8d990a3ad543459d200410ecb683319c8d4605bb2c47068</t>
  </si>
  <si>
    <t>202280B01005</t>
  </si>
  <si>
    <t>1fa084991c56fa9fdcbee74b7217e1e608347442e8167275c2cfdd7d15afceaf</t>
  </si>
  <si>
    <t>202281B01005</t>
  </si>
  <si>
    <t>c945489427eb550f99755a706b7ec8eabb8f89896f44926920f8dc9630f14af6</t>
  </si>
  <si>
    <t>202282B01005</t>
  </si>
  <si>
    <t>10967eeaba7b6e8598d03d6e19b06a256a990ed1d38b24c2f158b90f607a355c</t>
  </si>
  <si>
    <t>202283B01005</t>
  </si>
  <si>
    <t>a13b74b6fac0e33faad4357e98ba520a6763790d6a7897b2f764ad9642097101</t>
  </si>
  <si>
    <t>202284B01005</t>
  </si>
  <si>
    <t>6c58aa36485ec9a6fb01fe6ae6efc49731dc9229a8b279231582233c999e614f</t>
  </si>
  <si>
    <t>202285B01005</t>
  </si>
  <si>
    <t>d3e17c52c3b9215b8187f294f5509098b8d836159ee948e7f753edb9e762f788</t>
  </si>
  <si>
    <t>202286B01005</t>
  </si>
  <si>
    <t>e93f25fbaebffc30383015e3191fc9501c7521b40cc5dbc215ecd2a38753c56f</t>
  </si>
  <si>
    <t>202287B01005</t>
  </si>
  <si>
    <t>e2b974dad01f2c936f0a24578e1fc6f87e2f0fbba010b0891ea9c5915050c4fa</t>
  </si>
  <si>
    <t>202288B01005</t>
  </si>
  <si>
    <t>ac4cc452ff8150c62e63e99b66a28e19b3aa26d68dad031df540b13c3b26d59b</t>
  </si>
  <si>
    <t>202289B01005</t>
  </si>
  <si>
    <t>d9745223416f2de92df3c30598c73ec32c79c3286fa6ddc77a42b505e4c301e9</t>
  </si>
  <si>
    <t>202291B01005</t>
  </si>
  <si>
    <t>VILLA SOLA DE VEGA</t>
  </si>
  <si>
    <t>08740825d13345e0d9e87f799f52e9adbf491198e17785d8446d3d44346d43bd</t>
  </si>
  <si>
    <t>202292B01005</t>
  </si>
  <si>
    <t>ca4ff4223e42a1c0a8a5e1566144931b0b226df50be927558aa7455ee5c05b9f</t>
  </si>
  <si>
    <t>202292C01005</t>
  </si>
  <si>
    <t>5a8074c179409a1f7eca12aac239cb7d1fd975f4dabb7872174f3de1ad7707b0</t>
  </si>
  <si>
    <t>RPP</t>
  </si>
  <si>
    <t>202292C02005</t>
  </si>
  <si>
    <t>450c51feb893113b0f7f4c61254bc6c90bcad68c4b01fc6c23ad466608b2d508</t>
  </si>
  <si>
    <t>202292S01006</t>
  </si>
  <si>
    <t>d7e3516a3ba5a6a322e9fbb9672ac017425c68920bdce4cee2d6e5cbd44fdeb6</t>
  </si>
  <si>
    <t>202293B01005</t>
  </si>
  <si>
    <t>188b4b8a954717c959a181e73503002e1556d730e5d8e5aa7dcb65ab0daf69e1</t>
  </si>
  <si>
    <t>202293C01005</t>
  </si>
  <si>
    <t>cdf809d36cbb37bd157c60c37461a7cd8509a1be5f2e89764270f9abce59a029</t>
  </si>
  <si>
    <t>202293E01005</t>
  </si>
  <si>
    <t>111bb3b1e5889bb32b254c1ffbbe6bb00ccfc3f419f44d96088c09c76a5eb4a6</t>
  </si>
  <si>
    <t>202294B01005</t>
  </si>
  <si>
    <t>2305fac5c35ba6f1a308715a9d01d5fecb1a794dbec3895045b4623725d8d462</t>
  </si>
  <si>
    <t>202295B01005</t>
  </si>
  <si>
    <t>d85912d8c6e8a644894d4e12d62a6f2c6e8bd366d7059fbdfe4328140b073165</t>
  </si>
  <si>
    <t>202296B01005</t>
  </si>
  <si>
    <t>1d79d2a1b45a06bfbacbd38df4fcc7af2db21f687f1df54b7e363e8eb42742c6</t>
  </si>
  <si>
    <t>202297B01005</t>
  </si>
  <si>
    <t>ecd048137f451eefd3009fb041e977e02c9fc7a77ec0235ec00f253345256e79</t>
  </si>
  <si>
    <t>202297C01005</t>
  </si>
  <si>
    <t>08518a9fc5e153032f681a0bdeecc45c00f6960dec01ab855d3dbcc4d96ca591</t>
  </si>
  <si>
    <t>202298B01005</t>
  </si>
  <si>
    <t>7b78ff33c0f4ed80e4628113da2c381b7f85dafd6788128b9a73af529c5f1753</t>
  </si>
  <si>
    <t>202298C01005</t>
  </si>
  <si>
    <t>6798e6f2e621dfc120973383369648532ac83442202d6e7187aece25b13e262d</t>
  </si>
  <si>
    <t>202299B01005</t>
  </si>
  <si>
    <t>21a4ff6566937528a9ea198c1470ff417294c59d7bb849148b44768605af4ee9</t>
  </si>
  <si>
    <t>202299E01005</t>
  </si>
  <si>
    <t>9f669db4e5e788bd9633adbfd137b88dbba906fccf48789e7a0b5d30f3d31c23</t>
  </si>
  <si>
    <t>202300B01005</t>
  </si>
  <si>
    <t>403a683197d664d123bb167ee4ac19c4dd1bba83cae85fbc423a2a4dada23dc2</t>
  </si>
  <si>
    <t>202300E01005</t>
  </si>
  <si>
    <t>6dde4696c35c73e734a0b05171afa1d95b122e32ca342c8ac39498e04e4f46d7</t>
  </si>
  <si>
    <t>202301B01005</t>
  </si>
  <si>
    <t>SOLEDAD ETLA</t>
  </si>
  <si>
    <t>867ef03061e9e9cb950d6831fc7ebb2a3be4fd36749ffc3ec25d6c669219c361</t>
  </si>
  <si>
    <t>202301C01005</t>
  </si>
  <si>
    <t>9a90e8add3ecc24f7303117d8b4a9734800b8edaedda25810b1439886f7e666b</t>
  </si>
  <si>
    <t>202301C02005</t>
  </si>
  <si>
    <t>a823daaf2672342b81e670af2fd8f5148189ad2238a4abb53f4345293a2fcaad</t>
  </si>
  <si>
    <t>202302B01005</t>
  </si>
  <si>
    <t>07c29a13a767de8ce6e8f4f1f5b8428b77cb5fb821d2b70468a32533007c9f89</t>
  </si>
  <si>
    <t>202302C01005</t>
  </si>
  <si>
    <t>208ed33e2a8b4c8985521e1faed7bcfe46a0d57af84c6089fb47bd5905c91c19</t>
  </si>
  <si>
    <t>202303B01005</t>
  </si>
  <si>
    <t>c628570f8edc6ce751da889719a6b010abed982bf656b3c3d1fb6108f051f676</t>
  </si>
  <si>
    <t>202303C01005</t>
  </si>
  <si>
    <t>06e4c6d9e128dddad1d568899b9a15a3f394728a76eec1d473adb305709c6faf</t>
  </si>
  <si>
    <t>202305B01005</t>
  </si>
  <si>
    <t>VILLA DE TAMAZULAPAM DEL PROGRESO</t>
  </si>
  <si>
    <t>6cd9537f54c6512a3df5064c9bb300376f95a1e4c7f06af53c6c121db88ed451</t>
  </si>
  <si>
    <t>202305C01005</t>
  </si>
  <si>
    <t>19969340057eb1619fb3debceeefe92a46b5686e50550c270d73fa45df9ba7c8</t>
  </si>
  <si>
    <t>202306B01005</t>
  </si>
  <si>
    <t>ae97b9f32bbdb17b63251670f2de0c2dcad6be40aa85a0a6fafcd3ae472309de</t>
  </si>
  <si>
    <t>202306C01005</t>
  </si>
  <si>
    <t>e8119c1047e90deb86dff1a542d498ef326f30514b89ad9e2bab72ff2a702d21</t>
  </si>
  <si>
    <t>202306E01005</t>
  </si>
  <si>
    <t>7cc0c4200b2795eb994a60f1be5dac6141298b08d753bd2a5d1e58821cbe27e8</t>
  </si>
  <si>
    <t>202307B01005</t>
  </si>
  <si>
    <t>42a4ae47954e03ce1ca4a9fe28173a7fb8d3fc2bddcd780a31a3a28a0249db77</t>
  </si>
  <si>
    <t>202307C01005</t>
  </si>
  <si>
    <t>f9652308e222723817ec1019f3ee83a46ca343d15b48df2a6362e200a037a06c</t>
  </si>
  <si>
    <t>202308B01005</t>
  </si>
  <si>
    <t>965f04244c72aaaeaf505a5b8b260ceda5bff4a28abda075d072707ac7a98462</t>
  </si>
  <si>
    <t>202308C01005</t>
  </si>
  <si>
    <t>da4502c1d28b1175eabb09d6d1a14a95c6b30d5afbd6d26d49deccb720cade44</t>
  </si>
  <si>
    <t>202309B01005</t>
  </si>
  <si>
    <t>94ca22e0dc90c1117e25e532e4290726d78508b76d296cb06422afb1e88c2096</t>
  </si>
  <si>
    <t>202309C01005</t>
  </si>
  <si>
    <t>1800786886d7da04a48dbd4294b6f1feeafc207de4e619050ca43405f6ac6b48</t>
  </si>
  <si>
    <t>202310B01005</t>
  </si>
  <si>
    <t>79c2de6f57329d7be503d0cf6b8ae88fa265d5a52a05dcac7bb82ae759b2172f</t>
  </si>
  <si>
    <t>202321B01005</t>
  </si>
  <si>
    <t>VILLA TEJUPAM DE LA UNION</t>
  </si>
  <si>
    <t>6927e16de814f888c8c319f70cae964aac7c8786bae9e24d03ddf77e5a1df687</t>
  </si>
  <si>
    <t>202322B01005</t>
  </si>
  <si>
    <t>495fd40a5c750ed5bd6273f490e14ef189d56f441719efc8a0400df4763aea96</t>
  </si>
  <si>
    <t>202322C01005</t>
  </si>
  <si>
    <t>33c07a4b2c8ef50e893d7881d5f74846483c450925fe1929152c18267e888563</t>
  </si>
  <si>
    <t>202323B01005</t>
  </si>
  <si>
    <t>ea214cdb671cfd1e512f98505a11d813b5503b563353b3e188344609a97af5c2</t>
  </si>
  <si>
    <t>202325B01005</t>
  </si>
  <si>
    <t>TEOTITLAN DE FLORES MAGON</t>
  </si>
  <si>
    <t>be05a03be6e70d49759a030828a2bec4c74de9157c343fe0e944f07959e132a5</t>
  </si>
  <si>
    <t>202325C01005</t>
  </si>
  <si>
    <t>219d333d9f2ef7db5c2225c644ac4180540b7695a96ad859bf0bec13fad52bdb</t>
  </si>
  <si>
    <t>202325S01006</t>
  </si>
  <si>
    <t>61e0c9ad702903397506431a59905ecddb14c09572b97c6481a37068c2921b6a</t>
  </si>
  <si>
    <t>202326B01005</t>
  </si>
  <si>
    <t>a26faa44dcc17a5f6be7fc7e4a501c7827182405ab48c376180f060360fffbd5</t>
  </si>
  <si>
    <t>202326C01005</t>
  </si>
  <si>
    <t>abdbb61e1cf881ae33e47da51eb0c5813f8949cf5a1e27b420c58a2229541b0f</t>
  </si>
  <si>
    <t>202326C02005</t>
  </si>
  <si>
    <t>258ee1ad0ad046899bc77103cd429303c4c1ced8d49e55f7d360926f3e0c0a97</t>
  </si>
  <si>
    <t>202326E01005</t>
  </si>
  <si>
    <t>54b8f3f216e8cffdd99a7b1d48347ff034f094af6d6e1934f25fbcc7f5ba2c28</t>
  </si>
  <si>
    <t>202327B01005</t>
  </si>
  <si>
    <t>8b1f56aae98cf45b08801fe79fda328013ee47db2282000ef2856a3a00b0ffca</t>
  </si>
  <si>
    <t>202327C01005</t>
  </si>
  <si>
    <t>d0dd98a65b68c2bdadf5f76de2a1b05e87826f6e9ffdea78bd7c7b7dfb3c7028</t>
  </si>
  <si>
    <t>202328B01005</t>
  </si>
  <si>
    <t>ec78b659978a52b014d64aaab60b5dc061fceaeb5b27e6c82e50cde1475371ee</t>
  </si>
  <si>
    <t>202328C01005</t>
  </si>
  <si>
    <t>ecbfb462770590113e6e09a8bfbab13509f25fd8bc2e13e4297512a4c0f38dc6</t>
  </si>
  <si>
    <t>202328C02005</t>
  </si>
  <si>
    <t>760b7d6379b920549855889f6b1c6c08716a01a68f97027e6a40cc7c29fed13f</t>
  </si>
  <si>
    <t>202329B01005</t>
  </si>
  <si>
    <t>e30f711435f90f1a8ff067d9231da20425461a9e39d0f3246238291acd607f22</t>
  </si>
  <si>
    <t>202330B01005</t>
  </si>
  <si>
    <t>6c5af9ab63f522ae164f182d12d206ca7196cdb118c592b2cfa6e5cf3d6eb2fc</t>
  </si>
  <si>
    <t>202339B01005</t>
  </si>
  <si>
    <t>HEROICA VILLA TEZOATLAN DE SEGURA Y LUNA CUNA DE LA INDEPENDENCIA DE OAXACA</t>
  </si>
  <si>
    <t>96ea76e38fcb91a6d3d43d1def5c6330b330805100740b96ced6ffd376c970e2</t>
  </si>
  <si>
    <t>202339C01005</t>
  </si>
  <si>
    <t>23525ce358200994151d4eed3e71406875efb491795bf4c8505ab2f64e5f9055</t>
  </si>
  <si>
    <t>202340B01005</t>
  </si>
  <si>
    <t>0f51689842f5046b137b8be0a996a61b933f839d2f156982d2d463b973db21dc</t>
  </si>
  <si>
    <t>202341B01005</t>
  </si>
  <si>
    <t>fa59cf9157f237f0ccd19685aabda0c04a3b65885086610b743868f4d34d4d8d</t>
  </si>
  <si>
    <t>202341C01005</t>
  </si>
  <si>
    <t>5cb31b3202b4c0f9c0aee7fb4b87546c2bcb135de73083d14dd5d6dab78efd2b</t>
  </si>
  <si>
    <t>202342B01005</t>
  </si>
  <si>
    <t>71f698148d71ee56f583f96bcf88b98560933d8ed24a6d9c4c564c111bca9a6b</t>
  </si>
  <si>
    <t>202343B01005</t>
  </si>
  <si>
    <t>7017bd937cae48e1dab012d15af2cbfd0711a428f04b3c02e9b3068b882e3d7d</t>
  </si>
  <si>
    <t>202343E01005</t>
  </si>
  <si>
    <t>19f1503fb102e9fc782f606775e813e348fb003774b57e3a1e932825d9249b6f</t>
  </si>
  <si>
    <t>202344B01005</t>
  </si>
  <si>
    <t>7194e41428d3d1f601dc0601a7ec27d76b5155003e0f4db5dd87bfd2b5a79cc0</t>
  </si>
  <si>
    <t>202345B01005</t>
  </si>
  <si>
    <t>caec06d5777d1af7e6c5ec4b385b168a52f62fbf788b6708039ac644ab55c382</t>
  </si>
  <si>
    <t>202345C01005</t>
  </si>
  <si>
    <t>7fcbf00cca640c5923c5af6c5b95ff60beb5d21c0822e0114de1dd4b033c1c30</t>
  </si>
  <si>
    <t>202346B01005</t>
  </si>
  <si>
    <t>7c3865070603043f500eaea46c05f34008ab70d7a2e142dc14dd0673f9db4ea7</t>
  </si>
  <si>
    <t>202346C01005</t>
  </si>
  <si>
    <t>5b61ba474b2edd40e9ebdf6ee7d00cf7148fc40b94745afc76a4330b1a0e0cda</t>
  </si>
  <si>
    <t>202346C02005</t>
  </si>
  <si>
    <t>f68f72170f3b61dc8302e0d6dd34528ecfa32006e35c7391e8099215f569b463</t>
  </si>
  <si>
    <t>202347B01005</t>
  </si>
  <si>
    <t>b8c5aa80bf2128c5e5cd46eceaae2b797a5ebf7a5e8ccb0a049aee6b606d9430</t>
  </si>
  <si>
    <t>202348B01005</t>
  </si>
  <si>
    <t>cf80443851226e11096472983b754abdb9b079529eef308e4d4211d7f2ddaca7</t>
  </si>
  <si>
    <t>202349B01005</t>
  </si>
  <si>
    <t>ddc876b562868dc72dc867e104a7a3b08ea8254dc9534d516755914c535954f3</t>
  </si>
  <si>
    <t>202350B01005</t>
  </si>
  <si>
    <t>9d75793e9f0b8d037d5d04eef242ead75ec90e9e3740f48e7be36ddbe6c8b900</t>
  </si>
  <si>
    <t>202351B01005</t>
  </si>
  <si>
    <t>2622552b2ea2e8c762f914d1801a8b2b411cf884f428ca1a20b74b3446cee41d</t>
  </si>
  <si>
    <t>202352B01005</t>
  </si>
  <si>
    <t>TLACOLULA DE MATAMOROS</t>
  </si>
  <si>
    <t>5cafe9fbdc9083f6afc927afaf2623465f7aac6c3345041aff9375148935d14e</t>
  </si>
  <si>
    <t>202352C01005</t>
  </si>
  <si>
    <t>127f596f8b67d524401592d8092969adc27ca43008b61e1c9a9fc453bfe70503</t>
  </si>
  <si>
    <t>202352C02005</t>
  </si>
  <si>
    <t>8a1c87dbc1ca9eb1bd95200b4b584dca5eb5b68bb803d07113b0a7e0ef27a0d0</t>
  </si>
  <si>
    <t>202352C03005</t>
  </si>
  <si>
    <t>28d955d9036ed24603d4aaa44fa54d55b991381bb10d5f6f580392c27b2499b0</t>
  </si>
  <si>
    <t>202352C04005</t>
  </si>
  <si>
    <t>a90070e3af09a2524197495dda05f5db2a9b7468854c7b29690ec1d6fc8afc75</t>
  </si>
  <si>
    <t>202352C05005</t>
  </si>
  <si>
    <t>d491a953eb260dfc774fb4c721695c71673a246a1d8b8fba71b206979a578bff</t>
  </si>
  <si>
    <t>202352S01006</t>
  </si>
  <si>
    <t>a3d8a359252089d8a08a69b26e36e76cc0621dffcb11fdc18182db9d8f70112c</t>
  </si>
  <si>
    <t>202353B01005</t>
  </si>
  <si>
    <t>d04a637ee87480a6b969752d1ed6c2bd59ac0ae15790c33f21a931ddfe075283</t>
  </si>
  <si>
    <t>202353C01005</t>
  </si>
  <si>
    <t>545daef0360933affaeb6187173c7f111659d473919036964aa276c5098ce457</t>
  </si>
  <si>
    <t>202353C02005</t>
  </si>
  <si>
    <t>510712a511f07a3d668ab414c27a605b1755572170ce4a465b57cfd06bb9e5a7</t>
  </si>
  <si>
    <t>202353E01005</t>
  </si>
  <si>
    <t>5dfaf3bf05d550e4c1c3a7f16fe9bfea79207fec794aa5be4f7ae7fe39c4b73c</t>
  </si>
  <si>
    <t>202353E01015</t>
  </si>
  <si>
    <t>a4d2ffb14d791999e4b4eb38c70d6a6b5008244ce132ccee0f9e6592074d7cf1</t>
  </si>
  <si>
    <t>202353E01025</t>
  </si>
  <si>
    <t>1a78c58fcd13850daddd13978dd3b40a86d34d1b2f95903bbd2ed61e36480c8e</t>
  </si>
  <si>
    <t>202353E01035</t>
  </si>
  <si>
    <t>e10562de049a65cd7ed2f35bf380cf54c5096c379ab43be887987b7b2be04d65</t>
  </si>
  <si>
    <t>202354B01005</t>
  </si>
  <si>
    <t>ea26149b1509892cd7260b6bfa2e8a9caac60b4ce0c90221d5c0f707915f412e</t>
  </si>
  <si>
    <t>202354C01005</t>
  </si>
  <si>
    <t>0e1d86f043a94c0d48cd016791e48ba0258cfc4e1c949d97a9f31d32cafc2d60</t>
  </si>
  <si>
    <t>202354C02005</t>
  </si>
  <si>
    <t>40c1d214c859c114cae1c4f9bfe800fff2d4362711c164e1df1625310735fa3c</t>
  </si>
  <si>
    <t>202354C03005</t>
  </si>
  <si>
    <t>9f4a45c6137f7bc5f7d363b4da5aad32f638d0d2b74e5c652cc45a352cbef4b0</t>
  </si>
  <si>
    <t>202355B01005</t>
  </si>
  <si>
    <t>239622a8fb8352994c4beb5e7bda2ba5ade1e81b3f10206dda7239b513ad213d</t>
  </si>
  <si>
    <t>202355C01005</t>
  </si>
  <si>
    <t>a9b69ee5f0dbc5477f3ffea31f0ebbfb38e3c88b05200e6c5133b7208bbfa6b9</t>
  </si>
  <si>
    <t>202356B01005</t>
  </si>
  <si>
    <t>54cf2b56e0a9bcbc89106b4d733204f12c0980e6cf36959bc1adc2a1d2085b63</t>
  </si>
  <si>
    <t>202356C01005</t>
  </si>
  <si>
    <t>9d62cf2de7f9e4a335c10ffcaadda6c393646f1041c98255f8027eeed44e951e</t>
  </si>
  <si>
    <t>202356E01005</t>
  </si>
  <si>
    <t>752fdcba1892d24c767d23f76564d94af7e4796d31c5b36914b76378b6149ad7</t>
  </si>
  <si>
    <t>202357B01005</t>
  </si>
  <si>
    <t>b95661301680e53aad2f8ce156ff8dc049c9cf32a6d25065582bbde0da232a7d</t>
  </si>
  <si>
    <t>202357C01005</t>
  </si>
  <si>
    <t>adf81ad7b55d1ec2cd1e63d3aad75d88474d2d005ea2684a32abf013d1080996</t>
  </si>
  <si>
    <t>202358B01005</t>
  </si>
  <si>
    <t>237f5fd534f56f03fc9895a6234b05d56dd3ec4794fcdbf6b0fa5527227bb99c</t>
  </si>
  <si>
    <t>202358C01005</t>
  </si>
  <si>
    <t>a07dab645b84967b92ba7091436ff3ae656683ba9d3147329434548b34d3d10b</t>
  </si>
  <si>
    <t>202358C02005</t>
  </si>
  <si>
    <t>a4ad3e790581d350e194100e707d5c13ffae8987d190160cf02b0cc98ff933a1</t>
  </si>
  <si>
    <t>202359B01005</t>
  </si>
  <si>
    <t>bd6f88f7b41fff9b6e8ab970b68b539c6c1005da57abbc04eacef0a14c1f0155</t>
  </si>
  <si>
    <t>202360B01005</t>
  </si>
  <si>
    <t>ebfbdc800b686df37955b66d43d198714dc84175b0422aa6f546a31a1fa934b3</t>
  </si>
  <si>
    <t>202360C01005</t>
  </si>
  <si>
    <t>0378b2cd04f75cc8f40e51b57deb8a0fd01d9b5223193a767fc46c3e8e2aef52</t>
  </si>
  <si>
    <t>202361B01005</t>
  </si>
  <si>
    <t>8f174d4ac27c9a072c176b3b928b13a9671151982576e665813bac37d0adae0e</t>
  </si>
  <si>
    <t>202367B01005</t>
  </si>
  <si>
    <t>HEROICA CIUDAD DE TLAXIACO</t>
  </si>
  <si>
    <t>363a27519f35abd83fdbb8b5480fbb38ac48052cc7d48868ad0dd642c4a5a128</t>
  </si>
  <si>
    <t>202367C01005</t>
  </si>
  <si>
    <t>6276a764c19862ec1c2dd9742710fcc761b3e4473d3921b35998031a81b0f173</t>
  </si>
  <si>
    <t>202367C02005</t>
  </si>
  <si>
    <t>63eb31b94cd42621f028313eb99f11293552e526fffcb60ea2616ca0dc2d20a6</t>
  </si>
  <si>
    <t>202367C03005</t>
  </si>
  <si>
    <t>cbbf192f5f8e61dd624e6caf45368572c994e06d77c1dd790cd84daf3d05c497</t>
  </si>
  <si>
    <t>202367C04005</t>
  </si>
  <si>
    <t>848dea5af0f46a3c3011ebb18c1d70dd1caf292a7e1d8a2a82b9dd3d515fa852</t>
  </si>
  <si>
    <t>202367E01005</t>
  </si>
  <si>
    <t>631a1c643dfbae9f250a673392cd6af353d2ad727c0e4e8102ccd862adb33ecd</t>
  </si>
  <si>
    <t>202368B01005</t>
  </si>
  <si>
    <t>ec164c262b9d40193c2b245cdfa2809133b4760286b88f7ddec80d8251e4ede3</t>
  </si>
  <si>
    <t>202368C01005</t>
  </si>
  <si>
    <t>a3b16d24416df777411666fbd21fd7c272d36e3e6b41b096294a8177adc54819</t>
  </si>
  <si>
    <t>202368C02005</t>
  </si>
  <si>
    <t>96992ad9f66d23a263687f4147c84c07aac787a2e4d2b477861b7c7294bdbcdb</t>
  </si>
  <si>
    <t>202368S01006</t>
  </si>
  <si>
    <t>81b8edeb3af6e456b39566b4113d37f82a425e6b572fcb048f740b613bd525fe</t>
  </si>
  <si>
    <t>202368S02006</t>
  </si>
  <si>
    <t>41f85cc9b06061d30c78fb79055505491d402cdd1836c1197d93fef78438ae10</t>
  </si>
  <si>
    <t>202369B01005</t>
  </si>
  <si>
    <t>e3bb0f49cc222f182a35ab7a2382358f5572192dcd8b8521df5fdc3ac775bcdf</t>
  </si>
  <si>
    <t>202369C01005</t>
  </si>
  <si>
    <t>9926c4491559555bfe68684bbdb1d96a40664ec483ef5cdde7ab28d70df92038</t>
  </si>
  <si>
    <t>202370B01005</t>
  </si>
  <si>
    <t>465bcebfbb6b6d0c495b2175f5a2c2cf83234ccf6693fa236cd4d2ad44d0d7c8</t>
  </si>
  <si>
    <t>202370C01005</t>
  </si>
  <si>
    <t>06adba41dbe6d40a03ff7287f8e7c9fb8e1deeef690936fab5a926b8f647b17c</t>
  </si>
  <si>
    <t>202371B01005</t>
  </si>
  <si>
    <t>91624fe9ac5426e01a82d59ecdafb2f6341653e08f90aa301a91c24dff00abf5</t>
  </si>
  <si>
    <t>202371C01005</t>
  </si>
  <si>
    <t>635ed5c77ebf7c4586aa8e62f96cfeb05c2e32404cfafe618b43014ea7104269</t>
  </si>
  <si>
    <t>202371C02005</t>
  </si>
  <si>
    <t>513f6f30b66e9d38eadcb1fdd252e0409f5975804875bad3c56b97d5becf6f18</t>
  </si>
  <si>
    <t>202372B01005</t>
  </si>
  <si>
    <t>0d300939f5dcfeb3dc5b063183e74563ee5ae73239808d6106529f8ae4c4d4be</t>
  </si>
  <si>
    <t>202372C01005</t>
  </si>
  <si>
    <t>4b0383099c613de9252b97935c1418dcc794ba19d1258d33f9b48f71c59dd515</t>
  </si>
  <si>
    <t>202373B01005</t>
  </si>
  <si>
    <t>71e1d0dca2f71c9a7f11b68890b692e44220712389489a34c58c836e1d18cbfa</t>
  </si>
  <si>
    <t>202373C01005</t>
  </si>
  <si>
    <t>dee2a25ddbb2ad23e423fc68f23b8a36e4ff27abf79d8fe1eedb9b78fe71da86</t>
  </si>
  <si>
    <t>202373C02005</t>
  </si>
  <si>
    <t>d007ab13ba37ff25faafd325be321ee0d0633a359f7265716fec549c26bc4934</t>
  </si>
  <si>
    <t>202373C03005</t>
  </si>
  <si>
    <t>0c4620706893dac82ae7c3931d0a8adc39e4b6ed1092bdbded53dc7fe14db5b8</t>
  </si>
  <si>
    <t>202373C04005</t>
  </si>
  <si>
    <t>2eb3eae4469bf68c3507b4604df0bc0cf1a00a721ef2d2738406b66f9a8135a1</t>
  </si>
  <si>
    <t>202373E01005</t>
  </si>
  <si>
    <t>5f0342f825c23a12d9449aa7dbfe8261a4d7d3b6be3a622e923b03317c766337</t>
  </si>
  <si>
    <t>202374B01005</t>
  </si>
  <si>
    <t>99494f4f35beb875114a5768fcbaf120cdb929d1122322352d379159f24362a9</t>
  </si>
  <si>
    <t>202374C01005</t>
  </si>
  <si>
    <t>04933c4273b525ca66eab3465a3b650c874fbf64dc442dde3ead08b9f9950fe0</t>
  </si>
  <si>
    <t>202374C02005</t>
  </si>
  <si>
    <t>71938b686f8a60f22f9d3b280d250c65f1be93f3d7d952198ca0a9280d5a7380</t>
  </si>
  <si>
    <t>202374C03005</t>
  </si>
  <si>
    <t>07550ebb9951476b315d664215418e314935dd91def6135bb7900281304ed48a</t>
  </si>
  <si>
    <t>202375B01005</t>
  </si>
  <si>
    <t>7b5f49ebc37701f72e32621e55e7f42959d37ff142071898902c1a012b6ac99f</t>
  </si>
  <si>
    <t>202375C01005</t>
  </si>
  <si>
    <t>fb25081895d269fe446e804dd78b2b3a15c0c4e17bd977da471bf396755092da</t>
  </si>
  <si>
    <t>202375C02005</t>
  </si>
  <si>
    <t>efb00405f02ced148a54871773ae96bc0d8235605428083f2a321a878b73754c</t>
  </si>
  <si>
    <t>202375C03005</t>
  </si>
  <si>
    <t>6ba46b6ff29e90d0268a93bce3b512e97772993de5be96c8bac5e20120a41911</t>
  </si>
  <si>
    <t>202376B01005</t>
  </si>
  <si>
    <t>566d9c8d1ab4c89e452a5fc71c2e4fcd2273a6328c2acecdc85105b5f3ec1f8e</t>
  </si>
  <si>
    <t>202376C01005</t>
  </si>
  <si>
    <t>ed975348a06b9d9e532c39e3885d17c4c373d5ae00827e275b0ba39c970d2568</t>
  </si>
  <si>
    <t>202376E01005</t>
  </si>
  <si>
    <t>bed407b9ecf25d554afa6e19a96b0cb9e4ce27edb59fd64c2dbe78a60fe53d75</t>
  </si>
  <si>
    <t>202377B01005</t>
  </si>
  <si>
    <t>7cb5359ec8f4adb5c1b5bce7b02ad2e03b7ea2a34a6291ae11fbe8c449f33a74</t>
  </si>
  <si>
    <t>202378B01005</t>
  </si>
  <si>
    <t>3beb24fe45e66272c344e7b644ba59cc4cdc645528c2532b291723c79611c171</t>
  </si>
  <si>
    <t>202379B01005</t>
  </si>
  <si>
    <t>62917ff42c08979448f26f734c8660ee95fb0ae3b9fb688932df8c5432b57f6c</t>
  </si>
  <si>
    <t>202379E01005</t>
  </si>
  <si>
    <t>6353fcd3e306bf4dd74aaa4387cc40f8adbfa504da18a24580e2069ff8582094</t>
  </si>
  <si>
    <t>202380B01005</t>
  </si>
  <si>
    <t>eb66986f248369baecdb849f90d1d38408c34beda06887b24e33835c8fe79e26</t>
  </si>
  <si>
    <t>202380E01005</t>
  </si>
  <si>
    <t>19e57254fbfdfcdc75fed185939a37a39e69be7df13fad6eb9f7d3caf6039415</t>
  </si>
  <si>
    <t>202381B01005</t>
  </si>
  <si>
    <t>5a63acbd4e8410d49ac920eb05e6a835dd696e9f548be1612df5c26c5b99e84f</t>
  </si>
  <si>
    <t>202381C01005</t>
  </si>
  <si>
    <t>1746567f89f9ce6ada47688ac3b42f2c392917e86c34f3dc01e1ac2d2cbf051f</t>
  </si>
  <si>
    <t>202382B01005</t>
  </si>
  <si>
    <t>99a2df14f6b5b4c49c871d33f9823a689081609f04e535576e69454cf8c9cf0c</t>
  </si>
  <si>
    <t>202382C01005</t>
  </si>
  <si>
    <t>e9b03f8e1e4780d72dc888f7b53aca91d1a43fb8b95710269a667b7c4253810c</t>
  </si>
  <si>
    <t>202382E01005</t>
  </si>
  <si>
    <t>c981a0f315ebb86a9abda1c11414dd1cedcb77c68b6814a969a2e8d17269f1e2</t>
  </si>
  <si>
    <t>202382E02005</t>
  </si>
  <si>
    <t>a03726c349d62f122e3b2d60a2543f199944ac9b0b476e08b38f2a9b271b0b0e</t>
  </si>
  <si>
    <t>202383B01005</t>
  </si>
  <si>
    <t>57ec5ab4464fccd3b50ba7374e506be24a010b20a24ab0efe8bf9fa0d6e58e83</t>
  </si>
  <si>
    <t>202383C01005</t>
  </si>
  <si>
    <t>5fa085405f6ea1adde294b8d8d3675fd63889f66773509bc6484bef4bc0735e1</t>
  </si>
  <si>
    <t>202384B01005</t>
  </si>
  <si>
    <t>f948288e404883100f56569f15adac13396c23f5affb460f1c113564687af49e</t>
  </si>
  <si>
    <t>202385B01005</t>
  </si>
  <si>
    <t>0324d72eb73ef5ddc6f08cd91d758ac65980cda130a36714c69bdb69c589f548</t>
  </si>
  <si>
    <t>202452B01005</t>
  </si>
  <si>
    <t>e8dfa0c14823594de8d79bd6214cb8b93a7f93bf4ae79b6f8ace48aca2aabcfa</t>
  </si>
  <si>
    <t>202391B01005</t>
  </si>
  <si>
    <t>TRINIDAD ZAACHILA</t>
  </si>
  <si>
    <t>a50c7e52e864651846efee49e45d9eca3972a0fba3d428e81618a8813a6859f0</t>
  </si>
  <si>
    <t>202391C01005</t>
  </si>
  <si>
    <t>5f3f54733be43f3cf250d3ef827e6385277b2da81fc92d719aa20f53aeba2c1e</t>
  </si>
  <si>
    <t>202391E01005</t>
  </si>
  <si>
    <t>28dcb8693e83c4e38b2ff75da8bae241ad21d2dabf01cf7a0d909c87275efaa0</t>
  </si>
  <si>
    <t>202392B01005</t>
  </si>
  <si>
    <t>214745adb56a1dbeb04641d77f41f36f5cc87c8a53adec3512646d3107a95d41</t>
  </si>
  <si>
    <t>202392C01005</t>
  </si>
  <si>
    <t>e2c0d53cfc50267b428afde629d6f42b535f73d26c11a563f9748219ecdb229a</t>
  </si>
  <si>
    <t>202394B01005</t>
  </si>
  <si>
    <t>UNION HIDALGO</t>
  </si>
  <si>
    <t>2bc9b6e9f27b9152bfd797a39fdceba16737d2f236bb67ae2ce07dfc3d12d52a</t>
  </si>
  <si>
    <t>202394C01005</t>
  </si>
  <si>
    <t>3ad8776261111480920ed12ae23fa0f45556498e4615af56bce70e72a08a6f59</t>
  </si>
  <si>
    <t>202395B01005</t>
  </si>
  <si>
    <t>0833b214759e02c41ee3089ffc435ffd2de729a9ad699a39eed128f42675e5eb</t>
  </si>
  <si>
    <t>202395C01005</t>
  </si>
  <si>
    <t>55b88c463c2599c6387cb287c2b37456fdaf6478c733d6f3867e678e444d79d8</t>
  </si>
  <si>
    <t>202396B01005</t>
  </si>
  <si>
    <t>9221fec56e9605f3dad721c906357559bc422d5018946961d4ffef59a6075220</t>
  </si>
  <si>
    <t>202396C01005</t>
  </si>
  <si>
    <t>6303767cf1f6a0e15c3821b05f9738b1d50d9f65fab0cb65ce1b919cfed742cf</t>
  </si>
  <si>
    <t>202397B01005</t>
  </si>
  <si>
    <t>2c5215aae91ef416346dd67ed9d82158d6ef1de378fc76cec2a8cac712e654a9</t>
  </si>
  <si>
    <t>202397C01005</t>
  </si>
  <si>
    <t>21e9855564f25a05dfab0ea25a74145c36de90979d541a3a379fcd5d2215ff2b</t>
  </si>
  <si>
    <t>202398B01005</t>
  </si>
  <si>
    <t>17f5c947b93dc3566a652720bbc81d34d4646ebef8d51689a187346dae3450e8</t>
  </si>
  <si>
    <t>202398C01005</t>
  </si>
  <si>
    <t>4a6515065a882252843617ecdf6cb990206bb98502d6b75b0dadf5bfe3234182</t>
  </si>
  <si>
    <t>202399B01005</t>
  </si>
  <si>
    <t>e812612ef6438eb0f8d8b8149b5c9fddcea4d2c42755a14ec2b73ebf395c1a27</t>
  </si>
  <si>
    <t>202400B01005</t>
  </si>
  <si>
    <t>2791d2acafbb6cb9e8c8d85fb8d9d56dfbd403173335b2ae567518fca6dec51b</t>
  </si>
  <si>
    <t>202401B01005</t>
  </si>
  <si>
    <t>0997cd0bed9fa00dc6e8c51c1aa406fc35cc1656e9585ea0b9d9992d2560be87</t>
  </si>
  <si>
    <t>202401C01005</t>
  </si>
  <si>
    <t>288c444f15539c8672618807bc5c0a605547d05cefc0e59a36fa00c84bc46ad2</t>
  </si>
  <si>
    <t>202402B01005</t>
  </si>
  <si>
    <t>7242c48fbe61544bf8877000121cb052cf419b50d83bb27b31d4a8735ce0fb56</t>
  </si>
  <si>
    <t>202402C01005</t>
  </si>
  <si>
    <t>78e5138e9c4f9e29355fb40176e9f73c2ec3510b8cba76bf253bc7c9f2ca6023</t>
  </si>
  <si>
    <t>202402C02005</t>
  </si>
  <si>
    <t>2e38f71eb0e78318920f2e8d2a16fc8995d243927ed6c8bfd083c91e2d61cdc6</t>
  </si>
  <si>
    <t>202403B01005</t>
  </si>
  <si>
    <t>820f5b2057dbb78f330e3f6f55a8aa9b4bfe70dfe0a0001d9a31ef65d456be69</t>
  </si>
  <si>
    <t>202403C01005</t>
  </si>
  <si>
    <t>6d8e788cd78967d4802f7b6bd5d557638d21938572cc24ed765296e13f71f5b4</t>
  </si>
  <si>
    <t>202404B01005</t>
  </si>
  <si>
    <t>d5e7850754b89a45fe72683423cbe5eb0576069c1aeeb850e35cb0ea220e3e1b</t>
  </si>
  <si>
    <t>202404C01005</t>
  </si>
  <si>
    <t>a02db7145de6f36ebf65dafcc7440252102f9edebc9ebf6d0418500bb6ca280e</t>
  </si>
  <si>
    <t>202405B01005</t>
  </si>
  <si>
    <t>VALERIO TRUJANO</t>
  </si>
  <si>
    <t>ad04d9d74d84ad613f73f3c182a7a2c04610f9f84a9a46fbf69ed860523b0e8c</t>
  </si>
  <si>
    <t>202406B01005</t>
  </si>
  <si>
    <t>6f60549d72f9a9db271ac8db3ac157fb18f168c961e26dcb9f55b911fa4207ff</t>
  </si>
  <si>
    <t>202408B01005</t>
  </si>
  <si>
    <t>VILLA DE ETLA</t>
  </si>
  <si>
    <t>be2f404eb767188566bba8a086f018c54d2f7b605a5dd5a0f813541f5e9e7f64</t>
  </si>
  <si>
    <t>202408C01005</t>
  </si>
  <si>
    <t>8e7bd947e4b2755bf3a2808575bf0a1f48f0629c25e0e74e9b04018bd4eaec24</t>
  </si>
  <si>
    <t>202409B01005</t>
  </si>
  <si>
    <t>b8b1464b483d22bc7af01560d91578b4a99711595e8a039efc3e9e4885826be3</t>
  </si>
  <si>
    <t>202409C01005</t>
  </si>
  <si>
    <t>89c0ee5551eb7cd8c348923f4b375e19624d02fc46a84c78de3303f833f98536</t>
  </si>
  <si>
    <t>202409C02005</t>
  </si>
  <si>
    <t>df46348a944c00ceb0e3f6525572465c55b5322e0e966a87b6345df47c35923d</t>
  </si>
  <si>
    <t>202409S01006</t>
  </si>
  <si>
    <t>e8e95d89286be94a9a7d459edcece530267f01c74d98dbf930d0d8aadd6738d8</t>
  </si>
  <si>
    <t>202410B01005</t>
  </si>
  <si>
    <t>822286b1ea733720d812090b62d69b3bfe7c60c24e5abb1110a117ab7b2c1b14</t>
  </si>
  <si>
    <t>202410C01005</t>
  </si>
  <si>
    <t>5a2e5531cb9ba4e7cb81aee0f60b5df7facdd0a9c419a645e853e4f1dce2c8b1</t>
  </si>
  <si>
    <t>202410C02005</t>
  </si>
  <si>
    <t>1b98660772aa8ff35eb319506cb7fe6cfb38b433e960cf6c3c700635c56bb1dc</t>
  </si>
  <si>
    <t>202410C03005</t>
  </si>
  <si>
    <t>6e0b57ee34f9ec1e54a6e7b358e6612e812eb0fce4a481585c69e09a65d67d3f</t>
  </si>
  <si>
    <t>202411B01005</t>
  </si>
  <si>
    <t>7273d8e78afacb7a1ef9a4c5540ee39bc30187334c841df16b7e142a52c07c1b</t>
  </si>
  <si>
    <t>202411C01005</t>
  </si>
  <si>
    <t>c4d50f8663b96cd69559af88158520a2a2572137d3dc6c23556d321e9f604684</t>
  </si>
  <si>
    <t>202411C02005</t>
  </si>
  <si>
    <t>9ce5df6b0e98f20b0dd46f699cbcc049f3d66c7ca8650329ab2c723f024f062d</t>
  </si>
  <si>
    <t>202411C03005</t>
  </si>
  <si>
    <t>fa7fcb3fd5dc5fdea6671a24d15a195e26d7888871285026488fb73e879111a5</t>
  </si>
  <si>
    <t>202423B01005</t>
  </si>
  <si>
    <t>VILLA DE ZAACHILA</t>
  </si>
  <si>
    <t>db4ab306de1526b0d9e23cc8d3023f71b98542d01948c121cf9b5176dbe97b0c</t>
  </si>
  <si>
    <t>202423C01005</t>
  </si>
  <si>
    <t>c2ceeccce7a59e8a7df4435c9a5358dcc60d157503f85b8e32caf68ddd739207</t>
  </si>
  <si>
    <t>202423C02005</t>
  </si>
  <si>
    <t>83b4ad5b4425bae1d6b3186bec595b6a1d54e0ae37a343016eccf4f7a756ba69</t>
  </si>
  <si>
    <t>202423C03005</t>
  </si>
  <si>
    <t>cd8c1345ac7c39710b7a0bdf347b0ae331e12f28b8d96d187c246213d6b864c1</t>
  </si>
  <si>
    <t>202423C04005</t>
  </si>
  <si>
    <t>1e2256d70a40c4cc6b26d7adb42c1fb610e1cb466d9ca38cdcbd6f8d01feaa41</t>
  </si>
  <si>
    <t>202424B01005</t>
  </si>
  <si>
    <t>51e1b462605fbbbdebf17590f5c5fc2bc6d05357018fd05f029ca8360542f9dd</t>
  </si>
  <si>
    <t>202424C01005</t>
  </si>
  <si>
    <t>0e53b88415dba810948091ce2e93ab024567a172bd434f66c7c8c228f7a3cd32</t>
  </si>
  <si>
    <t>202424C02005</t>
  </si>
  <si>
    <t>99ced2af0505c2cd243b5536981f818629f6a86d40128bb80c47d90241c95208</t>
  </si>
  <si>
    <t>202424C03005</t>
  </si>
  <si>
    <t>75d7880be16cf23ec98daa10e32089bd61cfb4b55ee37af91cad0e1899075376</t>
  </si>
  <si>
    <t>202425B01005</t>
  </si>
  <si>
    <t>1b86e1f29dc6b05588df14dcd7f4135d4371ac7c71369fe25f678f09ae0aa518</t>
  </si>
  <si>
    <t>202425C01005</t>
  </si>
  <si>
    <t>8aea1dc3e763d070da55f3060caad61a5506074534fa2c23b74d3929efd3689f</t>
  </si>
  <si>
    <t>202425C02005</t>
  </si>
  <si>
    <t>8888dd6e4906c0ab05cc40eaad1cac2daf87bd9aa52b77473a590c6e875fee55</t>
  </si>
  <si>
    <t>202426B01005</t>
  </si>
  <si>
    <t>4d730f69ade13dbdbe644bc6204a87393de96b08149027546107ea508d92c977</t>
  </si>
  <si>
    <t>202426C01005</t>
  </si>
  <si>
    <t>9f6d6bafb6fd8f60ae4c90f3ba504904a2bdc57da2b60b6a561613d05e1647c9</t>
  </si>
  <si>
    <t>202426C02005</t>
  </si>
  <si>
    <t>2b6a4ce52b31aff48f9e11da1fac5bc16a48955766a9c84e2635c75ae8a17ea3</t>
  </si>
  <si>
    <t>202426C03005</t>
  </si>
  <si>
    <t>b20d5b760dc79c55092a85f86289bf79c21f15fd110ff668bed64a54f8abd804</t>
  </si>
  <si>
    <t>202426C04005</t>
  </si>
  <si>
    <t>34a72cc3349a938678aa4878e9548e57b2601032b4a12d7f112d103de586b9f8</t>
  </si>
  <si>
    <t>202427B01005</t>
  </si>
  <si>
    <t>d8f56b34c4e4f37f39c0e2c87e6a01f78704cffd2b5c3395cdd2db96a42e6292</t>
  </si>
  <si>
    <t>202427C01005</t>
  </si>
  <si>
    <t>9c7399176fe0f826b1a6923d2ed0a692d893558df3e485c31b3cc394fed6f562</t>
  </si>
  <si>
    <t>202427C02005</t>
  </si>
  <si>
    <t>4ba2f8933d822217b5068df1b286fee2b2d4852b34af4dc8909bcbe21cba0c73</t>
  </si>
  <si>
    <t>202428B01005</t>
  </si>
  <si>
    <t>286b32b2c932fbc740bdaf0a5e256b8986d424aa77c9b965da9d317ca0dffba0</t>
  </si>
  <si>
    <t>202428C01005</t>
  </si>
  <si>
    <t>96611082a1efd5218eef274f77adc7c4b4c2e2ace83a85dbdb9d360ecd0e7a8b</t>
  </si>
  <si>
    <t>202428E01005</t>
  </si>
  <si>
    <t>0dd42a880fb3ac6119aa7c607af8eed4d2fb4698ce9857e87b2aa16e05e34087</t>
  </si>
  <si>
    <t>202428E01015</t>
  </si>
  <si>
    <t>467a9803a8e04e7e962fbee45852a55b0890497cf995e0012b6619b8922e9d0e</t>
  </si>
  <si>
    <t>202428E02005</t>
  </si>
  <si>
    <t>dcb64c75e1a671381825959a94d66b2173b8b5f08fecbcaf0c3d540122b475a8</t>
  </si>
  <si>
    <t>202428E02015</t>
  </si>
  <si>
    <t>d6dfed5d17729a31123270ee0f7175a14a0f4130190f68541ff0d5588f0f7325</t>
  </si>
  <si>
    <t>202428E02025</t>
  </si>
  <si>
    <t>2d928610ce9b7694cb20bd876781863b0d8bac89f0f3af55bff3b59ba4038978</t>
  </si>
  <si>
    <t>202428E02035</t>
  </si>
  <si>
    <t>36d2aa747a64b367fe5a46eed366dfd54c1c51e0e8fb6a17b6fe794fd8e81e50</t>
  </si>
  <si>
    <t>202428E02045</t>
  </si>
  <si>
    <t>1f262cc71314ee56664f5628a42f3513c4ef4cbab6c238935b2b1c6877c5a33f</t>
  </si>
  <si>
    <t>202428E02055</t>
  </si>
  <si>
    <t>6dc184424b796ccb9a04f45ebb247a4e741f15c66f4888e25596c8497ab9a514</t>
  </si>
  <si>
    <t>202428E02065</t>
  </si>
  <si>
    <t>3176edc085e6ef9d267048d0a2d0438aae0d5f7659d06a0e55db9ca5fe3f4df8</t>
  </si>
  <si>
    <t>202428E02075</t>
  </si>
  <si>
    <t>1b376fa9d34ff5e63143a73d57e7eef11ea103d8a2d4dcc00a2d071ea65b1fd8</t>
  </si>
  <si>
    <t>202428E03005</t>
  </si>
  <si>
    <t>0aa85db0aa467555915598c9a34f5186c92475f4da02c72aa9e26bcd0ebe4397</t>
  </si>
  <si>
    <t>202428E03015</t>
  </si>
  <si>
    <t>2880ae7abbaa8b43000348404fdc2b1a23219d5268d389cf292e6b35af855dbb</t>
  </si>
  <si>
    <t>202428E03025</t>
  </si>
  <si>
    <t>711651f08d900ed122631c0a2ab63c4009a7074d799651f70d7c26060f97e0b9</t>
  </si>
  <si>
    <t>202428E03035</t>
  </si>
  <si>
    <t>7492db101919d385ba5e0356b3224fba958777a1ba8772ebb38fc06a11db6016</t>
  </si>
  <si>
    <t>202428E03045</t>
  </si>
  <si>
    <t>def1c65e1ed7bc07c459fe575092879743fdc1078855ec1bb0bf8a6d1345a820</t>
  </si>
  <si>
    <t>202428E03055</t>
  </si>
  <si>
    <t>0a4d728589b894a412da877ee2ccb82b2589e92d27333a4c4066364b56afd6b8</t>
  </si>
  <si>
    <t>202428E03065</t>
  </si>
  <si>
    <t>662e8b4fa58fbb5b28f42a1e51c06fe0c157de0d16a9c989737de1f182298f9b</t>
  </si>
  <si>
    <t>202428E04005</t>
  </si>
  <si>
    <t>597910ea89841b522e47cef1ced9e933262699abae5dc20db9e31cf7dc011e19</t>
  </si>
  <si>
    <t>202428E04015</t>
  </si>
  <si>
    <t>65d7a87c805e3108f10a0b92618f6b39dca161043f38e3a1b84fc4f13fa3b640</t>
  </si>
  <si>
    <t>202429B01005</t>
  </si>
  <si>
    <t>0523428b1699b440fe3ccb34da39c9b44811ad76eb267b29db28c31d9699a304</t>
  </si>
  <si>
    <t>202432B01005</t>
  </si>
  <si>
    <t>ZAPOTITLAN LAGUNAS</t>
  </si>
  <si>
    <t>11fa7c91713d9ca5f40a48ebbea5c9029febae8ef92a99a19e6705ce8e204ca2</t>
  </si>
  <si>
    <t>202432C01005</t>
  </si>
  <si>
    <t>2d5b093207e02b131ec6f977ed21dce4fab6da0874f6d5c09f1ed58af4e71ec7</t>
  </si>
  <si>
    <t>202433B01005</t>
  </si>
  <si>
    <t>d5da1fd97c0a1a1a24a3ad865b86788c1ed16a65667ebc9d1fe60fe6b2b42d44</t>
  </si>
  <si>
    <t>202434B01005</t>
  </si>
  <si>
    <t>a9e7ff7640cd938e5e0cdd70887ebf7bdfd32579701d4ddd159f03cf2f2d092e</t>
  </si>
  <si>
    <t>202436B01005</t>
  </si>
  <si>
    <t>ZIMATLAN DE ALVAREZ</t>
  </si>
  <si>
    <t>7b997a53d8f3872b18e27c47bb9d17ec48d91a6916ea71511190aff050d4b2e3</t>
  </si>
  <si>
    <t>202436C01005</t>
  </si>
  <si>
    <t>f569ffdd140696c749a13a0ae7f50b4cd7530018ac3e9adf40a860b836177276</t>
  </si>
  <si>
    <t>202437B01005</t>
  </si>
  <si>
    <t>b84bc6f204129a1f5f56f94db95abe1074934fa6bfa523238c927133361b0f1d</t>
  </si>
  <si>
    <t>202437C01005</t>
  </si>
  <si>
    <t>570a8c3fa21929ad335399924ff596f6c8df6cda6024e197ef2636fce008a636</t>
  </si>
  <si>
    <t>202437C02005</t>
  </si>
  <si>
    <t>6ce1560cf226f1ea8ce68c2128d48592aea92740e1dc4971da8e365439e24a90</t>
  </si>
  <si>
    <t>202438B01005</t>
  </si>
  <si>
    <t>48eeddecb9053dc6422d05743f55ed5b3e4eb6a2121cc04bd426a50bbffcc647</t>
  </si>
  <si>
    <t>202438C01005</t>
  </si>
  <si>
    <t>514305931b3562d8ebdd2b3f958c51e0692b5c147a23d2e4af1e4bfddcb29071</t>
  </si>
  <si>
    <t>202439B01005</t>
  </si>
  <si>
    <t>b50958b0c02130251092defda44b6c70a519a1f92ada96b953b501f1082a1ea3</t>
  </si>
  <si>
    <t>202439C01005</t>
  </si>
  <si>
    <t>2cb85d32089dd3c197f81a2cf8b251b4629a0e863b35e9a90965ab45604b1231</t>
  </si>
  <si>
    <t>202439S01006</t>
  </si>
  <si>
    <t>a0085ad6816a40438ab95fdf1fbfbd55788666ace6698b6124dc4af4ec447008</t>
  </si>
  <si>
    <t>202440B01005</t>
  </si>
  <si>
    <t>11ad048bf52e990cd2a0401a91b483e56b7b5b0be715d6fd2ed359dd8cb4748d</t>
  </si>
  <si>
    <t>202440C01005</t>
  </si>
  <si>
    <t>a98305d464cb5495dc151e3a25f61ed8178a462be3262ee4721967d9c9cab5d8</t>
  </si>
  <si>
    <t>202441B01005</t>
  </si>
  <si>
    <t>54e5b481c0780f6aa42594f1a229a74873d0d60705f08b262510be5766d9014d</t>
  </si>
  <si>
    <t>202441C01005</t>
  </si>
  <si>
    <t>e057890e15514d0eb5a385cf56ff7f3cd7932299f1f126df6038292ae96a9cee</t>
  </si>
  <si>
    <t>202441C02005</t>
  </si>
  <si>
    <t>88f53b3d606dca67c2a1ed2a339cbd7edda6dacbfe0131b4e122fb87a390452c</t>
  </si>
  <si>
    <t>202442B01005</t>
  </si>
  <si>
    <t>135b1a4af9c8b95575f9ffa454d278b3c9170bb27807b2b9349d4c3a2b2a2f22</t>
  </si>
  <si>
    <t>202442C01005</t>
  </si>
  <si>
    <t>819ba669faaf3de125f172bb920005dcaef348b40ae736a38179bb3108343fdf</t>
  </si>
  <si>
    <t>202442C02005</t>
  </si>
  <si>
    <t>1e78d5a58874f4f6d9f710bd1a27727a2d76003c5cf07074e6db192227dd357a</t>
  </si>
  <si>
    <t>202442C03005</t>
  </si>
  <si>
    <t>93eabc118152b03e2f7ee1ea9d55b748d0240dcfbfdcc6cc7b6201007f00e3a6</t>
  </si>
  <si>
    <t>202443B01005</t>
  </si>
  <si>
    <t>c1fa1a765c2d7a95e1224a353f24ac26eb040a92fe9d3f78626a89940057d092</t>
  </si>
  <si>
    <t>202444B01005</t>
  </si>
  <si>
    <t>77b0f4ec8b30ea37d5e29fcafc96da241ae691c3673585ef784370fc005ffb51</t>
  </si>
  <si>
    <t>202445B01005</t>
  </si>
  <si>
    <t>d252ec203454efb021cfa71f0bf1969e621e334b63e96258109431c6450c4eee</t>
  </si>
  <si>
    <t>202446B01005</t>
  </si>
  <si>
    <t>435dfcb482ff7374f08f5d1c9a3db5b945d9721b3972300fb3ae02a370610457</t>
  </si>
  <si>
    <t>202446E01005</t>
  </si>
  <si>
    <t>270e00d457e6740b6f99be2e5b5daee6493e0934f709e330ceb9f74baaab5536</t>
  </si>
  <si>
    <t>202447B01005</t>
  </si>
  <si>
    <t>0aa84e92326aab02a3f64ff46682e004f42ca323b34811a5539e8f4f67d26de6</t>
  </si>
  <si>
    <t>202447C01005</t>
  </si>
  <si>
    <t>f99291d05024ec3bde5051da24eb4c1a6ab3c6a00159757eb6af77734de185a6</t>
  </si>
  <si>
    <t>202448B01005</t>
  </si>
  <si>
    <t>96de783c43bb700e70086b7d05d1763bb875c1c8de184b55bd5966df682640d0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</si>
</sst>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65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16</xdr:col>
      <xdr:colOff>761905</xdr:colOff>
      <xdr:row>2</xdr:row>
      <xdr:rowOff>761905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856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761905</xdr:colOff>
      <xdr:row>2</xdr:row>
      <xdr:rowOff>761905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8104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761905</xdr:colOff>
      <xdr:row>2</xdr:row>
      <xdr:rowOff>761905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76600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761905</xdr:colOff>
      <xdr:row>2</xdr:row>
      <xdr:rowOff>761905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7352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761905</xdr:colOff>
      <xdr:row>2</xdr:row>
      <xdr:rowOff>761905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5848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</xdr:row>
      <xdr:rowOff>121921</xdr:rowOff>
    </xdr:from>
    <xdr:to>
      <xdr:col>21</xdr:col>
      <xdr:colOff>786289</xdr:colOff>
      <xdr:row>2</xdr:row>
      <xdr:rowOff>617221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350960" y="487681"/>
          <a:ext cx="786289" cy="4953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761905</xdr:colOff>
      <xdr:row>2</xdr:row>
      <xdr:rowOff>761905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3592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</xdr:row>
      <xdr:rowOff>0</xdr:rowOff>
    </xdr:from>
    <xdr:to>
      <xdr:col>24</xdr:col>
      <xdr:colOff>761905</xdr:colOff>
      <xdr:row>2</xdr:row>
      <xdr:rowOff>761905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72840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</xdr:row>
      <xdr:rowOff>53341</xdr:rowOff>
    </xdr:from>
    <xdr:to>
      <xdr:col>25</xdr:col>
      <xdr:colOff>774763</xdr:colOff>
      <xdr:row>2</xdr:row>
      <xdr:rowOff>685801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520880" y="419101"/>
          <a:ext cx="774763" cy="63246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2</xdr:row>
      <xdr:rowOff>15240</xdr:rowOff>
    </xdr:from>
    <xdr:to>
      <xdr:col>26</xdr:col>
      <xdr:colOff>746760</xdr:colOff>
      <xdr:row>2</xdr:row>
      <xdr:rowOff>735009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313360" y="381000"/>
          <a:ext cx="746760" cy="719769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2</xdr:row>
      <xdr:rowOff>7621</xdr:rowOff>
    </xdr:from>
    <xdr:to>
      <xdr:col>27</xdr:col>
      <xdr:colOff>785336</xdr:colOff>
      <xdr:row>2</xdr:row>
      <xdr:rowOff>655321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105840" y="373381"/>
          <a:ext cx="785336" cy="647700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2</xdr:row>
      <xdr:rowOff>213360</xdr:rowOff>
    </xdr:from>
    <xdr:to>
      <xdr:col>29</xdr:col>
      <xdr:colOff>6099</xdr:colOff>
      <xdr:row>2</xdr:row>
      <xdr:rowOff>541020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898321" y="579120"/>
          <a:ext cx="1179578" cy="32766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205741</xdr:rowOff>
    </xdr:from>
    <xdr:to>
      <xdr:col>29</xdr:col>
      <xdr:colOff>800100</xdr:colOff>
      <xdr:row>2</xdr:row>
      <xdr:rowOff>561341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071800" y="571501"/>
          <a:ext cx="800100" cy="355600"/>
        </a:xfrm>
        <a:prstGeom prst="rect">
          <a:avLst/>
        </a:prstGeom>
      </xdr:spPr>
    </xdr:pic>
    <xdr:clientData/>
  </xdr:twoCellAnchor>
  <xdr:twoCellAnchor editAs="oneCell">
    <xdr:from>
      <xdr:col>30</xdr:col>
      <xdr:colOff>1</xdr:colOff>
      <xdr:row>2</xdr:row>
      <xdr:rowOff>213361</xdr:rowOff>
    </xdr:from>
    <xdr:to>
      <xdr:col>30</xdr:col>
      <xdr:colOff>784860</xdr:colOff>
      <xdr:row>2</xdr:row>
      <xdr:rowOff>552759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910001" y="579121"/>
          <a:ext cx="784859" cy="339398"/>
        </a:xfrm>
        <a:prstGeom prst="rect">
          <a:avLst/>
        </a:prstGeom>
      </xdr:spPr>
    </xdr:pic>
    <xdr:clientData/>
  </xdr:twoCellAnchor>
  <xdr:twoCellAnchor editAs="oneCell">
    <xdr:from>
      <xdr:col>31</xdr:col>
      <xdr:colOff>1</xdr:colOff>
      <xdr:row>2</xdr:row>
      <xdr:rowOff>190501</xdr:rowOff>
    </xdr:from>
    <xdr:to>
      <xdr:col>31</xdr:col>
      <xdr:colOff>792957</xdr:colOff>
      <xdr:row>2</xdr:row>
      <xdr:rowOff>533401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778681" y="556261"/>
          <a:ext cx="792956" cy="342900"/>
        </a:xfrm>
        <a:prstGeom prst="rect">
          <a:avLst/>
        </a:prstGeom>
      </xdr:spPr>
    </xdr:pic>
    <xdr:clientData/>
  </xdr:twoCellAnchor>
  <xdr:twoCellAnchor editAs="oneCell">
    <xdr:from>
      <xdr:col>31</xdr:col>
      <xdr:colOff>861059</xdr:colOff>
      <xdr:row>2</xdr:row>
      <xdr:rowOff>198120</xdr:rowOff>
    </xdr:from>
    <xdr:to>
      <xdr:col>32</xdr:col>
      <xdr:colOff>1186050</xdr:colOff>
      <xdr:row>2</xdr:row>
      <xdr:rowOff>533400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639739" y="563880"/>
          <a:ext cx="1186051" cy="335280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2</xdr:row>
      <xdr:rowOff>182881</xdr:rowOff>
    </xdr:from>
    <xdr:to>
      <xdr:col>33</xdr:col>
      <xdr:colOff>800100</xdr:colOff>
      <xdr:row>2</xdr:row>
      <xdr:rowOff>538481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836080" y="548641"/>
          <a:ext cx="800100" cy="3556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2</xdr:row>
      <xdr:rowOff>182881</xdr:rowOff>
    </xdr:from>
    <xdr:to>
      <xdr:col>34</xdr:col>
      <xdr:colOff>788670</xdr:colOff>
      <xdr:row>2</xdr:row>
      <xdr:rowOff>533401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00" y="548641"/>
          <a:ext cx="788670" cy="35052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2</xdr:row>
      <xdr:rowOff>182881</xdr:rowOff>
    </xdr:from>
    <xdr:to>
      <xdr:col>35</xdr:col>
      <xdr:colOff>788670</xdr:colOff>
      <xdr:row>2</xdr:row>
      <xdr:rowOff>533401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512480" y="548641"/>
          <a:ext cx="788670" cy="350520"/>
        </a:xfrm>
        <a:prstGeom prst="rect">
          <a:avLst/>
        </a:prstGeom>
      </xdr:spPr>
    </xdr:pic>
    <xdr:clientData/>
  </xdr:twoCellAnchor>
  <xdr:twoCellAnchor editAs="oneCell">
    <xdr:from>
      <xdr:col>36</xdr:col>
      <xdr:colOff>1</xdr:colOff>
      <xdr:row>2</xdr:row>
      <xdr:rowOff>213360</xdr:rowOff>
    </xdr:from>
    <xdr:to>
      <xdr:col>36</xdr:col>
      <xdr:colOff>1290165</xdr:colOff>
      <xdr:row>2</xdr:row>
      <xdr:rowOff>556260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449741" y="579120"/>
          <a:ext cx="1290164" cy="342900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2</xdr:row>
      <xdr:rowOff>213361</xdr:rowOff>
    </xdr:from>
    <xdr:to>
      <xdr:col>37</xdr:col>
      <xdr:colOff>784955</xdr:colOff>
      <xdr:row>2</xdr:row>
      <xdr:rowOff>525781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752760" y="579121"/>
          <a:ext cx="784955" cy="312420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2</xdr:row>
      <xdr:rowOff>220981</xdr:rowOff>
    </xdr:from>
    <xdr:to>
      <xdr:col>38</xdr:col>
      <xdr:colOff>764095</xdr:colOff>
      <xdr:row>2</xdr:row>
      <xdr:rowOff>541021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9781460" y="586741"/>
          <a:ext cx="764095" cy="320040"/>
        </a:xfrm>
        <a:prstGeom prst="rect">
          <a:avLst/>
        </a:prstGeom>
      </xdr:spPr>
    </xdr:pic>
    <xdr:clientData/>
  </xdr:twoCellAnchor>
  <xdr:twoCellAnchor editAs="oneCell">
    <xdr:from>
      <xdr:col>39</xdr:col>
      <xdr:colOff>1</xdr:colOff>
      <xdr:row>2</xdr:row>
      <xdr:rowOff>228601</xdr:rowOff>
    </xdr:from>
    <xdr:to>
      <xdr:col>39</xdr:col>
      <xdr:colOff>796481</xdr:colOff>
      <xdr:row>2</xdr:row>
      <xdr:rowOff>510541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573941" y="594361"/>
          <a:ext cx="796480" cy="2819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761905</xdr:colOff>
      <xdr:row>2</xdr:row>
      <xdr:rowOff>761905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5143440" y="365760"/>
          <a:ext cx="761905" cy="761905"/>
        </a:xfrm>
        <a:prstGeom prst="rect">
          <a:avLst/>
        </a:prstGeom>
      </xdr:spPr>
    </xdr:pic>
    <xdr:clientData/>
  </xdr:twoCellAnchor>
  <xdr:oneCellAnchor>
    <xdr:from>
      <xdr:col>40</xdr:col>
      <xdr:colOff>1</xdr:colOff>
      <xdr:row>2</xdr:row>
      <xdr:rowOff>213360</xdr:rowOff>
    </xdr:from>
    <xdr:ext cx="1179578" cy="327660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768781" y="579120"/>
          <a:ext cx="1179578" cy="327660"/>
        </a:xfrm>
        <a:prstGeom prst="rect">
          <a:avLst/>
        </a:prstGeom>
      </xdr:spPr>
    </xdr:pic>
    <xdr:clientData/>
  </xdr:oneCellAnchor>
  <xdr:oneCellAnchor>
    <xdr:from>
      <xdr:col>41</xdr:col>
      <xdr:colOff>0</xdr:colOff>
      <xdr:row>2</xdr:row>
      <xdr:rowOff>205741</xdr:rowOff>
    </xdr:from>
    <xdr:ext cx="800100" cy="355600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42260" y="571501"/>
          <a:ext cx="800100" cy="355600"/>
        </a:xfrm>
        <a:prstGeom prst="rect">
          <a:avLst/>
        </a:prstGeom>
      </xdr:spPr>
    </xdr:pic>
    <xdr:clientData/>
  </xdr:oneCellAnchor>
  <xdr:oneCellAnchor>
    <xdr:from>
      <xdr:col>42</xdr:col>
      <xdr:colOff>1</xdr:colOff>
      <xdr:row>2</xdr:row>
      <xdr:rowOff>213361</xdr:rowOff>
    </xdr:from>
    <xdr:ext cx="784859" cy="339398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80461" y="579121"/>
          <a:ext cx="784859" cy="339398"/>
        </a:xfrm>
        <a:prstGeom prst="rect">
          <a:avLst/>
        </a:prstGeom>
      </xdr:spPr>
    </xdr:pic>
    <xdr:clientData/>
  </xdr:oneCellAnchor>
  <xdr:oneCellAnchor>
    <xdr:from>
      <xdr:col>43</xdr:col>
      <xdr:colOff>1</xdr:colOff>
      <xdr:row>2</xdr:row>
      <xdr:rowOff>190501</xdr:rowOff>
    </xdr:from>
    <xdr:ext cx="792956" cy="342900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649141" y="556261"/>
          <a:ext cx="792956" cy="342900"/>
        </a:xfrm>
        <a:prstGeom prst="rect">
          <a:avLst/>
        </a:prstGeom>
      </xdr:spPr>
    </xdr:pic>
    <xdr:clientData/>
  </xdr:oneCellAnchor>
  <xdr:oneCellAnchor>
    <xdr:from>
      <xdr:col>43</xdr:col>
      <xdr:colOff>845819</xdr:colOff>
      <xdr:row>2</xdr:row>
      <xdr:rowOff>198120</xdr:rowOff>
    </xdr:from>
    <xdr:ext cx="1186051" cy="335280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214519" y="563880"/>
          <a:ext cx="1186051" cy="335280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2</xdr:row>
      <xdr:rowOff>182881</xdr:rowOff>
    </xdr:from>
    <xdr:ext cx="800100" cy="355600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706540" y="548641"/>
          <a:ext cx="800100" cy="355600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2</xdr:row>
      <xdr:rowOff>182881</xdr:rowOff>
    </xdr:from>
    <xdr:ext cx="788670" cy="350520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590460" y="548641"/>
          <a:ext cx="788670" cy="350520"/>
        </a:xfrm>
        <a:prstGeom prst="rect">
          <a:avLst/>
        </a:prstGeom>
      </xdr:spPr>
    </xdr:pic>
    <xdr:clientData/>
  </xdr:oneCellAnchor>
  <xdr:oneCellAnchor>
    <xdr:from>
      <xdr:col>47</xdr:col>
      <xdr:colOff>0</xdr:colOff>
      <xdr:row>2</xdr:row>
      <xdr:rowOff>182881</xdr:rowOff>
    </xdr:from>
    <xdr:ext cx="788670" cy="350520"/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382940" y="548641"/>
          <a:ext cx="788670" cy="350520"/>
        </a:xfrm>
        <a:prstGeom prst="rect">
          <a:avLst/>
        </a:prstGeom>
      </xdr:spPr>
    </xdr:pic>
    <xdr:clientData/>
  </xdr:oneCellAnchor>
  <xdr:twoCellAnchor editAs="oneCell">
    <xdr:from>
      <xdr:col>48</xdr:col>
      <xdr:colOff>0</xdr:colOff>
      <xdr:row>2</xdr:row>
      <xdr:rowOff>228600</xdr:rowOff>
    </xdr:from>
    <xdr:to>
      <xdr:col>49</xdr:col>
      <xdr:colOff>9521</xdr:colOff>
      <xdr:row>2</xdr:row>
      <xdr:rowOff>548639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613040" y="594360"/>
          <a:ext cx="1160141" cy="320039"/>
        </a:xfrm>
        <a:prstGeom prst="rect">
          <a:avLst/>
        </a:prstGeom>
      </xdr:spPr>
    </xdr:pic>
    <xdr:clientData/>
  </xdr:twoCellAnchor>
  <xdr:twoCellAnchor editAs="oneCell">
    <xdr:from>
      <xdr:col>49</xdr:col>
      <xdr:colOff>7620</xdr:colOff>
      <xdr:row>2</xdr:row>
      <xdr:rowOff>205741</xdr:rowOff>
    </xdr:from>
    <xdr:to>
      <xdr:col>49</xdr:col>
      <xdr:colOff>807720</xdr:colOff>
      <xdr:row>2</xdr:row>
      <xdr:rowOff>561341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771280" y="571501"/>
          <a:ext cx="800100" cy="355600"/>
        </a:xfrm>
        <a:prstGeom prst="rect">
          <a:avLst/>
        </a:prstGeom>
      </xdr:spPr>
    </xdr:pic>
    <xdr:clientData/>
  </xdr:twoCellAnchor>
  <xdr:twoCellAnchor editAs="oneCell">
    <xdr:from>
      <xdr:col>50</xdr:col>
      <xdr:colOff>0</xdr:colOff>
      <xdr:row>2</xdr:row>
      <xdr:rowOff>213361</xdr:rowOff>
    </xdr:from>
    <xdr:to>
      <xdr:col>50</xdr:col>
      <xdr:colOff>792480</xdr:colOff>
      <xdr:row>2</xdr:row>
      <xdr:rowOff>547037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579000" y="579121"/>
          <a:ext cx="792480" cy="333676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2</xdr:row>
      <xdr:rowOff>0</xdr:rowOff>
    </xdr:from>
    <xdr:to>
      <xdr:col>51</xdr:col>
      <xdr:colOff>761905</xdr:colOff>
      <xdr:row>2</xdr:row>
      <xdr:rowOff>761905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99048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52</xdr:col>
      <xdr:colOff>0</xdr:colOff>
      <xdr:row>2</xdr:row>
      <xdr:rowOff>0</xdr:rowOff>
    </xdr:from>
    <xdr:to>
      <xdr:col>52</xdr:col>
      <xdr:colOff>761905</xdr:colOff>
      <xdr:row>2</xdr:row>
      <xdr:rowOff>761905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782960" y="365760"/>
          <a:ext cx="761905" cy="761905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2</xdr:row>
      <xdr:rowOff>0</xdr:rowOff>
    </xdr:from>
    <xdr:to>
      <xdr:col>53</xdr:col>
      <xdr:colOff>761905</xdr:colOff>
      <xdr:row>2</xdr:row>
      <xdr:rowOff>761905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575440" y="365760"/>
          <a:ext cx="761905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46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baseColWidth="10" defaultRowHeight="14.4" x14ac:dyDescent="0.3"/>
  <cols>
    <col min="1" max="1" width="16.44140625" bestFit="1" customWidth="1"/>
    <col min="2" max="2" width="38.5546875" bestFit="1" customWidth="1"/>
    <col min="3" max="3" width="16.6640625" bestFit="1" customWidth="1"/>
    <col min="4" max="4" width="18.5546875" bestFit="1" customWidth="1"/>
    <col min="5" max="5" width="23" bestFit="1" customWidth="1"/>
    <col min="6" max="6" width="40.77734375" customWidth="1"/>
    <col min="7" max="7" width="30.21875" bestFit="1" customWidth="1"/>
    <col min="8" max="8" width="21.6640625" bestFit="1" customWidth="1"/>
    <col min="9" max="9" width="33.5546875" bestFit="1" customWidth="1"/>
    <col min="10" max="10" width="34.33203125" bestFit="1" customWidth="1"/>
    <col min="11" max="11" width="25.33203125" bestFit="1" customWidth="1"/>
    <col min="12" max="12" width="36.6640625" bestFit="1" customWidth="1"/>
    <col min="13" max="13" width="25.6640625" bestFit="1" customWidth="1"/>
    <col min="14" max="14" width="25.5546875" bestFit="1" customWidth="1"/>
    <col min="15" max="15" width="37.21875" bestFit="1" customWidth="1"/>
    <col min="16" max="16" width="21.88671875" bestFit="1" customWidth="1"/>
    <col min="29" max="29" width="17.109375" bestFit="1" customWidth="1"/>
    <col min="30" max="30" width="12.21875" bestFit="1" customWidth="1"/>
    <col min="31" max="31" width="12.6640625" bestFit="1" customWidth="1"/>
    <col min="32" max="32" width="12.5546875" bestFit="1" customWidth="1"/>
    <col min="33" max="33" width="17.44140625" bestFit="1" customWidth="1"/>
    <col min="34" max="34" width="12.88671875" bestFit="1" customWidth="1"/>
    <col min="36" max="36" width="13.6640625" bestFit="1" customWidth="1"/>
    <col min="37" max="37" width="19" bestFit="1" customWidth="1"/>
    <col min="38" max="38" width="15" bestFit="1" customWidth="1"/>
    <col min="40" max="40" width="15.88671875" bestFit="1" customWidth="1"/>
    <col min="42" max="42" width="12" bestFit="1" customWidth="1"/>
    <col min="43" max="43" width="12.44140625" bestFit="1" customWidth="1"/>
    <col min="44" max="44" width="12.33203125" bestFit="1" customWidth="1"/>
    <col min="45" max="45" width="17.21875" bestFit="1" customWidth="1"/>
    <col min="46" max="46" width="12.6640625" bestFit="1" customWidth="1"/>
    <col min="48" max="48" width="13.44140625" bestFit="1" customWidth="1"/>
    <col min="49" max="49" width="16.77734375" bestFit="1" customWidth="1"/>
    <col min="50" max="50" width="11.88671875" bestFit="1" customWidth="1"/>
    <col min="51" max="51" width="12.33203125" bestFit="1" customWidth="1"/>
    <col min="57" max="57" width="23.21875" bestFit="1" customWidth="1"/>
    <col min="58" max="58" width="24.33203125" bestFit="1" customWidth="1"/>
    <col min="59" max="59" width="14.6640625" bestFit="1" customWidth="1"/>
    <col min="60" max="60" width="21.6640625" bestFit="1" customWidth="1"/>
    <col min="61" max="61" width="41.109375" bestFit="1" customWidth="1"/>
    <col min="62" max="62" width="14.33203125" bestFit="1" customWidth="1"/>
    <col min="63" max="63" width="22.44140625" bestFit="1" customWidth="1"/>
    <col min="65" max="65" width="19.6640625" style="3" bestFit="1" customWidth="1"/>
    <col min="66" max="66" width="21" style="3" bestFit="1" customWidth="1"/>
    <col min="67" max="67" width="25.109375" style="3" bestFit="1" customWidth="1"/>
    <col min="68" max="68" width="7.5546875" bestFit="1" customWidth="1"/>
    <col min="69" max="69" width="14.44140625" bestFit="1" customWidth="1"/>
    <col min="70" max="70" width="17.33203125" bestFit="1" customWidth="1"/>
  </cols>
  <sheetData>
    <row r="1" spans="1:7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70" x14ac:dyDescent="0.3">
      <c r="A2" t="s">
        <v>15</v>
      </c>
      <c r="B2" t="s">
        <v>16</v>
      </c>
      <c r="C2" s="1">
        <v>3462</v>
      </c>
      <c r="D2" s="1">
        <v>3462</v>
      </c>
      <c r="E2">
        <v>0</v>
      </c>
      <c r="F2" s="1">
        <v>3462</v>
      </c>
      <c r="G2" s="5">
        <v>1</v>
      </c>
      <c r="H2" s="1">
        <v>3077</v>
      </c>
      <c r="I2" s="5">
        <v>0.88879200000000003</v>
      </c>
      <c r="J2" s="5">
        <v>0.182842</v>
      </c>
      <c r="K2">
        <v>385</v>
      </c>
      <c r="L2" s="1">
        <v>1684289</v>
      </c>
      <c r="M2" s="1">
        <v>1182682</v>
      </c>
      <c r="N2" s="1">
        <v>1180523</v>
      </c>
      <c r="O2" s="5">
        <v>0.70218400000000003</v>
      </c>
    </row>
    <row r="3" spans="1:70" ht="60" customHeight="1" x14ac:dyDescent="0.3"/>
    <row r="4" spans="1:70" x14ac:dyDescent="0.3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A4" t="s">
        <v>43</v>
      </c>
      <c r="AB4" t="s">
        <v>44</v>
      </c>
      <c r="AC4" t="s">
        <v>45</v>
      </c>
      <c r="AD4" t="s">
        <v>46</v>
      </c>
      <c r="AE4" t="s">
        <v>47</v>
      </c>
      <c r="AF4" t="s">
        <v>48</v>
      </c>
      <c r="AG4" t="s">
        <v>49</v>
      </c>
      <c r="AH4" t="s">
        <v>50</v>
      </c>
      <c r="AI4" t="s">
        <v>51</v>
      </c>
      <c r="AJ4" t="s">
        <v>52</v>
      </c>
      <c r="AK4" t="s">
        <v>53</v>
      </c>
      <c r="AL4" t="s">
        <v>54</v>
      </c>
      <c r="AM4" t="s">
        <v>55</v>
      </c>
      <c r="AN4" t="s">
        <v>56</v>
      </c>
      <c r="AO4" t="s">
        <v>57</v>
      </c>
      <c r="AP4" t="s">
        <v>58</v>
      </c>
      <c r="AQ4" t="s">
        <v>59</v>
      </c>
      <c r="AR4" t="s">
        <v>60</v>
      </c>
      <c r="AS4" t="s">
        <v>61</v>
      </c>
      <c r="AT4" t="s">
        <v>62</v>
      </c>
      <c r="AU4" t="s">
        <v>63</v>
      </c>
      <c r="AV4" t="s">
        <v>64</v>
      </c>
      <c r="AW4" t="s">
        <v>65</v>
      </c>
      <c r="AX4" t="s">
        <v>66</v>
      </c>
      <c r="AY4" t="s">
        <v>67</v>
      </c>
      <c r="AZ4" t="s">
        <v>68</v>
      </c>
      <c r="BA4" t="s">
        <v>69</v>
      </c>
      <c r="BB4" t="s">
        <v>70</v>
      </c>
      <c r="BC4" t="s">
        <v>71</v>
      </c>
      <c r="BD4" t="s">
        <v>72</v>
      </c>
      <c r="BE4" t="s">
        <v>73</v>
      </c>
      <c r="BF4" t="s">
        <v>74</v>
      </c>
      <c r="BG4" t="s">
        <v>75</v>
      </c>
      <c r="BH4" t="s">
        <v>76</v>
      </c>
      <c r="BI4" t="s">
        <v>77</v>
      </c>
      <c r="BJ4" t="s">
        <v>78</v>
      </c>
      <c r="BK4" t="s">
        <v>79</v>
      </c>
      <c r="BL4" t="s">
        <v>80</v>
      </c>
      <c r="BM4" s="3" t="s">
        <v>81</v>
      </c>
      <c r="BN4" s="3" t="s">
        <v>82</v>
      </c>
      <c r="BO4" s="3" t="s">
        <v>83</v>
      </c>
      <c r="BP4" t="s">
        <v>84</v>
      </c>
      <c r="BQ4" t="s">
        <v>85</v>
      </c>
      <c r="BR4" t="s">
        <v>86</v>
      </c>
    </row>
    <row r="5" spans="1:70" x14ac:dyDescent="0.3">
      <c r="A5" t="str">
        <f>"200002B0100"</f>
        <v>200002B0100</v>
      </c>
      <c r="B5" t="s">
        <v>87</v>
      </c>
      <c r="C5">
        <v>20</v>
      </c>
      <c r="D5" t="s">
        <v>88</v>
      </c>
      <c r="E5">
        <v>2</v>
      </c>
      <c r="F5" t="s">
        <v>89</v>
      </c>
      <c r="G5">
        <v>2</v>
      </c>
      <c r="H5">
        <v>1</v>
      </c>
      <c r="I5" t="s">
        <v>90</v>
      </c>
      <c r="J5">
        <v>0</v>
      </c>
      <c r="K5">
        <v>2</v>
      </c>
      <c r="L5">
        <v>5</v>
      </c>
      <c r="M5">
        <v>181</v>
      </c>
      <c r="N5">
        <v>521</v>
      </c>
      <c r="O5">
        <v>2</v>
      </c>
      <c r="P5">
        <v>521</v>
      </c>
      <c r="Q5">
        <v>275</v>
      </c>
      <c r="R5">
        <v>131</v>
      </c>
      <c r="S5">
        <v>6</v>
      </c>
      <c r="T5">
        <v>26</v>
      </c>
      <c r="U5">
        <v>2</v>
      </c>
      <c r="V5">
        <v>1</v>
      </c>
      <c r="X5">
        <v>1</v>
      </c>
      <c r="Y5">
        <v>51</v>
      </c>
      <c r="Z5">
        <v>0</v>
      </c>
      <c r="AA5">
        <v>0</v>
      </c>
      <c r="AC5">
        <v>6</v>
      </c>
      <c r="AD5">
        <v>0</v>
      </c>
      <c r="AE5">
        <v>1</v>
      </c>
      <c r="AF5">
        <v>0</v>
      </c>
      <c r="AG5">
        <v>0</v>
      </c>
      <c r="AH5">
        <v>5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BC5">
        <v>0</v>
      </c>
      <c r="BD5">
        <v>16</v>
      </c>
      <c r="BE5">
        <v>521</v>
      </c>
      <c r="BF5">
        <v>521</v>
      </c>
      <c r="BG5">
        <v>680</v>
      </c>
      <c r="BJ5">
        <v>1</v>
      </c>
      <c r="BL5" t="s">
        <v>91</v>
      </c>
      <c r="BM5" s="4">
        <v>43283.296678240738</v>
      </c>
      <c r="BN5" s="4">
        <v>43283.322245370371</v>
      </c>
      <c r="BO5" s="4">
        <v>43283.322245370371</v>
      </c>
      <c r="BP5" t="s">
        <v>92</v>
      </c>
      <c r="BQ5" t="s">
        <v>93</v>
      </c>
      <c r="BR5" t="s">
        <v>94</v>
      </c>
    </row>
    <row r="6" spans="1:70" x14ac:dyDescent="0.3">
      <c r="A6" t="str">
        <f>"200003B0100"</f>
        <v>200003B0100</v>
      </c>
      <c r="B6" t="s">
        <v>95</v>
      </c>
      <c r="C6">
        <v>20</v>
      </c>
      <c r="D6" t="s">
        <v>88</v>
      </c>
      <c r="E6">
        <v>2</v>
      </c>
      <c r="F6" t="s">
        <v>89</v>
      </c>
      <c r="G6">
        <v>3</v>
      </c>
      <c r="H6">
        <v>1</v>
      </c>
      <c r="I6" t="s">
        <v>90</v>
      </c>
      <c r="J6">
        <v>0</v>
      </c>
      <c r="K6">
        <v>1</v>
      </c>
      <c r="L6">
        <v>5</v>
      </c>
      <c r="M6">
        <v>152</v>
      </c>
      <c r="N6">
        <v>417</v>
      </c>
      <c r="O6">
        <v>0</v>
      </c>
      <c r="P6">
        <v>417</v>
      </c>
      <c r="Q6">
        <v>240</v>
      </c>
      <c r="R6">
        <v>77</v>
      </c>
      <c r="S6">
        <v>6</v>
      </c>
      <c r="T6">
        <v>27</v>
      </c>
      <c r="U6">
        <v>2</v>
      </c>
      <c r="V6">
        <v>1</v>
      </c>
      <c r="X6">
        <v>1</v>
      </c>
      <c r="Y6">
        <v>42</v>
      </c>
      <c r="Z6">
        <v>0</v>
      </c>
      <c r="AA6">
        <v>3</v>
      </c>
      <c r="AC6">
        <v>3</v>
      </c>
      <c r="AD6">
        <v>0</v>
      </c>
      <c r="AE6">
        <v>0</v>
      </c>
      <c r="AF6">
        <v>0</v>
      </c>
      <c r="AG6">
        <v>4</v>
      </c>
      <c r="AH6">
        <v>3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BC6">
        <v>0</v>
      </c>
      <c r="BD6">
        <v>8</v>
      </c>
      <c r="BE6">
        <v>417</v>
      </c>
      <c r="BF6">
        <v>417</v>
      </c>
      <c r="BG6">
        <v>547</v>
      </c>
      <c r="BJ6">
        <v>1</v>
      </c>
      <c r="BL6" t="s">
        <v>96</v>
      </c>
      <c r="BM6" s="4">
        <v>43283.367268518516</v>
      </c>
      <c r="BN6" s="4">
        <v>43283.374895833331</v>
      </c>
      <c r="BO6" s="4">
        <v>43283.374895833331</v>
      </c>
      <c r="BP6" t="s">
        <v>92</v>
      </c>
      <c r="BQ6" t="s">
        <v>93</v>
      </c>
      <c r="BR6" t="s">
        <v>94</v>
      </c>
    </row>
    <row r="7" spans="1:70" x14ac:dyDescent="0.3">
      <c r="A7" t="str">
        <f>"200003C0100"</f>
        <v>200003C0100</v>
      </c>
      <c r="B7" t="s">
        <v>97</v>
      </c>
      <c r="C7">
        <v>20</v>
      </c>
      <c r="D7" t="s">
        <v>88</v>
      </c>
      <c r="E7">
        <v>2</v>
      </c>
      <c r="F7" t="s">
        <v>89</v>
      </c>
      <c r="G7">
        <v>3</v>
      </c>
      <c r="H7">
        <v>1</v>
      </c>
      <c r="I7" t="s">
        <v>98</v>
      </c>
      <c r="J7">
        <v>0</v>
      </c>
      <c r="K7">
        <v>1</v>
      </c>
      <c r="L7">
        <v>5</v>
      </c>
      <c r="M7">
        <v>153</v>
      </c>
      <c r="N7">
        <v>416</v>
      </c>
      <c r="O7">
        <v>1</v>
      </c>
      <c r="P7">
        <v>416</v>
      </c>
      <c r="Q7">
        <v>248</v>
      </c>
      <c r="R7">
        <v>79</v>
      </c>
      <c r="S7">
        <v>3</v>
      </c>
      <c r="T7">
        <v>26</v>
      </c>
      <c r="U7">
        <v>3</v>
      </c>
      <c r="V7">
        <v>1</v>
      </c>
      <c r="X7">
        <v>0</v>
      </c>
      <c r="Y7">
        <v>36</v>
      </c>
      <c r="Z7">
        <v>0</v>
      </c>
      <c r="AA7">
        <v>0</v>
      </c>
      <c r="AC7">
        <v>5</v>
      </c>
      <c r="AD7">
        <v>1</v>
      </c>
      <c r="AE7">
        <v>0</v>
      </c>
      <c r="AF7">
        <v>0</v>
      </c>
      <c r="AG7">
        <v>2</v>
      </c>
      <c r="AH7">
        <v>4</v>
      </c>
      <c r="AI7">
        <v>0</v>
      </c>
      <c r="AJ7">
        <v>0</v>
      </c>
      <c r="AK7">
        <v>0</v>
      </c>
      <c r="AL7">
        <v>1</v>
      </c>
      <c r="AM7">
        <v>0</v>
      </c>
      <c r="AN7">
        <v>0</v>
      </c>
      <c r="BC7">
        <v>1</v>
      </c>
      <c r="BD7">
        <v>6</v>
      </c>
      <c r="BE7">
        <v>416</v>
      </c>
      <c r="BF7">
        <v>416</v>
      </c>
      <c r="BG7">
        <v>547</v>
      </c>
      <c r="BJ7">
        <v>1</v>
      </c>
      <c r="BL7" t="s">
        <v>99</v>
      </c>
      <c r="BM7" s="4">
        <v>43283.297268518516</v>
      </c>
      <c r="BN7" s="4">
        <v>43283.343587962961</v>
      </c>
      <c r="BO7" s="4">
        <v>43283.343587962961</v>
      </c>
      <c r="BP7" t="s">
        <v>92</v>
      </c>
      <c r="BQ7" t="s">
        <v>93</v>
      </c>
      <c r="BR7" t="s">
        <v>94</v>
      </c>
    </row>
    <row r="8" spans="1:70" x14ac:dyDescent="0.3">
      <c r="A8" t="str">
        <f>"200003C0200"</f>
        <v>200003C0200</v>
      </c>
      <c r="B8" t="s">
        <v>100</v>
      </c>
      <c r="C8">
        <v>20</v>
      </c>
      <c r="D8" t="s">
        <v>88</v>
      </c>
      <c r="E8">
        <v>2</v>
      </c>
      <c r="F8" t="s">
        <v>89</v>
      </c>
      <c r="G8">
        <v>3</v>
      </c>
      <c r="H8">
        <v>2</v>
      </c>
      <c r="I8" t="s">
        <v>98</v>
      </c>
      <c r="J8">
        <v>0</v>
      </c>
      <c r="K8">
        <v>1</v>
      </c>
      <c r="L8">
        <v>5</v>
      </c>
      <c r="M8">
        <v>134</v>
      </c>
      <c r="N8">
        <v>435</v>
      </c>
      <c r="O8">
        <v>0</v>
      </c>
      <c r="P8">
        <v>435</v>
      </c>
      <c r="Q8">
        <v>267</v>
      </c>
      <c r="R8">
        <v>81</v>
      </c>
      <c r="S8">
        <v>3</v>
      </c>
      <c r="T8">
        <v>23</v>
      </c>
      <c r="U8">
        <v>2</v>
      </c>
      <c r="V8">
        <v>0</v>
      </c>
      <c r="X8">
        <v>2</v>
      </c>
      <c r="Y8">
        <v>35</v>
      </c>
      <c r="Z8">
        <v>0</v>
      </c>
      <c r="AA8">
        <v>0</v>
      </c>
      <c r="AC8">
        <v>2</v>
      </c>
      <c r="AD8">
        <v>1</v>
      </c>
      <c r="AE8">
        <v>1</v>
      </c>
      <c r="AF8">
        <v>0</v>
      </c>
      <c r="AG8">
        <v>3</v>
      </c>
      <c r="AH8">
        <v>3</v>
      </c>
      <c r="AI8">
        <v>0</v>
      </c>
      <c r="AJ8">
        <v>0</v>
      </c>
      <c r="AK8">
        <v>0</v>
      </c>
      <c r="AL8">
        <v>0</v>
      </c>
      <c r="AM8">
        <v>0</v>
      </c>
      <c r="AN8">
        <v>1</v>
      </c>
      <c r="BC8">
        <v>0</v>
      </c>
      <c r="BD8">
        <v>11</v>
      </c>
      <c r="BE8">
        <v>435</v>
      </c>
      <c r="BF8">
        <v>435</v>
      </c>
      <c r="BG8">
        <v>547</v>
      </c>
      <c r="BJ8">
        <v>1</v>
      </c>
      <c r="BL8" t="s">
        <v>101</v>
      </c>
      <c r="BM8" s="4">
        <v>43283.195833333331</v>
      </c>
      <c r="BN8" s="4">
        <v>43283.212210648147</v>
      </c>
      <c r="BO8" s="4">
        <v>43283.212210648147</v>
      </c>
      <c r="BP8" t="s">
        <v>92</v>
      </c>
      <c r="BQ8" t="s">
        <v>93</v>
      </c>
      <c r="BR8" t="s">
        <v>94</v>
      </c>
    </row>
    <row r="9" spans="1:70" x14ac:dyDescent="0.3">
      <c r="A9" t="str">
        <f>"200004B0100"</f>
        <v>200004B0100</v>
      </c>
      <c r="B9" t="s">
        <v>102</v>
      </c>
      <c r="C9">
        <v>20</v>
      </c>
      <c r="D9" t="s">
        <v>88</v>
      </c>
      <c r="E9">
        <v>2</v>
      </c>
      <c r="F9" t="s">
        <v>89</v>
      </c>
      <c r="G9">
        <v>4</v>
      </c>
      <c r="H9">
        <v>1</v>
      </c>
      <c r="I9" t="s">
        <v>90</v>
      </c>
      <c r="J9">
        <v>0</v>
      </c>
      <c r="K9">
        <v>1</v>
      </c>
      <c r="L9">
        <v>5</v>
      </c>
      <c r="M9">
        <v>156</v>
      </c>
      <c r="N9">
        <v>406</v>
      </c>
      <c r="O9">
        <v>1</v>
      </c>
      <c r="P9">
        <v>406</v>
      </c>
      <c r="Q9">
        <v>238</v>
      </c>
      <c r="R9">
        <v>83</v>
      </c>
      <c r="S9">
        <v>5</v>
      </c>
      <c r="T9">
        <v>5</v>
      </c>
      <c r="U9">
        <v>3</v>
      </c>
      <c r="V9">
        <v>5</v>
      </c>
      <c r="X9">
        <v>0</v>
      </c>
      <c r="Y9">
        <v>36</v>
      </c>
      <c r="Z9">
        <v>2</v>
      </c>
      <c r="AA9">
        <v>0</v>
      </c>
      <c r="AC9">
        <v>1</v>
      </c>
      <c r="AD9">
        <v>1</v>
      </c>
      <c r="AE9">
        <v>1</v>
      </c>
      <c r="AF9">
        <v>0</v>
      </c>
      <c r="AG9">
        <v>1</v>
      </c>
      <c r="AH9">
        <v>3</v>
      </c>
      <c r="AI9">
        <v>0</v>
      </c>
      <c r="AJ9">
        <v>0</v>
      </c>
      <c r="AK9">
        <v>4</v>
      </c>
      <c r="AL9">
        <v>2</v>
      </c>
      <c r="AM9">
        <v>0</v>
      </c>
      <c r="AN9">
        <v>0</v>
      </c>
      <c r="BC9">
        <v>0</v>
      </c>
      <c r="BD9">
        <v>16</v>
      </c>
      <c r="BE9">
        <v>406</v>
      </c>
      <c r="BF9">
        <v>406</v>
      </c>
      <c r="BG9">
        <v>540</v>
      </c>
      <c r="BJ9">
        <v>1</v>
      </c>
      <c r="BL9" t="s">
        <v>103</v>
      </c>
      <c r="BM9" s="4">
        <v>43283.295578703706</v>
      </c>
      <c r="BN9" s="4">
        <v>43283.321956018517</v>
      </c>
      <c r="BO9" s="4">
        <v>43283.321956018517</v>
      </c>
      <c r="BP9" t="s">
        <v>92</v>
      </c>
      <c r="BQ9" t="s">
        <v>93</v>
      </c>
      <c r="BR9" t="s">
        <v>94</v>
      </c>
    </row>
    <row r="10" spans="1:70" x14ac:dyDescent="0.3">
      <c r="A10" t="str">
        <f>"200004C0100"</f>
        <v>200004C0100</v>
      </c>
      <c r="B10" t="s">
        <v>104</v>
      </c>
      <c r="C10">
        <v>20</v>
      </c>
      <c r="D10" t="s">
        <v>88</v>
      </c>
      <c r="E10">
        <v>2</v>
      </c>
      <c r="F10" t="s">
        <v>89</v>
      </c>
      <c r="G10">
        <v>4</v>
      </c>
      <c r="H10">
        <v>1</v>
      </c>
      <c r="I10" t="s">
        <v>98</v>
      </c>
      <c r="J10">
        <v>0</v>
      </c>
      <c r="K10">
        <v>1</v>
      </c>
      <c r="L10">
        <v>5</v>
      </c>
      <c r="M10">
        <v>156</v>
      </c>
      <c r="N10">
        <v>405</v>
      </c>
      <c r="O10">
        <v>0</v>
      </c>
      <c r="P10">
        <v>405</v>
      </c>
      <c r="Q10">
        <v>224</v>
      </c>
      <c r="R10">
        <v>89</v>
      </c>
      <c r="S10">
        <v>1</v>
      </c>
      <c r="T10">
        <v>14</v>
      </c>
      <c r="U10">
        <v>3</v>
      </c>
      <c r="V10">
        <v>0</v>
      </c>
      <c r="X10">
        <v>2</v>
      </c>
      <c r="Y10">
        <v>30</v>
      </c>
      <c r="Z10">
        <v>1</v>
      </c>
      <c r="AA10">
        <v>0</v>
      </c>
      <c r="AC10">
        <v>0</v>
      </c>
      <c r="AD10">
        <v>2</v>
      </c>
      <c r="AE10">
        <v>2</v>
      </c>
      <c r="AF10">
        <v>0</v>
      </c>
      <c r="AG10">
        <v>3</v>
      </c>
      <c r="AH10">
        <v>5</v>
      </c>
      <c r="AI10">
        <v>0</v>
      </c>
      <c r="AJ10">
        <v>1</v>
      </c>
      <c r="AK10">
        <v>0</v>
      </c>
      <c r="AL10">
        <v>1</v>
      </c>
      <c r="AM10">
        <v>0</v>
      </c>
      <c r="AN10">
        <v>0</v>
      </c>
      <c r="BC10" t="s">
        <v>105</v>
      </c>
      <c r="BD10">
        <v>27</v>
      </c>
      <c r="BE10">
        <v>405</v>
      </c>
      <c r="BF10">
        <v>405</v>
      </c>
      <c r="BG10">
        <v>539</v>
      </c>
      <c r="BI10" t="s">
        <v>106</v>
      </c>
      <c r="BJ10">
        <v>1</v>
      </c>
      <c r="BL10" t="s">
        <v>107</v>
      </c>
      <c r="BM10" s="4">
        <v>43283.303391203706</v>
      </c>
      <c r="BN10" s="4">
        <v>43283.327291666668</v>
      </c>
      <c r="BO10" s="4">
        <v>43283.327291666668</v>
      </c>
      <c r="BP10" t="s">
        <v>92</v>
      </c>
      <c r="BQ10" t="s">
        <v>93</v>
      </c>
      <c r="BR10" t="s">
        <v>94</v>
      </c>
    </row>
    <row r="11" spans="1:70" x14ac:dyDescent="0.3">
      <c r="A11" t="str">
        <f>"200004C0200"</f>
        <v>200004C0200</v>
      </c>
      <c r="B11" t="s">
        <v>108</v>
      </c>
      <c r="C11">
        <v>20</v>
      </c>
      <c r="D11" t="s">
        <v>88</v>
      </c>
      <c r="E11">
        <v>2</v>
      </c>
      <c r="F11" t="s">
        <v>89</v>
      </c>
      <c r="G11">
        <v>4</v>
      </c>
      <c r="H11">
        <v>2</v>
      </c>
      <c r="I11" t="s">
        <v>98</v>
      </c>
      <c r="J11">
        <v>0</v>
      </c>
      <c r="K11">
        <v>1</v>
      </c>
      <c r="L11">
        <v>5</v>
      </c>
      <c r="M11">
        <v>146</v>
      </c>
      <c r="N11">
        <v>415</v>
      </c>
      <c r="O11">
        <v>4</v>
      </c>
      <c r="P11">
        <v>415</v>
      </c>
      <c r="Q11">
        <v>207</v>
      </c>
      <c r="R11">
        <v>71</v>
      </c>
      <c r="S11">
        <v>2</v>
      </c>
      <c r="T11">
        <v>19</v>
      </c>
      <c r="U11" t="s">
        <v>105</v>
      </c>
      <c r="V11">
        <v>1</v>
      </c>
      <c r="X11">
        <v>1</v>
      </c>
      <c r="Y11">
        <v>39</v>
      </c>
      <c r="Z11" t="s">
        <v>105</v>
      </c>
      <c r="AA11">
        <v>1</v>
      </c>
      <c r="AC11">
        <v>5</v>
      </c>
      <c r="AD11">
        <v>2</v>
      </c>
      <c r="AE11">
        <v>3</v>
      </c>
      <c r="AF11">
        <v>1</v>
      </c>
      <c r="AG11">
        <v>3</v>
      </c>
      <c r="AH11">
        <v>7</v>
      </c>
      <c r="AI11" t="s">
        <v>105</v>
      </c>
      <c r="AJ11" t="s">
        <v>105</v>
      </c>
      <c r="AK11">
        <v>1</v>
      </c>
      <c r="AL11" t="s">
        <v>105</v>
      </c>
      <c r="AM11">
        <v>2</v>
      </c>
      <c r="AN11" t="s">
        <v>105</v>
      </c>
      <c r="BC11" t="s">
        <v>105</v>
      </c>
      <c r="BD11">
        <v>20</v>
      </c>
      <c r="BE11">
        <v>415</v>
      </c>
      <c r="BF11">
        <v>385</v>
      </c>
      <c r="BG11">
        <v>539</v>
      </c>
      <c r="BI11" t="s">
        <v>106</v>
      </c>
      <c r="BJ11">
        <v>1</v>
      </c>
      <c r="BL11" t="s">
        <v>109</v>
      </c>
      <c r="BM11" s="4">
        <v>43283.296006944445</v>
      </c>
      <c r="BN11" s="4">
        <v>43283.322465277779</v>
      </c>
      <c r="BO11" s="4">
        <v>43283.322465277779</v>
      </c>
      <c r="BP11" t="s">
        <v>92</v>
      </c>
      <c r="BQ11" t="s">
        <v>93</v>
      </c>
      <c r="BR11" t="s">
        <v>94</v>
      </c>
    </row>
    <row r="12" spans="1:70" x14ac:dyDescent="0.3">
      <c r="A12" t="str">
        <f>"200005B0100"</f>
        <v>200005B0100</v>
      </c>
      <c r="B12" t="s">
        <v>110</v>
      </c>
      <c r="C12">
        <v>20</v>
      </c>
      <c r="D12" t="s">
        <v>88</v>
      </c>
      <c r="E12">
        <v>2</v>
      </c>
      <c r="F12" t="s">
        <v>89</v>
      </c>
      <c r="G12">
        <v>5</v>
      </c>
      <c r="H12">
        <v>1</v>
      </c>
      <c r="I12" t="s">
        <v>90</v>
      </c>
      <c r="J12">
        <v>0</v>
      </c>
      <c r="K12">
        <v>2</v>
      </c>
      <c r="L12">
        <v>5</v>
      </c>
      <c r="M12">
        <v>191</v>
      </c>
      <c r="N12">
        <v>677</v>
      </c>
      <c r="O12">
        <v>0</v>
      </c>
      <c r="P12">
        <v>486</v>
      </c>
      <c r="Q12">
        <v>252</v>
      </c>
      <c r="R12">
        <v>136</v>
      </c>
      <c r="S12">
        <v>3</v>
      </c>
      <c r="T12">
        <v>15</v>
      </c>
      <c r="U12">
        <v>2</v>
      </c>
      <c r="V12">
        <v>1</v>
      </c>
      <c r="X12">
        <v>3</v>
      </c>
      <c r="Y12">
        <v>45</v>
      </c>
      <c r="Z12">
        <v>1</v>
      </c>
      <c r="AA12" t="s">
        <v>105</v>
      </c>
      <c r="AC12">
        <v>2</v>
      </c>
      <c r="AD12">
        <v>1</v>
      </c>
      <c r="AE12">
        <v>0</v>
      </c>
      <c r="AF12">
        <v>0</v>
      </c>
      <c r="AG12">
        <v>0</v>
      </c>
      <c r="AH12">
        <v>7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BC12">
        <v>0</v>
      </c>
      <c r="BD12">
        <v>18</v>
      </c>
      <c r="BE12">
        <v>486</v>
      </c>
      <c r="BF12">
        <v>486</v>
      </c>
      <c r="BG12">
        <v>655</v>
      </c>
      <c r="BI12" t="s">
        <v>106</v>
      </c>
      <c r="BJ12">
        <v>1</v>
      </c>
      <c r="BL12" t="s">
        <v>111</v>
      </c>
      <c r="BM12" s="4">
        <v>43283.298078703701</v>
      </c>
      <c r="BN12" s="4">
        <v>43283.323923611111</v>
      </c>
      <c r="BO12" s="4">
        <v>43283.323923611111</v>
      </c>
      <c r="BP12" t="s">
        <v>92</v>
      </c>
      <c r="BQ12" t="s">
        <v>93</v>
      </c>
      <c r="BR12" t="s">
        <v>94</v>
      </c>
    </row>
    <row r="13" spans="1:70" x14ac:dyDescent="0.3">
      <c r="A13" t="str">
        <f>"200005S0100"</f>
        <v>200005S0100</v>
      </c>
      <c r="B13" t="s">
        <v>112</v>
      </c>
      <c r="C13">
        <v>20</v>
      </c>
      <c r="D13" t="s">
        <v>88</v>
      </c>
      <c r="E13">
        <v>2</v>
      </c>
      <c r="F13" t="s">
        <v>89</v>
      </c>
      <c r="G13">
        <v>5</v>
      </c>
      <c r="H13">
        <v>1</v>
      </c>
      <c r="I13" t="s">
        <v>113</v>
      </c>
      <c r="J13">
        <v>0</v>
      </c>
      <c r="K13">
        <v>2</v>
      </c>
      <c r="L13">
        <v>6</v>
      </c>
      <c r="M13">
        <v>712</v>
      </c>
      <c r="N13">
        <v>58</v>
      </c>
      <c r="O13">
        <v>0</v>
      </c>
      <c r="P13">
        <v>58</v>
      </c>
      <c r="Q13">
        <v>29</v>
      </c>
      <c r="R13">
        <v>13</v>
      </c>
      <c r="S13">
        <v>1</v>
      </c>
      <c r="T13" t="s">
        <v>105</v>
      </c>
      <c r="U13">
        <v>1</v>
      </c>
      <c r="V13" t="s">
        <v>105</v>
      </c>
      <c r="X13" t="s">
        <v>105</v>
      </c>
      <c r="Y13">
        <v>7</v>
      </c>
      <c r="Z13">
        <v>1</v>
      </c>
      <c r="AA13" t="s">
        <v>105</v>
      </c>
      <c r="AC13" t="s">
        <v>105</v>
      </c>
      <c r="AD13" t="s">
        <v>105</v>
      </c>
      <c r="AE13" t="s">
        <v>105</v>
      </c>
      <c r="AF13" t="s">
        <v>105</v>
      </c>
      <c r="AG13" t="s">
        <v>105</v>
      </c>
      <c r="AH13">
        <v>1</v>
      </c>
      <c r="AI13" t="s">
        <v>105</v>
      </c>
      <c r="AJ13" t="s">
        <v>105</v>
      </c>
      <c r="AK13" t="s">
        <v>105</v>
      </c>
      <c r="AL13" t="s">
        <v>105</v>
      </c>
      <c r="AM13" t="s">
        <v>105</v>
      </c>
      <c r="AN13" t="s">
        <v>105</v>
      </c>
      <c r="BC13" t="s">
        <v>105</v>
      </c>
      <c r="BD13">
        <v>4</v>
      </c>
      <c r="BE13">
        <v>58</v>
      </c>
      <c r="BF13">
        <v>57</v>
      </c>
      <c r="BG13">
        <v>0</v>
      </c>
      <c r="BI13" t="s">
        <v>106</v>
      </c>
      <c r="BJ13">
        <v>1</v>
      </c>
      <c r="BL13" t="s">
        <v>114</v>
      </c>
      <c r="BM13" s="4">
        <v>43283.303854166668</v>
      </c>
      <c r="BN13" s="4">
        <v>43283.328310185185</v>
      </c>
      <c r="BO13" s="4">
        <v>43283.328310185185</v>
      </c>
      <c r="BP13" t="s">
        <v>92</v>
      </c>
      <c r="BQ13" t="s">
        <v>93</v>
      </c>
      <c r="BR13" t="s">
        <v>94</v>
      </c>
    </row>
    <row r="14" spans="1:70" x14ac:dyDescent="0.3">
      <c r="A14" t="str">
        <f>"200006B0100"</f>
        <v>200006B0100</v>
      </c>
      <c r="B14" t="s">
        <v>115</v>
      </c>
      <c r="C14">
        <v>20</v>
      </c>
      <c r="D14" t="s">
        <v>88</v>
      </c>
      <c r="E14">
        <v>2</v>
      </c>
      <c r="F14" t="s">
        <v>89</v>
      </c>
      <c r="G14">
        <v>6</v>
      </c>
      <c r="H14">
        <v>1</v>
      </c>
      <c r="I14" t="s">
        <v>90</v>
      </c>
      <c r="J14">
        <v>0</v>
      </c>
      <c r="K14">
        <v>1</v>
      </c>
      <c r="L14">
        <v>5</v>
      </c>
      <c r="M14">
        <v>153</v>
      </c>
      <c r="N14">
        <v>430</v>
      </c>
      <c r="O14">
        <v>0</v>
      </c>
      <c r="P14">
        <v>430</v>
      </c>
      <c r="Q14">
        <v>234</v>
      </c>
      <c r="R14">
        <v>63</v>
      </c>
      <c r="S14">
        <v>7</v>
      </c>
      <c r="T14">
        <v>2</v>
      </c>
      <c r="U14">
        <v>6</v>
      </c>
      <c r="V14">
        <v>6</v>
      </c>
      <c r="X14">
        <v>3</v>
      </c>
      <c r="Y14">
        <v>79</v>
      </c>
      <c r="Z14">
        <v>1</v>
      </c>
      <c r="AA14">
        <v>0</v>
      </c>
      <c r="AC14">
        <v>1</v>
      </c>
      <c r="AD14">
        <v>3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BC14">
        <v>0</v>
      </c>
      <c r="BD14">
        <v>25</v>
      </c>
      <c r="BE14">
        <v>430</v>
      </c>
      <c r="BF14">
        <v>430</v>
      </c>
      <c r="BG14">
        <v>562</v>
      </c>
      <c r="BJ14">
        <v>1</v>
      </c>
      <c r="BL14" t="s">
        <v>116</v>
      </c>
      <c r="BM14" s="4">
        <v>43283.301979166667</v>
      </c>
      <c r="BN14" s="4">
        <v>43283.326574074075</v>
      </c>
      <c r="BO14" s="4">
        <v>43283.326574074075</v>
      </c>
      <c r="BP14" t="s">
        <v>92</v>
      </c>
      <c r="BQ14" t="s">
        <v>93</v>
      </c>
      <c r="BR14" t="s">
        <v>94</v>
      </c>
    </row>
    <row r="15" spans="1:70" x14ac:dyDescent="0.3">
      <c r="A15" t="str">
        <f>"200006C0100"</f>
        <v>200006C0100</v>
      </c>
      <c r="B15" t="s">
        <v>117</v>
      </c>
      <c r="C15">
        <v>20</v>
      </c>
      <c r="D15" t="s">
        <v>88</v>
      </c>
      <c r="E15">
        <v>2</v>
      </c>
      <c r="F15" t="s">
        <v>89</v>
      </c>
      <c r="G15">
        <v>6</v>
      </c>
      <c r="H15">
        <v>1</v>
      </c>
      <c r="I15" t="s">
        <v>98</v>
      </c>
      <c r="J15">
        <v>0</v>
      </c>
      <c r="K15">
        <v>1</v>
      </c>
      <c r="L15">
        <v>5</v>
      </c>
      <c r="M15">
        <v>157</v>
      </c>
      <c r="N15">
        <v>427</v>
      </c>
      <c r="O15">
        <v>0</v>
      </c>
      <c r="P15">
        <v>427</v>
      </c>
      <c r="Q15">
        <v>202</v>
      </c>
      <c r="R15">
        <v>80</v>
      </c>
      <c r="S15">
        <v>3</v>
      </c>
      <c r="T15">
        <v>3</v>
      </c>
      <c r="U15">
        <v>7</v>
      </c>
      <c r="V15">
        <v>5</v>
      </c>
      <c r="X15">
        <v>2</v>
      </c>
      <c r="Y15">
        <v>96</v>
      </c>
      <c r="Z15">
        <v>6</v>
      </c>
      <c r="AA15">
        <v>1</v>
      </c>
      <c r="AC15">
        <v>0</v>
      </c>
      <c r="AD15">
        <v>1</v>
      </c>
      <c r="AE15">
        <v>2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1</v>
      </c>
      <c r="AM15">
        <v>0</v>
      </c>
      <c r="AN15">
        <v>1</v>
      </c>
      <c r="BC15">
        <v>0</v>
      </c>
      <c r="BD15">
        <v>17</v>
      </c>
      <c r="BE15">
        <v>427</v>
      </c>
      <c r="BF15">
        <v>427</v>
      </c>
      <c r="BG15">
        <v>562</v>
      </c>
      <c r="BJ15">
        <v>1</v>
      </c>
      <c r="BL15" t="s">
        <v>118</v>
      </c>
      <c r="BM15" s="4">
        <v>43283.293483796297</v>
      </c>
      <c r="BN15" s="4">
        <v>43283.317997685182</v>
      </c>
      <c r="BO15" s="4">
        <v>43283.317997685182</v>
      </c>
      <c r="BP15" t="s">
        <v>92</v>
      </c>
      <c r="BQ15" t="s">
        <v>93</v>
      </c>
      <c r="BR15" t="s">
        <v>94</v>
      </c>
    </row>
    <row r="16" spans="1:70" x14ac:dyDescent="0.3">
      <c r="A16" t="str">
        <f>"200006C0200"</f>
        <v>200006C0200</v>
      </c>
      <c r="B16" t="s">
        <v>119</v>
      </c>
      <c r="C16">
        <v>20</v>
      </c>
      <c r="D16" t="s">
        <v>88</v>
      </c>
      <c r="E16">
        <v>2</v>
      </c>
      <c r="F16" t="s">
        <v>89</v>
      </c>
      <c r="G16">
        <v>6</v>
      </c>
      <c r="H16">
        <v>2</v>
      </c>
      <c r="I16" t="s">
        <v>98</v>
      </c>
      <c r="J16">
        <v>0</v>
      </c>
      <c r="K16">
        <v>1</v>
      </c>
      <c r="L16">
        <v>5</v>
      </c>
      <c r="M16">
        <v>136</v>
      </c>
      <c r="N16">
        <v>447</v>
      </c>
      <c r="O16">
        <v>0</v>
      </c>
      <c r="P16">
        <v>0</v>
      </c>
      <c r="Q16">
        <v>240</v>
      </c>
      <c r="R16">
        <v>61</v>
      </c>
      <c r="S16">
        <v>12</v>
      </c>
      <c r="T16">
        <v>2</v>
      </c>
      <c r="U16">
        <v>3</v>
      </c>
      <c r="V16">
        <v>7</v>
      </c>
      <c r="X16">
        <v>4</v>
      </c>
      <c r="Y16">
        <v>88</v>
      </c>
      <c r="Z16">
        <v>1</v>
      </c>
      <c r="AA16">
        <v>0</v>
      </c>
      <c r="AC16">
        <v>1</v>
      </c>
      <c r="AD16">
        <v>2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BC16">
        <v>0</v>
      </c>
      <c r="BD16">
        <v>24</v>
      </c>
      <c r="BE16">
        <v>447</v>
      </c>
      <c r="BF16">
        <v>447</v>
      </c>
      <c r="BG16">
        <v>561</v>
      </c>
      <c r="BJ16">
        <v>1</v>
      </c>
      <c r="BL16" t="s">
        <v>120</v>
      </c>
      <c r="BM16" s="4">
        <v>43283.289363425924</v>
      </c>
      <c r="BN16" s="4">
        <v>43283.314571759256</v>
      </c>
      <c r="BO16" s="4">
        <v>43283.314571759256</v>
      </c>
      <c r="BP16" t="s">
        <v>92</v>
      </c>
      <c r="BQ16" t="s">
        <v>93</v>
      </c>
      <c r="BR16" t="s">
        <v>94</v>
      </c>
    </row>
    <row r="17" spans="1:70" x14ac:dyDescent="0.3">
      <c r="A17" t="str">
        <f>"200007B0100"</f>
        <v>200007B0100</v>
      </c>
      <c r="B17" t="s">
        <v>121</v>
      </c>
      <c r="C17">
        <v>20</v>
      </c>
      <c r="D17" t="s">
        <v>88</v>
      </c>
      <c r="E17">
        <v>2</v>
      </c>
      <c r="F17" t="s">
        <v>89</v>
      </c>
      <c r="G17">
        <v>7</v>
      </c>
      <c r="H17">
        <v>1</v>
      </c>
      <c r="I17" t="s">
        <v>90</v>
      </c>
      <c r="J17">
        <v>0</v>
      </c>
      <c r="K17">
        <v>2</v>
      </c>
      <c r="L17">
        <v>5</v>
      </c>
      <c r="BG17">
        <v>442</v>
      </c>
      <c r="BI17" t="s">
        <v>122</v>
      </c>
      <c r="BJ17">
        <v>0</v>
      </c>
      <c r="BL17" s="2" t="s">
        <v>123</v>
      </c>
      <c r="BM17" s="4">
        <v>43283.820833333331</v>
      </c>
      <c r="BN17" s="4">
        <v>43283.824756944443</v>
      </c>
      <c r="BO17" s="4">
        <v>43283.824756944443</v>
      </c>
      <c r="BP17" t="s">
        <v>92</v>
      </c>
      <c r="BQ17" t="s">
        <v>93</v>
      </c>
      <c r="BR17" t="s">
        <v>94</v>
      </c>
    </row>
    <row r="18" spans="1:70" x14ac:dyDescent="0.3">
      <c r="A18" t="str">
        <f>"200007C0100"</f>
        <v>200007C0100</v>
      </c>
      <c r="B18" t="s">
        <v>124</v>
      </c>
      <c r="C18">
        <v>20</v>
      </c>
      <c r="D18" t="s">
        <v>88</v>
      </c>
      <c r="E18">
        <v>2</v>
      </c>
      <c r="F18" t="s">
        <v>89</v>
      </c>
      <c r="G18">
        <v>7</v>
      </c>
      <c r="H18">
        <v>1</v>
      </c>
      <c r="I18" t="s">
        <v>98</v>
      </c>
      <c r="J18">
        <v>0</v>
      </c>
      <c r="K18">
        <v>2</v>
      </c>
      <c r="L18">
        <v>5</v>
      </c>
      <c r="M18">
        <v>148</v>
      </c>
      <c r="N18">
        <v>315</v>
      </c>
      <c r="O18">
        <v>3</v>
      </c>
      <c r="P18">
        <v>317</v>
      </c>
      <c r="Q18">
        <v>177</v>
      </c>
      <c r="R18">
        <v>51</v>
      </c>
      <c r="S18">
        <v>4</v>
      </c>
      <c r="T18">
        <v>6</v>
      </c>
      <c r="U18">
        <v>0</v>
      </c>
      <c r="V18">
        <v>7</v>
      </c>
      <c r="X18">
        <v>1</v>
      </c>
      <c r="Y18">
        <v>41</v>
      </c>
      <c r="Z18">
        <v>2</v>
      </c>
      <c r="AA18">
        <v>0</v>
      </c>
      <c r="AC18">
        <v>3</v>
      </c>
      <c r="AD18">
        <v>0</v>
      </c>
      <c r="AE18">
        <v>0</v>
      </c>
      <c r="AF18">
        <v>0</v>
      </c>
      <c r="AG18">
        <v>1</v>
      </c>
      <c r="AH18">
        <v>0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0</v>
      </c>
      <c r="BC18">
        <v>0</v>
      </c>
      <c r="BD18">
        <v>23</v>
      </c>
      <c r="BE18">
        <v>317</v>
      </c>
      <c r="BF18">
        <v>317</v>
      </c>
      <c r="BG18">
        <v>441</v>
      </c>
      <c r="BJ18">
        <v>1</v>
      </c>
      <c r="BL18" t="s">
        <v>125</v>
      </c>
      <c r="BM18" s="4">
        <v>43283.208368055559</v>
      </c>
      <c r="BN18" s="4">
        <v>43283.229560185187</v>
      </c>
      <c r="BO18" s="4">
        <v>43283.229560185187</v>
      </c>
      <c r="BP18" t="s">
        <v>92</v>
      </c>
      <c r="BQ18" t="s">
        <v>93</v>
      </c>
      <c r="BR18" t="s">
        <v>94</v>
      </c>
    </row>
    <row r="19" spans="1:70" x14ac:dyDescent="0.3">
      <c r="A19" t="str">
        <f>"200008B0100"</f>
        <v>200008B0100</v>
      </c>
      <c r="B19" t="s">
        <v>126</v>
      </c>
      <c r="C19">
        <v>20</v>
      </c>
      <c r="D19" t="s">
        <v>88</v>
      </c>
      <c r="E19">
        <v>2</v>
      </c>
      <c r="F19" t="s">
        <v>89</v>
      </c>
      <c r="G19">
        <v>8</v>
      </c>
      <c r="H19">
        <v>1</v>
      </c>
      <c r="I19" t="s">
        <v>90</v>
      </c>
      <c r="J19">
        <v>0</v>
      </c>
      <c r="K19">
        <v>1</v>
      </c>
      <c r="L19">
        <v>5</v>
      </c>
      <c r="M19">
        <v>177</v>
      </c>
      <c r="N19">
        <v>541</v>
      </c>
      <c r="O19">
        <v>2</v>
      </c>
      <c r="P19">
        <v>541</v>
      </c>
      <c r="Q19">
        <v>278</v>
      </c>
      <c r="R19">
        <v>166</v>
      </c>
      <c r="S19">
        <v>4</v>
      </c>
      <c r="T19">
        <v>4</v>
      </c>
      <c r="U19">
        <v>2</v>
      </c>
      <c r="V19">
        <v>0</v>
      </c>
      <c r="X19">
        <v>1</v>
      </c>
      <c r="Y19">
        <v>39</v>
      </c>
      <c r="Z19">
        <v>2</v>
      </c>
      <c r="AA19">
        <v>0</v>
      </c>
      <c r="AC19">
        <v>6</v>
      </c>
      <c r="AD19">
        <v>0</v>
      </c>
      <c r="AE19">
        <v>1</v>
      </c>
      <c r="AF19">
        <v>0</v>
      </c>
      <c r="AG19">
        <v>1</v>
      </c>
      <c r="AH19">
        <v>3</v>
      </c>
      <c r="AI19">
        <v>0</v>
      </c>
      <c r="AJ19">
        <v>1</v>
      </c>
      <c r="AK19">
        <v>0</v>
      </c>
      <c r="AL19">
        <v>1</v>
      </c>
      <c r="AM19">
        <v>0</v>
      </c>
      <c r="AN19">
        <v>0</v>
      </c>
      <c r="BC19" t="s">
        <v>127</v>
      </c>
      <c r="BD19">
        <v>32</v>
      </c>
      <c r="BE19">
        <v>541</v>
      </c>
      <c r="BF19">
        <v>541</v>
      </c>
      <c r="BG19">
        <v>696</v>
      </c>
      <c r="BI19" t="s">
        <v>106</v>
      </c>
      <c r="BJ19">
        <v>1</v>
      </c>
      <c r="BL19" t="s">
        <v>128</v>
      </c>
      <c r="BM19" s="4">
        <v>43283.360208333332</v>
      </c>
      <c r="BN19" s="4">
        <v>43283.389965277776</v>
      </c>
      <c r="BO19" s="4">
        <v>43283.389965277776</v>
      </c>
      <c r="BP19" t="s">
        <v>92</v>
      </c>
      <c r="BQ19" t="s">
        <v>93</v>
      </c>
      <c r="BR19" t="s">
        <v>94</v>
      </c>
    </row>
    <row r="20" spans="1:70" x14ac:dyDescent="0.3">
      <c r="A20" t="str">
        <f>"200009B0100"</f>
        <v>200009B0100</v>
      </c>
      <c r="B20" t="s">
        <v>129</v>
      </c>
      <c r="C20">
        <v>20</v>
      </c>
      <c r="D20" t="s">
        <v>88</v>
      </c>
      <c r="E20">
        <v>2</v>
      </c>
      <c r="F20" t="s">
        <v>89</v>
      </c>
      <c r="G20">
        <v>9</v>
      </c>
      <c r="H20">
        <v>1</v>
      </c>
      <c r="I20" t="s">
        <v>90</v>
      </c>
      <c r="J20">
        <v>0</v>
      </c>
      <c r="K20">
        <v>2</v>
      </c>
      <c r="L20">
        <v>5</v>
      </c>
      <c r="M20">
        <v>169</v>
      </c>
      <c r="N20">
        <v>523</v>
      </c>
      <c r="O20">
        <v>1</v>
      </c>
      <c r="P20">
        <v>523</v>
      </c>
      <c r="Q20">
        <v>319</v>
      </c>
      <c r="R20">
        <v>106</v>
      </c>
      <c r="S20">
        <v>16</v>
      </c>
      <c r="T20">
        <v>0</v>
      </c>
      <c r="U20">
        <v>1</v>
      </c>
      <c r="V20">
        <v>1</v>
      </c>
      <c r="X20">
        <v>0</v>
      </c>
      <c r="Y20">
        <v>51</v>
      </c>
      <c r="Z20">
        <v>3</v>
      </c>
      <c r="AA20">
        <v>1</v>
      </c>
      <c r="AC20">
        <v>2</v>
      </c>
      <c r="AD20">
        <v>0</v>
      </c>
      <c r="AE20">
        <v>1</v>
      </c>
      <c r="AF20">
        <v>0</v>
      </c>
      <c r="AG20">
        <v>0</v>
      </c>
      <c r="AH20">
        <v>2</v>
      </c>
      <c r="AI20">
        <v>1</v>
      </c>
      <c r="AJ20">
        <v>2</v>
      </c>
      <c r="AK20">
        <v>0</v>
      </c>
      <c r="AL20">
        <v>2</v>
      </c>
      <c r="AM20">
        <v>0</v>
      </c>
      <c r="AN20">
        <v>0</v>
      </c>
      <c r="BC20">
        <v>0</v>
      </c>
      <c r="BD20">
        <v>15</v>
      </c>
      <c r="BE20">
        <v>523</v>
      </c>
      <c r="BF20">
        <v>523</v>
      </c>
      <c r="BG20">
        <v>670</v>
      </c>
      <c r="BJ20">
        <v>1</v>
      </c>
      <c r="BL20" t="s">
        <v>130</v>
      </c>
      <c r="BM20" s="4">
        <v>43283.390833333331</v>
      </c>
      <c r="BN20" s="4">
        <v>43283.394791666666</v>
      </c>
      <c r="BO20" s="4">
        <v>43283.394791666666</v>
      </c>
      <c r="BP20" t="s">
        <v>92</v>
      </c>
      <c r="BQ20" t="s">
        <v>93</v>
      </c>
      <c r="BR20" t="s">
        <v>94</v>
      </c>
    </row>
    <row r="21" spans="1:70" x14ac:dyDescent="0.3">
      <c r="A21" t="str">
        <f>"200010B0100"</f>
        <v>200010B0100</v>
      </c>
      <c r="B21" t="s">
        <v>131</v>
      </c>
      <c r="C21">
        <v>20</v>
      </c>
      <c r="D21" t="s">
        <v>88</v>
      </c>
      <c r="E21">
        <v>2</v>
      </c>
      <c r="F21" t="s">
        <v>89</v>
      </c>
      <c r="G21">
        <v>10</v>
      </c>
      <c r="H21">
        <v>1</v>
      </c>
      <c r="I21" t="s">
        <v>90</v>
      </c>
      <c r="J21">
        <v>0</v>
      </c>
      <c r="K21">
        <v>1</v>
      </c>
      <c r="L21">
        <v>5</v>
      </c>
      <c r="M21">
        <v>135</v>
      </c>
      <c r="N21">
        <v>481</v>
      </c>
      <c r="O21">
        <v>4</v>
      </c>
      <c r="P21">
        <v>481</v>
      </c>
      <c r="Q21">
        <v>300</v>
      </c>
      <c r="R21">
        <v>88</v>
      </c>
      <c r="S21">
        <v>2</v>
      </c>
      <c r="T21">
        <v>8</v>
      </c>
      <c r="U21">
        <v>4</v>
      </c>
      <c r="V21">
        <v>4</v>
      </c>
      <c r="X21">
        <v>4</v>
      </c>
      <c r="Y21">
        <v>36</v>
      </c>
      <c r="Z21">
        <v>0</v>
      </c>
      <c r="AA21">
        <v>0</v>
      </c>
      <c r="AC21">
        <v>8</v>
      </c>
      <c r="AD21">
        <v>2</v>
      </c>
      <c r="AE21">
        <v>1</v>
      </c>
      <c r="AF21">
        <v>0</v>
      </c>
      <c r="AG21">
        <v>1</v>
      </c>
      <c r="AH21">
        <v>6</v>
      </c>
      <c r="AI21">
        <v>0</v>
      </c>
      <c r="AJ21">
        <v>0</v>
      </c>
      <c r="AK21">
        <v>1</v>
      </c>
      <c r="AL21">
        <v>1</v>
      </c>
      <c r="AM21">
        <v>0</v>
      </c>
      <c r="AN21">
        <v>0</v>
      </c>
      <c r="BC21">
        <v>0</v>
      </c>
      <c r="BD21">
        <v>13</v>
      </c>
      <c r="BE21">
        <v>481</v>
      </c>
      <c r="BF21">
        <v>479</v>
      </c>
      <c r="BG21">
        <v>594</v>
      </c>
      <c r="BJ21">
        <v>1</v>
      </c>
      <c r="BL21" t="s">
        <v>132</v>
      </c>
      <c r="BM21" s="4">
        <v>43283.389479166668</v>
      </c>
      <c r="BN21" s="4">
        <v>43283.393217592595</v>
      </c>
      <c r="BO21" s="4">
        <v>43283.393217592595</v>
      </c>
      <c r="BP21" t="s">
        <v>92</v>
      </c>
      <c r="BQ21" t="s">
        <v>93</v>
      </c>
      <c r="BR21" t="s">
        <v>94</v>
      </c>
    </row>
    <row r="22" spans="1:70" x14ac:dyDescent="0.3">
      <c r="A22" t="str">
        <f>"200010C0100"</f>
        <v>200010C0100</v>
      </c>
      <c r="B22" t="s">
        <v>133</v>
      </c>
      <c r="C22">
        <v>20</v>
      </c>
      <c r="D22" t="s">
        <v>88</v>
      </c>
      <c r="E22">
        <v>2</v>
      </c>
      <c r="F22" t="s">
        <v>89</v>
      </c>
      <c r="G22">
        <v>10</v>
      </c>
      <c r="H22">
        <v>1</v>
      </c>
      <c r="I22" t="s">
        <v>98</v>
      </c>
      <c r="J22">
        <v>0</v>
      </c>
      <c r="K22">
        <v>1</v>
      </c>
      <c r="L22">
        <v>5</v>
      </c>
      <c r="M22">
        <v>136</v>
      </c>
      <c r="N22">
        <v>479</v>
      </c>
      <c r="O22">
        <v>1</v>
      </c>
      <c r="P22">
        <v>479</v>
      </c>
      <c r="Q22">
        <v>333</v>
      </c>
      <c r="R22">
        <v>72</v>
      </c>
      <c r="S22">
        <v>1</v>
      </c>
      <c r="T22">
        <v>8</v>
      </c>
      <c r="U22">
        <v>1</v>
      </c>
      <c r="V22">
        <v>0</v>
      </c>
      <c r="X22">
        <v>2</v>
      </c>
      <c r="Y22">
        <v>27</v>
      </c>
      <c r="Z22">
        <v>0</v>
      </c>
      <c r="AA22">
        <v>0</v>
      </c>
      <c r="AC22">
        <v>5</v>
      </c>
      <c r="AD22">
        <v>1</v>
      </c>
      <c r="AE22">
        <v>0</v>
      </c>
      <c r="AF22">
        <v>0</v>
      </c>
      <c r="AG22">
        <v>0</v>
      </c>
      <c r="AH22">
        <v>8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BC22">
        <v>0</v>
      </c>
      <c r="BD22">
        <v>21</v>
      </c>
      <c r="BE22">
        <v>479</v>
      </c>
      <c r="BF22">
        <v>479</v>
      </c>
      <c r="BG22">
        <v>593</v>
      </c>
      <c r="BJ22">
        <v>1</v>
      </c>
      <c r="BL22" t="s">
        <v>134</v>
      </c>
      <c r="BM22" s="4">
        <v>43283.3909375</v>
      </c>
      <c r="BN22" s="4">
        <v>43283.396192129629</v>
      </c>
      <c r="BO22" s="4">
        <v>43283.396192129629</v>
      </c>
      <c r="BP22" t="s">
        <v>92</v>
      </c>
      <c r="BQ22" t="s">
        <v>93</v>
      </c>
      <c r="BR22" t="s">
        <v>94</v>
      </c>
    </row>
    <row r="23" spans="1:70" x14ac:dyDescent="0.3">
      <c r="A23" t="str">
        <f>"200011B0100"</f>
        <v>200011B0100</v>
      </c>
      <c r="B23" t="s">
        <v>135</v>
      </c>
      <c r="C23">
        <v>20</v>
      </c>
      <c r="D23" t="s">
        <v>88</v>
      </c>
      <c r="E23">
        <v>2</v>
      </c>
      <c r="F23" t="s">
        <v>89</v>
      </c>
      <c r="G23">
        <v>11</v>
      </c>
      <c r="H23">
        <v>1</v>
      </c>
      <c r="I23" t="s">
        <v>90</v>
      </c>
      <c r="J23">
        <v>0</v>
      </c>
      <c r="K23">
        <v>1</v>
      </c>
      <c r="L23">
        <v>5</v>
      </c>
      <c r="M23">
        <v>165</v>
      </c>
      <c r="N23">
        <v>370</v>
      </c>
      <c r="O23">
        <v>5</v>
      </c>
      <c r="P23">
        <v>370</v>
      </c>
      <c r="Q23">
        <v>206</v>
      </c>
      <c r="R23">
        <v>86</v>
      </c>
      <c r="S23">
        <v>6</v>
      </c>
      <c r="T23">
        <v>3</v>
      </c>
      <c r="U23">
        <v>3</v>
      </c>
      <c r="V23">
        <v>0</v>
      </c>
      <c r="X23">
        <v>2</v>
      </c>
      <c r="Y23">
        <v>35</v>
      </c>
      <c r="Z23">
        <v>2</v>
      </c>
      <c r="AA23">
        <v>1</v>
      </c>
      <c r="AC23">
        <v>1</v>
      </c>
      <c r="AD23">
        <v>0</v>
      </c>
      <c r="AE23">
        <v>0</v>
      </c>
      <c r="AF23">
        <v>0</v>
      </c>
      <c r="AG23">
        <v>5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1</v>
      </c>
      <c r="BC23">
        <v>0</v>
      </c>
      <c r="BD23">
        <v>19</v>
      </c>
      <c r="BE23">
        <v>370</v>
      </c>
      <c r="BF23">
        <v>370</v>
      </c>
      <c r="BG23">
        <v>513</v>
      </c>
      <c r="BJ23">
        <v>1</v>
      </c>
      <c r="BL23" t="s">
        <v>136</v>
      </c>
      <c r="BM23" s="4">
        <v>43283.389988425923</v>
      </c>
      <c r="BN23" s="4">
        <v>43283.394479166665</v>
      </c>
      <c r="BO23" s="4">
        <v>43283.394479166665</v>
      </c>
      <c r="BP23" t="s">
        <v>92</v>
      </c>
      <c r="BQ23" t="s">
        <v>93</v>
      </c>
      <c r="BR23" t="s">
        <v>94</v>
      </c>
    </row>
    <row r="24" spans="1:70" x14ac:dyDescent="0.3">
      <c r="A24" t="str">
        <f>"200011C0100"</f>
        <v>200011C0100</v>
      </c>
      <c r="B24" t="s">
        <v>137</v>
      </c>
      <c r="C24">
        <v>20</v>
      </c>
      <c r="D24" t="s">
        <v>88</v>
      </c>
      <c r="E24">
        <v>2</v>
      </c>
      <c r="F24" t="s">
        <v>89</v>
      </c>
      <c r="G24">
        <v>11</v>
      </c>
      <c r="H24">
        <v>1</v>
      </c>
      <c r="I24" t="s">
        <v>98</v>
      </c>
      <c r="J24">
        <v>0</v>
      </c>
      <c r="K24">
        <v>1</v>
      </c>
      <c r="L24">
        <v>5</v>
      </c>
      <c r="BG24">
        <v>513</v>
      </c>
      <c r="BI24" t="s">
        <v>122</v>
      </c>
      <c r="BJ24">
        <v>0</v>
      </c>
      <c r="BL24" t="s">
        <v>138</v>
      </c>
      <c r="BM24" s="4">
        <v>43283.820138888892</v>
      </c>
      <c r="BN24" s="4">
        <v>43283.824537037035</v>
      </c>
      <c r="BO24" s="4">
        <v>43283.824537037035</v>
      </c>
      <c r="BP24" t="s">
        <v>92</v>
      </c>
      <c r="BQ24" t="s">
        <v>93</v>
      </c>
      <c r="BR24" t="s">
        <v>94</v>
      </c>
    </row>
    <row r="25" spans="1:70" x14ac:dyDescent="0.3">
      <c r="A25" t="str">
        <f>"200011C0200"</f>
        <v>200011C0200</v>
      </c>
      <c r="B25" t="s">
        <v>139</v>
      </c>
      <c r="C25">
        <v>20</v>
      </c>
      <c r="D25" t="s">
        <v>88</v>
      </c>
      <c r="E25">
        <v>2</v>
      </c>
      <c r="F25" t="s">
        <v>89</v>
      </c>
      <c r="G25">
        <v>11</v>
      </c>
      <c r="H25">
        <v>2</v>
      </c>
      <c r="I25" t="s">
        <v>98</v>
      </c>
      <c r="J25">
        <v>0</v>
      </c>
      <c r="K25">
        <v>1</v>
      </c>
      <c r="L25">
        <v>5</v>
      </c>
      <c r="M25">
        <v>157</v>
      </c>
      <c r="N25">
        <v>377</v>
      </c>
      <c r="O25">
        <v>3</v>
      </c>
      <c r="P25">
        <v>0</v>
      </c>
      <c r="Q25">
        <v>241</v>
      </c>
      <c r="R25">
        <v>61</v>
      </c>
      <c r="S25">
        <v>4</v>
      </c>
      <c r="T25">
        <v>0</v>
      </c>
      <c r="U25">
        <v>4</v>
      </c>
      <c r="V25">
        <v>2</v>
      </c>
      <c r="X25">
        <v>2</v>
      </c>
      <c r="Y25">
        <v>30</v>
      </c>
      <c r="Z25">
        <v>0</v>
      </c>
      <c r="AA25">
        <v>4</v>
      </c>
      <c r="AC25">
        <v>7</v>
      </c>
      <c r="AD25">
        <v>4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0</v>
      </c>
      <c r="BC25">
        <v>0</v>
      </c>
      <c r="BD25">
        <v>17</v>
      </c>
      <c r="BE25">
        <v>377</v>
      </c>
      <c r="BF25">
        <v>377</v>
      </c>
      <c r="BG25">
        <v>512</v>
      </c>
      <c r="BJ25">
        <v>1</v>
      </c>
      <c r="BL25" t="s">
        <v>140</v>
      </c>
      <c r="BM25" s="4">
        <v>43283.387488425928</v>
      </c>
      <c r="BN25" s="4">
        <v>43283.392835648148</v>
      </c>
      <c r="BO25" s="4">
        <v>43283.392835648148</v>
      </c>
      <c r="BP25" t="s">
        <v>92</v>
      </c>
      <c r="BQ25" t="s">
        <v>93</v>
      </c>
      <c r="BR25" t="s">
        <v>94</v>
      </c>
    </row>
    <row r="26" spans="1:70" x14ac:dyDescent="0.3">
      <c r="A26" t="str">
        <f>"200012B0100"</f>
        <v>200012B0100</v>
      </c>
      <c r="B26" t="s">
        <v>141</v>
      </c>
      <c r="C26">
        <v>20</v>
      </c>
      <c r="D26" t="s">
        <v>88</v>
      </c>
      <c r="E26">
        <v>2</v>
      </c>
      <c r="F26" t="s">
        <v>89</v>
      </c>
      <c r="G26">
        <v>12</v>
      </c>
      <c r="H26">
        <v>1</v>
      </c>
      <c r="I26" t="s">
        <v>90</v>
      </c>
      <c r="J26">
        <v>0</v>
      </c>
      <c r="K26">
        <v>2</v>
      </c>
      <c r="L26">
        <v>5</v>
      </c>
      <c r="BG26">
        <v>545</v>
      </c>
      <c r="BI26" t="s">
        <v>122</v>
      </c>
      <c r="BJ26">
        <v>0</v>
      </c>
      <c r="BL26" t="s">
        <v>142</v>
      </c>
      <c r="BM26" s="4">
        <v>43283.822060185186</v>
      </c>
      <c r="BN26" s="4">
        <v>43283.823530092595</v>
      </c>
      <c r="BO26" s="4">
        <v>43283.823530092595</v>
      </c>
      <c r="BP26" t="s">
        <v>92</v>
      </c>
      <c r="BQ26" t="s">
        <v>93</v>
      </c>
      <c r="BR26" t="s">
        <v>94</v>
      </c>
    </row>
    <row r="27" spans="1:70" x14ac:dyDescent="0.3">
      <c r="A27" t="str">
        <f>"200012C0100"</f>
        <v>200012C0100</v>
      </c>
      <c r="B27" t="s">
        <v>143</v>
      </c>
      <c r="C27">
        <v>20</v>
      </c>
      <c r="D27" t="s">
        <v>88</v>
      </c>
      <c r="E27">
        <v>2</v>
      </c>
      <c r="F27" t="s">
        <v>89</v>
      </c>
      <c r="G27">
        <v>12</v>
      </c>
      <c r="H27">
        <v>1</v>
      </c>
      <c r="I27" t="s">
        <v>98</v>
      </c>
      <c r="J27">
        <v>0</v>
      </c>
      <c r="K27">
        <v>2</v>
      </c>
      <c r="L27">
        <v>5</v>
      </c>
      <c r="M27">
        <v>100</v>
      </c>
      <c r="N27">
        <v>404</v>
      </c>
      <c r="O27">
        <v>4</v>
      </c>
      <c r="P27">
        <v>404</v>
      </c>
      <c r="Q27">
        <v>261</v>
      </c>
      <c r="R27">
        <v>72</v>
      </c>
      <c r="S27">
        <v>3</v>
      </c>
      <c r="T27">
        <v>8</v>
      </c>
      <c r="U27">
        <v>1</v>
      </c>
      <c r="V27">
        <v>1</v>
      </c>
      <c r="X27">
        <v>1</v>
      </c>
      <c r="Y27">
        <v>28</v>
      </c>
      <c r="Z27">
        <v>3</v>
      </c>
      <c r="AA27">
        <v>0</v>
      </c>
      <c r="AC27">
        <v>0</v>
      </c>
      <c r="AD27">
        <v>1</v>
      </c>
      <c r="AE27">
        <v>0</v>
      </c>
      <c r="AF27">
        <v>0</v>
      </c>
      <c r="AG27">
        <v>1</v>
      </c>
      <c r="AH27">
        <v>1</v>
      </c>
      <c r="AI27">
        <v>0</v>
      </c>
      <c r="AJ27">
        <v>0</v>
      </c>
      <c r="AK27">
        <v>1</v>
      </c>
      <c r="AL27">
        <v>1</v>
      </c>
      <c r="AM27">
        <v>0</v>
      </c>
      <c r="AN27">
        <v>0</v>
      </c>
      <c r="BC27">
        <v>0</v>
      </c>
      <c r="BD27">
        <v>21</v>
      </c>
      <c r="BE27">
        <v>404</v>
      </c>
      <c r="BF27">
        <v>404</v>
      </c>
      <c r="BG27">
        <v>545</v>
      </c>
      <c r="BJ27">
        <v>1</v>
      </c>
      <c r="BL27" t="s">
        <v>144</v>
      </c>
      <c r="BM27" s="4">
        <v>43283.195439814815</v>
      </c>
      <c r="BN27" s="4">
        <v>43283.211134259262</v>
      </c>
      <c r="BO27" s="4">
        <v>43283.211134259262</v>
      </c>
      <c r="BP27" t="s">
        <v>92</v>
      </c>
      <c r="BQ27" t="s">
        <v>93</v>
      </c>
      <c r="BR27" t="s">
        <v>94</v>
      </c>
    </row>
    <row r="28" spans="1:70" x14ac:dyDescent="0.3">
      <c r="A28" t="str">
        <f>"200012C0200"</f>
        <v>200012C0200</v>
      </c>
      <c r="B28" t="s">
        <v>145</v>
      </c>
      <c r="C28">
        <v>20</v>
      </c>
      <c r="D28" t="s">
        <v>88</v>
      </c>
      <c r="E28">
        <v>2</v>
      </c>
      <c r="F28" t="s">
        <v>89</v>
      </c>
      <c r="G28">
        <v>12</v>
      </c>
      <c r="H28">
        <v>2</v>
      </c>
      <c r="I28" t="s">
        <v>98</v>
      </c>
      <c r="J28">
        <v>0</v>
      </c>
      <c r="K28">
        <v>2</v>
      </c>
      <c r="L28">
        <v>5</v>
      </c>
      <c r="M28">
        <v>170</v>
      </c>
      <c r="N28">
        <v>397</v>
      </c>
      <c r="O28">
        <v>4</v>
      </c>
      <c r="P28">
        <v>397</v>
      </c>
      <c r="Q28">
        <v>231</v>
      </c>
      <c r="R28">
        <v>89</v>
      </c>
      <c r="S28">
        <v>3</v>
      </c>
      <c r="T28">
        <v>3</v>
      </c>
      <c r="U28">
        <v>0</v>
      </c>
      <c r="V28">
        <v>5</v>
      </c>
      <c r="X28">
        <v>0</v>
      </c>
      <c r="Y28">
        <v>33</v>
      </c>
      <c r="Z28">
        <v>1</v>
      </c>
      <c r="AA28">
        <v>0</v>
      </c>
      <c r="AC28">
        <v>3</v>
      </c>
      <c r="AD28">
        <v>2</v>
      </c>
      <c r="AE28">
        <v>0</v>
      </c>
      <c r="AF28">
        <v>0</v>
      </c>
      <c r="AG28">
        <v>1</v>
      </c>
      <c r="AH28">
        <v>2</v>
      </c>
      <c r="AI28">
        <v>0</v>
      </c>
      <c r="AJ28">
        <v>0</v>
      </c>
      <c r="AK28">
        <v>1</v>
      </c>
      <c r="AL28">
        <v>0</v>
      </c>
      <c r="AM28">
        <v>0</v>
      </c>
      <c r="AN28">
        <v>0</v>
      </c>
      <c r="BC28">
        <v>0</v>
      </c>
      <c r="BD28">
        <v>22</v>
      </c>
      <c r="BE28">
        <v>397</v>
      </c>
      <c r="BF28">
        <v>396</v>
      </c>
      <c r="BG28">
        <v>545</v>
      </c>
      <c r="BJ28">
        <v>1</v>
      </c>
      <c r="BL28" t="s">
        <v>146</v>
      </c>
      <c r="BM28" s="4">
        <v>43283.196296296293</v>
      </c>
      <c r="BN28" s="4">
        <v>43283.212337962963</v>
      </c>
      <c r="BO28" s="4">
        <v>43283.212337962963</v>
      </c>
      <c r="BP28" t="s">
        <v>92</v>
      </c>
      <c r="BQ28" t="s">
        <v>93</v>
      </c>
      <c r="BR28" t="s">
        <v>94</v>
      </c>
    </row>
    <row r="29" spans="1:70" x14ac:dyDescent="0.3">
      <c r="A29" t="str">
        <f>"200013B0100"</f>
        <v>200013B0100</v>
      </c>
      <c r="B29" t="s">
        <v>147</v>
      </c>
      <c r="C29">
        <v>20</v>
      </c>
      <c r="D29" t="s">
        <v>88</v>
      </c>
      <c r="E29">
        <v>2</v>
      </c>
      <c r="F29" t="s">
        <v>89</v>
      </c>
      <c r="G29">
        <v>13</v>
      </c>
      <c r="H29">
        <v>1</v>
      </c>
      <c r="I29" t="s">
        <v>90</v>
      </c>
      <c r="J29">
        <v>0</v>
      </c>
      <c r="K29">
        <v>2</v>
      </c>
      <c r="L29">
        <v>5</v>
      </c>
      <c r="M29">
        <v>156</v>
      </c>
      <c r="N29">
        <v>509</v>
      </c>
      <c r="O29">
        <v>0</v>
      </c>
      <c r="P29" t="s">
        <v>105</v>
      </c>
      <c r="Q29">
        <v>211</v>
      </c>
      <c r="R29">
        <v>209</v>
      </c>
      <c r="S29">
        <v>9</v>
      </c>
      <c r="T29">
        <v>8</v>
      </c>
      <c r="U29">
        <v>3</v>
      </c>
      <c r="V29">
        <v>1</v>
      </c>
      <c r="X29">
        <v>1</v>
      </c>
      <c r="Y29">
        <v>23</v>
      </c>
      <c r="Z29">
        <v>0</v>
      </c>
      <c r="AA29">
        <v>1</v>
      </c>
      <c r="AC29">
        <v>4</v>
      </c>
      <c r="AD29">
        <v>2</v>
      </c>
      <c r="AE29">
        <v>2</v>
      </c>
      <c r="AF29">
        <v>1</v>
      </c>
      <c r="AG29">
        <v>1</v>
      </c>
      <c r="AH29">
        <v>4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BC29">
        <v>0</v>
      </c>
      <c r="BD29">
        <v>29</v>
      </c>
      <c r="BE29">
        <v>509</v>
      </c>
      <c r="BF29">
        <v>509</v>
      </c>
      <c r="BG29">
        <v>643</v>
      </c>
      <c r="BJ29">
        <v>1</v>
      </c>
      <c r="BL29" t="s">
        <v>148</v>
      </c>
      <c r="BM29" s="4">
        <v>43283.197291666664</v>
      </c>
      <c r="BN29" s="4">
        <v>43283.212766203702</v>
      </c>
      <c r="BO29" s="4">
        <v>43283.212766203702</v>
      </c>
      <c r="BP29" t="s">
        <v>92</v>
      </c>
      <c r="BQ29" t="s">
        <v>93</v>
      </c>
      <c r="BR29" t="s">
        <v>94</v>
      </c>
    </row>
    <row r="30" spans="1:70" x14ac:dyDescent="0.3">
      <c r="A30" t="str">
        <f>"200014B0100"</f>
        <v>200014B0100</v>
      </c>
      <c r="B30" t="s">
        <v>149</v>
      </c>
      <c r="C30">
        <v>20</v>
      </c>
      <c r="D30" t="s">
        <v>88</v>
      </c>
      <c r="E30">
        <v>2</v>
      </c>
      <c r="F30" t="s">
        <v>89</v>
      </c>
      <c r="G30">
        <v>14</v>
      </c>
      <c r="H30">
        <v>1</v>
      </c>
      <c r="I30" t="s">
        <v>90</v>
      </c>
      <c r="J30">
        <v>0</v>
      </c>
      <c r="K30">
        <v>2</v>
      </c>
      <c r="L30">
        <v>5</v>
      </c>
      <c r="M30">
        <v>97</v>
      </c>
      <c r="N30">
        <v>326</v>
      </c>
      <c r="O30">
        <v>0</v>
      </c>
      <c r="P30">
        <v>326</v>
      </c>
      <c r="Q30">
        <v>107</v>
      </c>
      <c r="R30">
        <v>155</v>
      </c>
      <c r="S30">
        <v>6</v>
      </c>
      <c r="T30">
        <v>4</v>
      </c>
      <c r="U30">
        <v>1</v>
      </c>
      <c r="V30">
        <v>4</v>
      </c>
      <c r="X30">
        <v>1</v>
      </c>
      <c r="Y30">
        <v>21</v>
      </c>
      <c r="Z30">
        <v>0</v>
      </c>
      <c r="AA30">
        <v>0</v>
      </c>
      <c r="AC30">
        <v>1</v>
      </c>
      <c r="AD30">
        <v>1</v>
      </c>
      <c r="AE30">
        <v>0</v>
      </c>
      <c r="AF30">
        <v>0</v>
      </c>
      <c r="AG30">
        <v>1</v>
      </c>
      <c r="AH30">
        <v>8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BC30">
        <v>0</v>
      </c>
      <c r="BD30">
        <v>16</v>
      </c>
      <c r="BE30">
        <v>326</v>
      </c>
      <c r="BF30">
        <v>326</v>
      </c>
      <c r="BG30">
        <v>401</v>
      </c>
      <c r="BJ30">
        <v>1</v>
      </c>
      <c r="BL30" t="s">
        <v>150</v>
      </c>
      <c r="BM30" s="4">
        <v>43283.360092592593</v>
      </c>
      <c r="BN30" s="4">
        <v>43283.371087962965</v>
      </c>
      <c r="BO30" s="4">
        <v>43283.371087962965</v>
      </c>
      <c r="BP30" t="s">
        <v>92</v>
      </c>
      <c r="BQ30" t="s">
        <v>93</v>
      </c>
      <c r="BR30" t="s">
        <v>94</v>
      </c>
    </row>
    <row r="31" spans="1:70" x14ac:dyDescent="0.3">
      <c r="A31" t="str">
        <f>"200014C0100"</f>
        <v>200014C0100</v>
      </c>
      <c r="B31" t="s">
        <v>151</v>
      </c>
      <c r="C31">
        <v>20</v>
      </c>
      <c r="D31" t="s">
        <v>88</v>
      </c>
      <c r="E31">
        <v>2</v>
      </c>
      <c r="F31" t="s">
        <v>89</v>
      </c>
      <c r="G31">
        <v>14</v>
      </c>
      <c r="H31">
        <v>1</v>
      </c>
      <c r="I31" t="s">
        <v>98</v>
      </c>
      <c r="J31">
        <v>0</v>
      </c>
      <c r="K31">
        <v>2</v>
      </c>
      <c r="L31">
        <v>5</v>
      </c>
      <c r="M31">
        <v>89</v>
      </c>
      <c r="N31">
        <v>334</v>
      </c>
      <c r="O31">
        <v>0</v>
      </c>
      <c r="P31">
        <v>334</v>
      </c>
      <c r="Q31">
        <v>109</v>
      </c>
      <c r="R31">
        <v>181</v>
      </c>
      <c r="S31">
        <v>2</v>
      </c>
      <c r="T31">
        <v>0</v>
      </c>
      <c r="U31">
        <v>4</v>
      </c>
      <c r="V31">
        <v>1</v>
      </c>
      <c r="X31">
        <v>5</v>
      </c>
      <c r="Y31">
        <v>12</v>
      </c>
      <c r="Z31">
        <v>0</v>
      </c>
      <c r="AA31">
        <v>1</v>
      </c>
      <c r="AC31">
        <v>2</v>
      </c>
      <c r="AD31">
        <v>2</v>
      </c>
      <c r="AE31">
        <v>0</v>
      </c>
      <c r="AF31">
        <v>0</v>
      </c>
      <c r="AG31">
        <v>2</v>
      </c>
      <c r="AH31">
        <v>4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BC31">
        <v>0</v>
      </c>
      <c r="BD31">
        <v>9</v>
      </c>
      <c r="BE31">
        <v>334</v>
      </c>
      <c r="BF31">
        <v>334</v>
      </c>
      <c r="BG31">
        <v>401</v>
      </c>
      <c r="BJ31">
        <v>1</v>
      </c>
      <c r="BL31" t="s">
        <v>152</v>
      </c>
      <c r="BM31" s="4">
        <v>43283.359537037039</v>
      </c>
      <c r="BN31" s="4">
        <v>43283.370740740742</v>
      </c>
      <c r="BO31" s="4">
        <v>43283.370740740742</v>
      </c>
      <c r="BP31" t="s">
        <v>92</v>
      </c>
      <c r="BQ31" t="s">
        <v>93</v>
      </c>
      <c r="BR31" t="s">
        <v>94</v>
      </c>
    </row>
    <row r="32" spans="1:70" x14ac:dyDescent="0.3">
      <c r="A32" t="str">
        <f>"200015B0100"</f>
        <v>200015B0100</v>
      </c>
      <c r="B32" t="s">
        <v>153</v>
      </c>
      <c r="C32">
        <v>20</v>
      </c>
      <c r="D32" t="s">
        <v>88</v>
      </c>
      <c r="E32">
        <v>2</v>
      </c>
      <c r="F32" t="s">
        <v>89</v>
      </c>
      <c r="G32">
        <v>15</v>
      </c>
      <c r="H32">
        <v>1</v>
      </c>
      <c r="I32" t="s">
        <v>90</v>
      </c>
      <c r="J32">
        <v>0</v>
      </c>
      <c r="K32">
        <v>2</v>
      </c>
      <c r="L32">
        <v>5</v>
      </c>
      <c r="BG32">
        <v>445</v>
      </c>
      <c r="BI32" t="s">
        <v>122</v>
      </c>
      <c r="BJ32">
        <v>0</v>
      </c>
      <c r="BL32" t="s">
        <v>154</v>
      </c>
      <c r="BM32" s="4">
        <v>43283.823495370372</v>
      </c>
      <c r="BN32" s="4">
        <v>43283.825023148151</v>
      </c>
      <c r="BO32" s="4">
        <v>43283.825023148151</v>
      </c>
      <c r="BP32" t="s">
        <v>92</v>
      </c>
      <c r="BQ32" t="s">
        <v>93</v>
      </c>
      <c r="BR32" t="s">
        <v>94</v>
      </c>
    </row>
    <row r="33" spans="1:70" x14ac:dyDescent="0.3">
      <c r="A33" t="str">
        <f>"200015E0100"</f>
        <v>200015E0100</v>
      </c>
      <c r="B33" s="2" t="s">
        <v>155</v>
      </c>
      <c r="C33">
        <v>20</v>
      </c>
      <c r="D33" t="s">
        <v>88</v>
      </c>
      <c r="E33">
        <v>2</v>
      </c>
      <c r="F33" t="s">
        <v>89</v>
      </c>
      <c r="G33">
        <v>15</v>
      </c>
      <c r="H33">
        <v>1</v>
      </c>
      <c r="I33" t="s">
        <v>156</v>
      </c>
      <c r="J33">
        <v>0</v>
      </c>
      <c r="K33">
        <v>2</v>
      </c>
      <c r="L33">
        <v>5</v>
      </c>
      <c r="M33">
        <v>93</v>
      </c>
      <c r="N33">
        <v>269</v>
      </c>
      <c r="O33">
        <v>2</v>
      </c>
      <c r="P33">
        <v>269</v>
      </c>
      <c r="Q33">
        <v>166</v>
      </c>
      <c r="R33">
        <v>54</v>
      </c>
      <c r="S33">
        <v>1</v>
      </c>
      <c r="T33">
        <v>0</v>
      </c>
      <c r="U33">
        <v>3</v>
      </c>
      <c r="V33">
        <v>0</v>
      </c>
      <c r="X33">
        <v>1</v>
      </c>
      <c r="Y33">
        <v>32</v>
      </c>
      <c r="Z33">
        <v>0</v>
      </c>
      <c r="AA33">
        <v>0</v>
      </c>
      <c r="AC33">
        <v>0</v>
      </c>
      <c r="AD33">
        <v>1</v>
      </c>
      <c r="AE33">
        <v>2</v>
      </c>
      <c r="AF33">
        <v>0</v>
      </c>
      <c r="AG33">
        <v>1</v>
      </c>
      <c r="AH33">
        <v>2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BC33">
        <v>0</v>
      </c>
      <c r="BD33">
        <v>6</v>
      </c>
      <c r="BE33">
        <v>269</v>
      </c>
      <c r="BF33">
        <v>269</v>
      </c>
      <c r="BG33">
        <v>340</v>
      </c>
      <c r="BJ33">
        <v>1</v>
      </c>
      <c r="BL33" t="s">
        <v>157</v>
      </c>
      <c r="BM33" s="4">
        <v>43283.360682870371</v>
      </c>
      <c r="BN33" s="4">
        <v>43283.370312500003</v>
      </c>
      <c r="BO33" s="4">
        <v>43283.370312500003</v>
      </c>
      <c r="BP33" t="s">
        <v>92</v>
      </c>
      <c r="BQ33" t="s">
        <v>93</v>
      </c>
      <c r="BR33" t="s">
        <v>94</v>
      </c>
    </row>
    <row r="34" spans="1:70" x14ac:dyDescent="0.3">
      <c r="A34" t="str">
        <f>"200016B0100"</f>
        <v>200016B0100</v>
      </c>
      <c r="B34" t="s">
        <v>158</v>
      </c>
      <c r="C34">
        <v>20</v>
      </c>
      <c r="D34" t="s">
        <v>88</v>
      </c>
      <c r="E34">
        <v>2</v>
      </c>
      <c r="F34" t="s">
        <v>89</v>
      </c>
      <c r="G34">
        <v>16</v>
      </c>
      <c r="H34">
        <v>1</v>
      </c>
      <c r="I34" t="s">
        <v>90</v>
      </c>
      <c r="J34">
        <v>0</v>
      </c>
      <c r="K34">
        <v>2</v>
      </c>
      <c r="L34">
        <v>5</v>
      </c>
      <c r="M34">
        <v>102</v>
      </c>
      <c r="N34">
        <v>254</v>
      </c>
      <c r="O34">
        <v>1</v>
      </c>
      <c r="P34" t="s">
        <v>105</v>
      </c>
      <c r="Q34">
        <v>111</v>
      </c>
      <c r="R34">
        <v>84</v>
      </c>
      <c r="S34">
        <v>2</v>
      </c>
      <c r="T34">
        <v>1</v>
      </c>
      <c r="U34">
        <v>2</v>
      </c>
      <c r="V34">
        <v>1</v>
      </c>
      <c r="X34">
        <v>3</v>
      </c>
      <c r="Y34">
        <v>38</v>
      </c>
      <c r="Z34">
        <v>0</v>
      </c>
      <c r="AA34">
        <v>0</v>
      </c>
      <c r="AC34">
        <v>2</v>
      </c>
      <c r="AD34">
        <v>0</v>
      </c>
      <c r="AE34">
        <v>0</v>
      </c>
      <c r="AF34">
        <v>0</v>
      </c>
      <c r="AG34">
        <v>0</v>
      </c>
      <c r="AH34">
        <v>2</v>
      </c>
      <c r="AI34">
        <v>0</v>
      </c>
      <c r="AJ34">
        <v>0</v>
      </c>
      <c r="AK34">
        <v>0</v>
      </c>
      <c r="AL34">
        <v>2</v>
      </c>
      <c r="AM34">
        <v>0</v>
      </c>
      <c r="AN34">
        <v>0</v>
      </c>
      <c r="BC34">
        <v>0</v>
      </c>
      <c r="BD34">
        <v>6</v>
      </c>
      <c r="BE34">
        <v>254</v>
      </c>
      <c r="BF34">
        <v>254</v>
      </c>
      <c r="BG34">
        <v>334</v>
      </c>
      <c r="BJ34">
        <v>1</v>
      </c>
      <c r="BL34" t="s">
        <v>159</v>
      </c>
      <c r="BM34" s="4">
        <v>43283.359629629631</v>
      </c>
      <c r="BN34" s="4">
        <v>43283.370474537034</v>
      </c>
      <c r="BO34" s="4">
        <v>43283.370474537034</v>
      </c>
      <c r="BP34" t="s">
        <v>92</v>
      </c>
      <c r="BQ34" t="s">
        <v>93</v>
      </c>
      <c r="BR34" t="s">
        <v>94</v>
      </c>
    </row>
    <row r="35" spans="1:70" x14ac:dyDescent="0.3">
      <c r="A35" t="str">
        <f>"200017B0100"</f>
        <v>200017B0100</v>
      </c>
      <c r="B35" t="s">
        <v>160</v>
      </c>
      <c r="C35">
        <v>20</v>
      </c>
      <c r="D35" t="s">
        <v>88</v>
      </c>
      <c r="E35">
        <v>2</v>
      </c>
      <c r="F35" t="s">
        <v>89</v>
      </c>
      <c r="G35">
        <v>17</v>
      </c>
      <c r="H35">
        <v>1</v>
      </c>
      <c r="I35" t="s">
        <v>90</v>
      </c>
      <c r="J35">
        <v>0</v>
      </c>
      <c r="K35">
        <v>2</v>
      </c>
      <c r="L35">
        <v>5</v>
      </c>
      <c r="M35">
        <v>165</v>
      </c>
      <c r="N35">
        <v>456</v>
      </c>
      <c r="O35">
        <v>0</v>
      </c>
      <c r="P35">
        <v>456</v>
      </c>
      <c r="Q35">
        <v>236</v>
      </c>
      <c r="R35">
        <v>148</v>
      </c>
      <c r="S35">
        <v>2</v>
      </c>
      <c r="T35">
        <v>1</v>
      </c>
      <c r="U35">
        <v>1</v>
      </c>
      <c r="V35">
        <v>0</v>
      </c>
      <c r="X35">
        <v>5</v>
      </c>
      <c r="Y35">
        <v>39</v>
      </c>
      <c r="Z35">
        <v>2</v>
      </c>
      <c r="AA35">
        <v>0</v>
      </c>
      <c r="AC35">
        <v>2</v>
      </c>
      <c r="AD35">
        <v>0</v>
      </c>
      <c r="AE35">
        <v>0</v>
      </c>
      <c r="AF35">
        <v>0</v>
      </c>
      <c r="AG35">
        <v>2</v>
      </c>
      <c r="AH35">
        <v>2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BC35">
        <v>0</v>
      </c>
      <c r="BD35">
        <v>17</v>
      </c>
      <c r="BE35">
        <v>454</v>
      </c>
      <c r="BF35">
        <v>457</v>
      </c>
      <c r="BG35">
        <v>599</v>
      </c>
      <c r="BJ35">
        <v>1</v>
      </c>
      <c r="BL35" t="s">
        <v>161</v>
      </c>
      <c r="BM35" s="4">
        <v>43283.390277777777</v>
      </c>
      <c r="BN35" s="4">
        <v>43283.394988425927</v>
      </c>
      <c r="BO35" s="4">
        <v>43283.394988425927</v>
      </c>
      <c r="BP35" t="s">
        <v>92</v>
      </c>
      <c r="BQ35" t="s">
        <v>93</v>
      </c>
      <c r="BR35" t="s">
        <v>94</v>
      </c>
    </row>
    <row r="36" spans="1:70" x14ac:dyDescent="0.3">
      <c r="A36" t="str">
        <f>"200017C0100"</f>
        <v>200017C0100</v>
      </c>
      <c r="B36" t="s">
        <v>162</v>
      </c>
      <c r="C36">
        <v>20</v>
      </c>
      <c r="D36" t="s">
        <v>88</v>
      </c>
      <c r="E36">
        <v>2</v>
      </c>
      <c r="F36" t="s">
        <v>89</v>
      </c>
      <c r="G36">
        <v>17</v>
      </c>
      <c r="H36">
        <v>1</v>
      </c>
      <c r="I36" t="s">
        <v>98</v>
      </c>
      <c r="J36">
        <v>0</v>
      </c>
      <c r="K36">
        <v>2</v>
      </c>
      <c r="L36">
        <v>5</v>
      </c>
      <c r="M36">
        <v>144</v>
      </c>
      <c r="N36">
        <v>476</v>
      </c>
      <c r="O36">
        <v>0</v>
      </c>
      <c r="P36">
        <v>476</v>
      </c>
      <c r="Q36">
        <v>265</v>
      </c>
      <c r="R36">
        <v>132</v>
      </c>
      <c r="S36">
        <v>2</v>
      </c>
      <c r="T36">
        <v>3</v>
      </c>
      <c r="U36">
        <v>7</v>
      </c>
      <c r="V36">
        <v>2</v>
      </c>
      <c r="X36">
        <v>1</v>
      </c>
      <c r="Y36">
        <v>35</v>
      </c>
      <c r="Z36">
        <v>2</v>
      </c>
      <c r="AA36">
        <v>0</v>
      </c>
      <c r="AC36">
        <v>1</v>
      </c>
      <c r="AD36">
        <v>2</v>
      </c>
      <c r="AE36">
        <v>2</v>
      </c>
      <c r="AF36">
        <v>0</v>
      </c>
      <c r="AG36">
        <v>0</v>
      </c>
      <c r="AH36">
        <v>5</v>
      </c>
      <c r="AI36">
        <v>0</v>
      </c>
      <c r="AJ36">
        <v>0</v>
      </c>
      <c r="AK36">
        <v>2</v>
      </c>
      <c r="AL36">
        <v>0</v>
      </c>
      <c r="AM36">
        <v>0</v>
      </c>
      <c r="AN36">
        <v>0</v>
      </c>
      <c r="BC36">
        <v>0</v>
      </c>
      <c r="BD36">
        <v>15</v>
      </c>
      <c r="BE36">
        <v>476</v>
      </c>
      <c r="BF36">
        <v>476</v>
      </c>
      <c r="BG36">
        <v>599</v>
      </c>
      <c r="BJ36">
        <v>1</v>
      </c>
      <c r="BL36" t="s">
        <v>163</v>
      </c>
      <c r="BM36" s="4">
        <v>43283.391875000001</v>
      </c>
      <c r="BN36" s="4">
        <v>43283.396203703705</v>
      </c>
      <c r="BO36" s="4">
        <v>43283.396203703705</v>
      </c>
      <c r="BP36" t="s">
        <v>92</v>
      </c>
      <c r="BQ36" t="s">
        <v>93</v>
      </c>
      <c r="BR36" t="s">
        <v>94</v>
      </c>
    </row>
    <row r="37" spans="1:70" x14ac:dyDescent="0.3">
      <c r="A37" t="str">
        <f>"200018B0100"</f>
        <v>200018B0100</v>
      </c>
      <c r="B37" t="s">
        <v>164</v>
      </c>
      <c r="C37">
        <v>20</v>
      </c>
      <c r="D37" t="s">
        <v>88</v>
      </c>
      <c r="E37">
        <v>2</v>
      </c>
      <c r="F37" t="s">
        <v>89</v>
      </c>
      <c r="G37">
        <v>18</v>
      </c>
      <c r="H37">
        <v>1</v>
      </c>
      <c r="I37" t="s">
        <v>90</v>
      </c>
      <c r="J37">
        <v>0</v>
      </c>
      <c r="K37">
        <v>2</v>
      </c>
      <c r="L37">
        <v>5</v>
      </c>
      <c r="M37">
        <v>95</v>
      </c>
      <c r="N37">
        <v>353</v>
      </c>
      <c r="O37">
        <v>0</v>
      </c>
      <c r="P37">
        <v>353</v>
      </c>
      <c r="Q37">
        <v>223</v>
      </c>
      <c r="R37">
        <v>89</v>
      </c>
      <c r="S37">
        <v>0</v>
      </c>
      <c r="T37">
        <v>0</v>
      </c>
      <c r="U37">
        <v>0</v>
      </c>
      <c r="V37">
        <v>0</v>
      </c>
      <c r="X37">
        <v>0</v>
      </c>
      <c r="Y37">
        <v>29</v>
      </c>
      <c r="Z37">
        <v>0</v>
      </c>
      <c r="AA37">
        <v>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BC37">
        <v>0</v>
      </c>
      <c r="BD37">
        <v>11</v>
      </c>
      <c r="BE37">
        <v>353</v>
      </c>
      <c r="BF37">
        <v>353</v>
      </c>
      <c r="BG37">
        <v>426</v>
      </c>
      <c r="BJ37">
        <v>1</v>
      </c>
      <c r="BL37" t="s">
        <v>165</v>
      </c>
      <c r="BM37" s="4">
        <v>43283.196805555555</v>
      </c>
      <c r="BN37" s="4">
        <v>43283.212731481479</v>
      </c>
      <c r="BO37" s="4">
        <v>43283.212731481479</v>
      </c>
      <c r="BP37" t="s">
        <v>92</v>
      </c>
      <c r="BQ37" t="s">
        <v>93</v>
      </c>
      <c r="BR37" t="s">
        <v>94</v>
      </c>
    </row>
    <row r="38" spans="1:70" x14ac:dyDescent="0.3">
      <c r="A38" t="str">
        <f>"200019B0100"</f>
        <v>200019B0100</v>
      </c>
      <c r="B38" t="s">
        <v>166</v>
      </c>
      <c r="C38">
        <v>20</v>
      </c>
      <c r="D38" t="s">
        <v>88</v>
      </c>
      <c r="E38">
        <v>2</v>
      </c>
      <c r="F38" t="s">
        <v>89</v>
      </c>
      <c r="G38">
        <v>19</v>
      </c>
      <c r="H38">
        <v>1</v>
      </c>
      <c r="I38" t="s">
        <v>90</v>
      </c>
      <c r="J38">
        <v>0</v>
      </c>
      <c r="K38">
        <v>1</v>
      </c>
      <c r="L38">
        <v>5</v>
      </c>
      <c r="M38">
        <v>136</v>
      </c>
      <c r="N38">
        <v>443</v>
      </c>
      <c r="O38">
        <v>1</v>
      </c>
      <c r="P38">
        <v>443</v>
      </c>
      <c r="Q38">
        <v>229</v>
      </c>
      <c r="R38">
        <v>157</v>
      </c>
      <c r="S38">
        <v>4</v>
      </c>
      <c r="T38">
        <v>3</v>
      </c>
      <c r="U38">
        <v>3</v>
      </c>
      <c r="V38">
        <v>1</v>
      </c>
      <c r="X38">
        <v>1</v>
      </c>
      <c r="Y38">
        <v>30</v>
      </c>
      <c r="Z38">
        <v>0</v>
      </c>
      <c r="AA38">
        <v>0</v>
      </c>
      <c r="AC38">
        <v>0</v>
      </c>
      <c r="AD38">
        <v>0</v>
      </c>
      <c r="AE38">
        <v>2</v>
      </c>
      <c r="AF38">
        <v>0</v>
      </c>
      <c r="AG38">
        <v>2</v>
      </c>
      <c r="AH38">
        <v>4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BC38">
        <v>0</v>
      </c>
      <c r="BD38">
        <v>7</v>
      </c>
      <c r="BE38">
        <v>443</v>
      </c>
      <c r="BF38">
        <v>443</v>
      </c>
      <c r="BG38">
        <v>557</v>
      </c>
      <c r="BJ38">
        <v>1</v>
      </c>
      <c r="BL38" t="s">
        <v>167</v>
      </c>
      <c r="BM38" s="4">
        <v>43283.386261574073</v>
      </c>
      <c r="BN38" s="4">
        <v>43283.388981481483</v>
      </c>
      <c r="BO38" s="4">
        <v>43283.388981481483</v>
      </c>
      <c r="BP38" t="s">
        <v>92</v>
      </c>
      <c r="BQ38" t="s">
        <v>93</v>
      </c>
      <c r="BR38" t="s">
        <v>94</v>
      </c>
    </row>
    <row r="39" spans="1:70" x14ac:dyDescent="0.3">
      <c r="A39" t="str">
        <f>"200020B0100"</f>
        <v>200020B0100</v>
      </c>
      <c r="B39" t="s">
        <v>168</v>
      </c>
      <c r="C39">
        <v>20</v>
      </c>
      <c r="D39" t="s">
        <v>88</v>
      </c>
      <c r="E39">
        <v>2</v>
      </c>
      <c r="F39" t="s">
        <v>89</v>
      </c>
      <c r="G39">
        <v>20</v>
      </c>
      <c r="H39">
        <v>1</v>
      </c>
      <c r="I39" t="s">
        <v>90</v>
      </c>
      <c r="J39">
        <v>0</v>
      </c>
      <c r="K39">
        <v>2</v>
      </c>
      <c r="L39">
        <v>5</v>
      </c>
      <c r="BG39">
        <v>672</v>
      </c>
      <c r="BI39" t="s">
        <v>122</v>
      </c>
      <c r="BJ39">
        <v>0</v>
      </c>
      <c r="BL39" t="s">
        <v>169</v>
      </c>
      <c r="BM39" s="4">
        <v>43283.824131944442</v>
      </c>
      <c r="BN39" s="4">
        <v>43283.82534722222</v>
      </c>
      <c r="BO39" s="4">
        <v>43283.82534722222</v>
      </c>
      <c r="BP39" t="s">
        <v>92</v>
      </c>
      <c r="BQ39" t="s">
        <v>93</v>
      </c>
      <c r="BR39" t="s">
        <v>94</v>
      </c>
    </row>
    <row r="40" spans="1:70" x14ac:dyDescent="0.3">
      <c r="A40" t="str">
        <f>"200021B0100"</f>
        <v>200021B0100</v>
      </c>
      <c r="B40" t="s">
        <v>170</v>
      </c>
      <c r="C40">
        <v>20</v>
      </c>
      <c r="D40" t="s">
        <v>88</v>
      </c>
      <c r="E40">
        <v>2</v>
      </c>
      <c r="F40" t="s">
        <v>89</v>
      </c>
      <c r="G40">
        <v>21</v>
      </c>
      <c r="H40">
        <v>1</v>
      </c>
      <c r="I40" t="s">
        <v>90</v>
      </c>
      <c r="J40">
        <v>0</v>
      </c>
      <c r="K40">
        <v>2</v>
      </c>
      <c r="L40">
        <v>5</v>
      </c>
      <c r="M40">
        <v>122</v>
      </c>
      <c r="N40">
        <v>522</v>
      </c>
      <c r="O40">
        <v>0</v>
      </c>
      <c r="P40">
        <v>522</v>
      </c>
      <c r="Q40">
        <v>197</v>
      </c>
      <c r="R40">
        <v>119</v>
      </c>
      <c r="S40">
        <v>7</v>
      </c>
      <c r="T40">
        <v>65</v>
      </c>
      <c r="U40">
        <v>6</v>
      </c>
      <c r="V40">
        <v>2</v>
      </c>
      <c r="X40">
        <v>2</v>
      </c>
      <c r="Y40">
        <v>93</v>
      </c>
      <c r="Z40">
        <v>1</v>
      </c>
      <c r="AA40">
        <v>0</v>
      </c>
      <c r="AC40">
        <v>0</v>
      </c>
      <c r="AD40">
        <v>2</v>
      </c>
      <c r="AE40">
        <v>1</v>
      </c>
      <c r="AF40">
        <v>0</v>
      </c>
      <c r="AG40">
        <v>2</v>
      </c>
      <c r="AH40">
        <v>7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BC40">
        <v>0</v>
      </c>
      <c r="BD40">
        <v>18</v>
      </c>
      <c r="BE40">
        <v>518</v>
      </c>
      <c r="BF40">
        <v>522</v>
      </c>
      <c r="BG40">
        <v>623</v>
      </c>
      <c r="BJ40">
        <v>1</v>
      </c>
      <c r="BL40" t="s">
        <v>171</v>
      </c>
      <c r="BM40" s="4">
        <v>43283.353842592594</v>
      </c>
      <c r="BN40" s="4">
        <v>43283.366064814814</v>
      </c>
      <c r="BO40" s="4">
        <v>43283.366064814814</v>
      </c>
      <c r="BP40" t="s">
        <v>92</v>
      </c>
      <c r="BQ40" t="s">
        <v>93</v>
      </c>
      <c r="BR40" t="s">
        <v>94</v>
      </c>
    </row>
    <row r="41" spans="1:70" x14ac:dyDescent="0.3">
      <c r="A41" t="str">
        <f>"200021E0100"</f>
        <v>200021E0100</v>
      </c>
      <c r="B41" s="2" t="s">
        <v>172</v>
      </c>
      <c r="C41">
        <v>20</v>
      </c>
      <c r="D41" t="s">
        <v>88</v>
      </c>
      <c r="E41">
        <v>2</v>
      </c>
      <c r="F41" t="s">
        <v>89</v>
      </c>
      <c r="G41">
        <v>21</v>
      </c>
      <c r="H41">
        <v>1</v>
      </c>
      <c r="I41" t="s">
        <v>156</v>
      </c>
      <c r="J41">
        <v>0</v>
      </c>
      <c r="K41">
        <v>2</v>
      </c>
      <c r="L41">
        <v>5</v>
      </c>
      <c r="BG41">
        <v>534</v>
      </c>
      <c r="BI41" t="s">
        <v>122</v>
      </c>
      <c r="BJ41">
        <v>0</v>
      </c>
      <c r="BL41" t="s">
        <v>173</v>
      </c>
      <c r="BM41" s="4">
        <v>43283.824999999997</v>
      </c>
      <c r="BN41" s="4">
        <v>43283.829548611109</v>
      </c>
      <c r="BO41" s="4">
        <v>43283.829548611109</v>
      </c>
      <c r="BP41" t="s">
        <v>92</v>
      </c>
      <c r="BQ41" t="s">
        <v>93</v>
      </c>
      <c r="BR41" t="s">
        <v>94</v>
      </c>
    </row>
    <row r="42" spans="1:70" x14ac:dyDescent="0.3">
      <c r="A42" t="str">
        <f>"200022B0100"</f>
        <v>200022B0100</v>
      </c>
      <c r="B42" t="s">
        <v>174</v>
      </c>
      <c r="C42">
        <v>20</v>
      </c>
      <c r="D42" t="s">
        <v>88</v>
      </c>
      <c r="E42">
        <v>2</v>
      </c>
      <c r="F42" t="s">
        <v>89</v>
      </c>
      <c r="G42">
        <v>22</v>
      </c>
      <c r="H42">
        <v>1</v>
      </c>
      <c r="I42" t="s">
        <v>90</v>
      </c>
      <c r="J42">
        <v>0</v>
      </c>
      <c r="K42">
        <v>2</v>
      </c>
      <c r="L42">
        <v>5</v>
      </c>
      <c r="M42">
        <v>117</v>
      </c>
      <c r="N42">
        <v>413</v>
      </c>
      <c r="O42">
        <v>1</v>
      </c>
      <c r="P42">
        <v>413</v>
      </c>
      <c r="Q42">
        <v>223</v>
      </c>
      <c r="R42">
        <v>65</v>
      </c>
      <c r="S42">
        <v>20</v>
      </c>
      <c r="T42">
        <v>4</v>
      </c>
      <c r="U42">
        <v>4</v>
      </c>
      <c r="V42">
        <v>2</v>
      </c>
      <c r="X42">
        <v>1</v>
      </c>
      <c r="Y42">
        <v>67</v>
      </c>
      <c r="Z42">
        <v>5</v>
      </c>
      <c r="AA42">
        <v>0</v>
      </c>
      <c r="AC42">
        <v>2</v>
      </c>
      <c r="AD42">
        <v>1</v>
      </c>
      <c r="AE42">
        <v>0</v>
      </c>
      <c r="AF42">
        <v>0</v>
      </c>
      <c r="AG42">
        <v>3</v>
      </c>
      <c r="AH42">
        <v>0</v>
      </c>
      <c r="AI42">
        <v>0</v>
      </c>
      <c r="AJ42">
        <v>0</v>
      </c>
      <c r="AK42">
        <v>1</v>
      </c>
      <c r="AL42">
        <v>0</v>
      </c>
      <c r="AM42">
        <v>0</v>
      </c>
      <c r="AN42">
        <v>1</v>
      </c>
      <c r="BC42">
        <v>0</v>
      </c>
      <c r="BD42">
        <v>14</v>
      </c>
      <c r="BE42">
        <v>413</v>
      </c>
      <c r="BF42">
        <v>413</v>
      </c>
      <c r="BG42">
        <v>508</v>
      </c>
      <c r="BJ42">
        <v>1</v>
      </c>
      <c r="BL42" t="s">
        <v>175</v>
      </c>
      <c r="BM42" s="4">
        <v>43283.38894675926</v>
      </c>
      <c r="BN42" s="4">
        <v>43283.393831018519</v>
      </c>
      <c r="BO42" s="4">
        <v>43283.393831018519</v>
      </c>
      <c r="BP42" t="s">
        <v>92</v>
      </c>
      <c r="BQ42" t="s">
        <v>93</v>
      </c>
      <c r="BR42" t="s">
        <v>94</v>
      </c>
    </row>
    <row r="43" spans="1:70" x14ac:dyDescent="0.3">
      <c r="A43" t="str">
        <f>"200023B0100"</f>
        <v>200023B0100</v>
      </c>
      <c r="B43" t="s">
        <v>176</v>
      </c>
      <c r="C43">
        <v>20</v>
      </c>
      <c r="D43" t="s">
        <v>88</v>
      </c>
      <c r="E43">
        <v>2</v>
      </c>
      <c r="F43" t="s">
        <v>89</v>
      </c>
      <c r="G43">
        <v>23</v>
      </c>
      <c r="H43">
        <v>1</v>
      </c>
      <c r="I43" t="s">
        <v>90</v>
      </c>
      <c r="J43">
        <v>0</v>
      </c>
      <c r="K43">
        <v>2</v>
      </c>
      <c r="L43">
        <v>5</v>
      </c>
      <c r="M43">
        <v>152</v>
      </c>
      <c r="N43">
        <v>475</v>
      </c>
      <c r="O43">
        <v>4</v>
      </c>
      <c r="P43" t="s">
        <v>105</v>
      </c>
      <c r="Q43">
        <v>268</v>
      </c>
      <c r="R43">
        <v>113</v>
      </c>
      <c r="S43">
        <v>2</v>
      </c>
      <c r="T43">
        <v>4</v>
      </c>
      <c r="U43">
        <v>4</v>
      </c>
      <c r="V43">
        <v>2</v>
      </c>
      <c r="X43">
        <v>2</v>
      </c>
      <c r="Y43">
        <v>55</v>
      </c>
      <c r="Z43">
        <v>0</v>
      </c>
      <c r="AA43">
        <v>1</v>
      </c>
      <c r="AC43">
        <v>1</v>
      </c>
      <c r="AD43">
        <v>2</v>
      </c>
      <c r="AE43">
        <v>0</v>
      </c>
      <c r="AF43">
        <v>0</v>
      </c>
      <c r="AG43">
        <v>2</v>
      </c>
      <c r="AH43">
        <v>3</v>
      </c>
      <c r="AI43">
        <v>0</v>
      </c>
      <c r="AJ43">
        <v>0</v>
      </c>
      <c r="AK43">
        <v>1</v>
      </c>
      <c r="AL43">
        <v>0</v>
      </c>
      <c r="AM43">
        <v>0</v>
      </c>
      <c r="AN43">
        <v>0</v>
      </c>
      <c r="BC43" t="s">
        <v>105</v>
      </c>
      <c r="BD43">
        <v>15</v>
      </c>
      <c r="BE43">
        <v>475</v>
      </c>
      <c r="BF43">
        <v>475</v>
      </c>
      <c r="BG43">
        <v>605</v>
      </c>
      <c r="BI43" t="s">
        <v>106</v>
      </c>
      <c r="BJ43">
        <v>1</v>
      </c>
      <c r="BL43" t="s">
        <v>177</v>
      </c>
      <c r="BM43" s="4">
        <v>43283.386828703704</v>
      </c>
      <c r="BN43" s="4">
        <v>43283.3903587963</v>
      </c>
      <c r="BO43" s="4">
        <v>43283.3903587963</v>
      </c>
      <c r="BP43" t="s">
        <v>92</v>
      </c>
      <c r="BQ43" t="s">
        <v>93</v>
      </c>
      <c r="BR43" t="s">
        <v>94</v>
      </c>
    </row>
    <row r="44" spans="1:70" x14ac:dyDescent="0.3">
      <c r="A44" t="str">
        <f>"200024B0100"</f>
        <v>200024B0100</v>
      </c>
      <c r="B44" t="s">
        <v>178</v>
      </c>
      <c r="C44">
        <v>20</v>
      </c>
      <c r="D44" t="s">
        <v>88</v>
      </c>
      <c r="E44">
        <v>2</v>
      </c>
      <c r="F44" t="s">
        <v>89</v>
      </c>
      <c r="G44">
        <v>24</v>
      </c>
      <c r="H44">
        <v>1</v>
      </c>
      <c r="I44" t="s">
        <v>90</v>
      </c>
      <c r="J44">
        <v>0</v>
      </c>
      <c r="K44">
        <v>2</v>
      </c>
      <c r="L44">
        <v>5</v>
      </c>
      <c r="M44">
        <v>105</v>
      </c>
      <c r="N44">
        <v>307</v>
      </c>
      <c r="O44">
        <v>0</v>
      </c>
      <c r="P44">
        <v>307</v>
      </c>
      <c r="Q44">
        <v>146</v>
      </c>
      <c r="R44">
        <v>93</v>
      </c>
      <c r="S44">
        <v>3</v>
      </c>
      <c r="T44">
        <v>13</v>
      </c>
      <c r="U44">
        <v>2</v>
      </c>
      <c r="V44">
        <v>4</v>
      </c>
      <c r="X44">
        <v>1</v>
      </c>
      <c r="Y44">
        <v>19</v>
      </c>
      <c r="Z44">
        <v>1</v>
      </c>
      <c r="AA44">
        <v>0</v>
      </c>
      <c r="AC44">
        <v>0</v>
      </c>
      <c r="AD44">
        <v>1</v>
      </c>
      <c r="AE44">
        <v>2</v>
      </c>
      <c r="AF44">
        <v>0</v>
      </c>
      <c r="AG44">
        <v>0</v>
      </c>
      <c r="AH44">
        <v>5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</v>
      </c>
      <c r="BC44">
        <v>0</v>
      </c>
      <c r="BD44">
        <v>16</v>
      </c>
      <c r="BE44">
        <v>307</v>
      </c>
      <c r="BF44">
        <v>307</v>
      </c>
      <c r="BG44">
        <v>390</v>
      </c>
      <c r="BJ44">
        <v>1</v>
      </c>
      <c r="BL44" t="s">
        <v>179</v>
      </c>
      <c r="BM44" s="4">
        <v>43283.358865740738</v>
      </c>
      <c r="BN44" s="4">
        <v>43283.369837962964</v>
      </c>
      <c r="BO44" s="4">
        <v>43283.369837962964</v>
      </c>
      <c r="BP44" t="s">
        <v>92</v>
      </c>
      <c r="BQ44" t="s">
        <v>93</v>
      </c>
      <c r="BR44" t="s">
        <v>94</v>
      </c>
    </row>
    <row r="45" spans="1:70" x14ac:dyDescent="0.3">
      <c r="A45" t="str">
        <f>"200024C0100"</f>
        <v>200024C0100</v>
      </c>
      <c r="B45" t="s">
        <v>180</v>
      </c>
      <c r="C45">
        <v>20</v>
      </c>
      <c r="D45" t="s">
        <v>88</v>
      </c>
      <c r="E45">
        <v>2</v>
      </c>
      <c r="F45" t="s">
        <v>89</v>
      </c>
      <c r="G45">
        <v>24</v>
      </c>
      <c r="H45">
        <v>1</v>
      </c>
      <c r="I45" t="s">
        <v>98</v>
      </c>
      <c r="J45">
        <v>0</v>
      </c>
      <c r="K45">
        <v>2</v>
      </c>
      <c r="L45">
        <v>5</v>
      </c>
      <c r="M45">
        <v>124</v>
      </c>
      <c r="N45">
        <v>287</v>
      </c>
      <c r="O45">
        <v>0</v>
      </c>
      <c r="P45">
        <v>287</v>
      </c>
      <c r="Q45">
        <v>135</v>
      </c>
      <c r="R45">
        <v>79</v>
      </c>
      <c r="S45">
        <v>8</v>
      </c>
      <c r="T45">
        <v>11</v>
      </c>
      <c r="U45">
        <v>2</v>
      </c>
      <c r="V45">
        <v>2</v>
      </c>
      <c r="X45">
        <v>1</v>
      </c>
      <c r="Y45">
        <v>16</v>
      </c>
      <c r="Z45">
        <v>0</v>
      </c>
      <c r="AA45">
        <v>1</v>
      </c>
      <c r="AC45">
        <v>1</v>
      </c>
      <c r="AD45">
        <v>3</v>
      </c>
      <c r="AE45">
        <v>0</v>
      </c>
      <c r="AF45">
        <v>0</v>
      </c>
      <c r="AG45">
        <v>3</v>
      </c>
      <c r="AH45">
        <v>2</v>
      </c>
      <c r="AI45">
        <v>1</v>
      </c>
      <c r="AJ45">
        <v>0</v>
      </c>
      <c r="AK45">
        <v>1</v>
      </c>
      <c r="AL45">
        <v>0</v>
      </c>
      <c r="AM45">
        <v>0</v>
      </c>
      <c r="AN45">
        <v>0</v>
      </c>
      <c r="BC45">
        <v>0</v>
      </c>
      <c r="BD45">
        <v>21</v>
      </c>
      <c r="BE45">
        <v>287</v>
      </c>
      <c r="BF45">
        <v>287</v>
      </c>
      <c r="BG45">
        <v>389</v>
      </c>
      <c r="BJ45">
        <v>1</v>
      </c>
      <c r="BL45" t="s">
        <v>181</v>
      </c>
      <c r="BM45" s="4">
        <v>43283.360208333332</v>
      </c>
      <c r="BN45" s="4">
        <v>43283.390092592592</v>
      </c>
      <c r="BO45" s="4">
        <v>43283.390092592592</v>
      </c>
      <c r="BP45" t="s">
        <v>92</v>
      </c>
      <c r="BQ45" t="s">
        <v>93</v>
      </c>
      <c r="BR45" t="s">
        <v>94</v>
      </c>
    </row>
    <row r="46" spans="1:70" x14ac:dyDescent="0.3">
      <c r="A46" t="str">
        <f>"200024E0100"</f>
        <v>200024E0100</v>
      </c>
      <c r="B46" s="2" t="s">
        <v>182</v>
      </c>
      <c r="C46">
        <v>20</v>
      </c>
      <c r="D46" t="s">
        <v>88</v>
      </c>
      <c r="E46">
        <v>2</v>
      </c>
      <c r="F46" t="s">
        <v>89</v>
      </c>
      <c r="G46">
        <v>24</v>
      </c>
      <c r="H46">
        <v>1</v>
      </c>
      <c r="I46" t="s">
        <v>156</v>
      </c>
      <c r="J46">
        <v>0</v>
      </c>
      <c r="K46">
        <v>2</v>
      </c>
      <c r="L46">
        <v>5</v>
      </c>
      <c r="M46">
        <v>118</v>
      </c>
      <c r="N46">
        <v>1</v>
      </c>
      <c r="O46">
        <v>1</v>
      </c>
      <c r="P46">
        <v>224</v>
      </c>
      <c r="Q46">
        <v>107</v>
      </c>
      <c r="R46">
        <v>54</v>
      </c>
      <c r="S46">
        <v>0</v>
      </c>
      <c r="T46">
        <v>3</v>
      </c>
      <c r="U46">
        <v>1</v>
      </c>
      <c r="V46">
        <v>1</v>
      </c>
      <c r="X46">
        <v>1</v>
      </c>
      <c r="Y46">
        <v>21</v>
      </c>
      <c r="Z46">
        <v>0</v>
      </c>
      <c r="AA46">
        <v>1</v>
      </c>
      <c r="AC46">
        <v>2</v>
      </c>
      <c r="AD46">
        <v>2</v>
      </c>
      <c r="AE46">
        <v>1</v>
      </c>
      <c r="AF46">
        <v>0</v>
      </c>
      <c r="AG46">
        <v>0</v>
      </c>
      <c r="AH46">
        <v>4</v>
      </c>
      <c r="AI46">
        <v>0</v>
      </c>
      <c r="AJ46">
        <v>0</v>
      </c>
      <c r="AK46">
        <v>0</v>
      </c>
      <c r="AL46">
        <v>1</v>
      </c>
      <c r="AM46">
        <v>0</v>
      </c>
      <c r="AN46">
        <v>1</v>
      </c>
      <c r="BC46">
        <v>0</v>
      </c>
      <c r="BD46">
        <v>24</v>
      </c>
      <c r="BE46">
        <v>224</v>
      </c>
      <c r="BF46">
        <v>224</v>
      </c>
      <c r="BG46">
        <v>320</v>
      </c>
      <c r="BJ46">
        <v>1</v>
      </c>
      <c r="BL46" t="s">
        <v>183</v>
      </c>
      <c r="BM46" s="4">
        <v>43283.359467592592</v>
      </c>
      <c r="BN46" s="4">
        <v>43283.369537037041</v>
      </c>
      <c r="BO46" s="4">
        <v>43283.369537037041</v>
      </c>
      <c r="BP46" t="s">
        <v>92</v>
      </c>
      <c r="BQ46" t="s">
        <v>93</v>
      </c>
      <c r="BR46" t="s">
        <v>94</v>
      </c>
    </row>
    <row r="47" spans="1:70" x14ac:dyDescent="0.3">
      <c r="A47" t="str">
        <f>"200025B0100"</f>
        <v>200025B0100</v>
      </c>
      <c r="B47" t="s">
        <v>184</v>
      </c>
      <c r="C47">
        <v>20</v>
      </c>
      <c r="D47" t="s">
        <v>88</v>
      </c>
      <c r="E47">
        <v>2</v>
      </c>
      <c r="F47" t="s">
        <v>89</v>
      </c>
      <c r="G47">
        <v>25</v>
      </c>
      <c r="H47">
        <v>1</v>
      </c>
      <c r="I47" t="s">
        <v>90</v>
      </c>
      <c r="J47">
        <v>0</v>
      </c>
      <c r="K47">
        <v>2</v>
      </c>
      <c r="L47">
        <v>5</v>
      </c>
      <c r="M47">
        <v>116</v>
      </c>
      <c r="N47">
        <v>322</v>
      </c>
      <c r="O47">
        <v>1</v>
      </c>
      <c r="P47" t="s">
        <v>105</v>
      </c>
      <c r="Q47">
        <v>184</v>
      </c>
      <c r="R47">
        <v>61</v>
      </c>
      <c r="S47">
        <v>2</v>
      </c>
      <c r="T47">
        <v>12</v>
      </c>
      <c r="U47">
        <v>3</v>
      </c>
      <c r="V47">
        <v>2</v>
      </c>
      <c r="X47">
        <v>4</v>
      </c>
      <c r="Y47">
        <v>29</v>
      </c>
      <c r="Z47">
        <v>1</v>
      </c>
      <c r="AA47">
        <v>0</v>
      </c>
      <c r="AC47">
        <v>4</v>
      </c>
      <c r="AD47">
        <v>3</v>
      </c>
      <c r="AE47">
        <v>1</v>
      </c>
      <c r="AF47">
        <v>0</v>
      </c>
      <c r="AG47">
        <v>1</v>
      </c>
      <c r="AH47">
        <v>2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BC47">
        <v>0</v>
      </c>
      <c r="BD47">
        <v>13</v>
      </c>
      <c r="BE47">
        <v>322</v>
      </c>
      <c r="BF47">
        <v>322</v>
      </c>
      <c r="BG47">
        <v>416</v>
      </c>
      <c r="BJ47">
        <v>1</v>
      </c>
      <c r="BL47" t="s">
        <v>185</v>
      </c>
      <c r="BM47" s="4">
        <v>43283.361932870372</v>
      </c>
      <c r="BN47" s="4">
        <v>43283.371550925927</v>
      </c>
      <c r="BO47" s="4">
        <v>43283.371550925927</v>
      </c>
      <c r="BP47" t="s">
        <v>92</v>
      </c>
      <c r="BQ47" t="s">
        <v>93</v>
      </c>
      <c r="BR47" t="s">
        <v>94</v>
      </c>
    </row>
    <row r="48" spans="1:70" x14ac:dyDescent="0.3">
      <c r="A48" t="str">
        <f>"200025C0100"</f>
        <v>200025C0100</v>
      </c>
      <c r="B48" t="s">
        <v>186</v>
      </c>
      <c r="C48">
        <v>20</v>
      </c>
      <c r="D48" t="s">
        <v>88</v>
      </c>
      <c r="E48">
        <v>2</v>
      </c>
      <c r="F48" t="s">
        <v>89</v>
      </c>
      <c r="G48">
        <v>25</v>
      </c>
      <c r="H48">
        <v>1</v>
      </c>
      <c r="I48" t="s">
        <v>98</v>
      </c>
      <c r="J48">
        <v>0</v>
      </c>
      <c r="K48">
        <v>2</v>
      </c>
      <c r="L48">
        <v>5</v>
      </c>
      <c r="M48">
        <v>108</v>
      </c>
      <c r="N48">
        <v>329</v>
      </c>
      <c r="O48">
        <v>0</v>
      </c>
      <c r="P48">
        <v>329</v>
      </c>
      <c r="Q48">
        <v>188</v>
      </c>
      <c r="R48">
        <v>67</v>
      </c>
      <c r="S48">
        <v>2</v>
      </c>
      <c r="T48">
        <v>12</v>
      </c>
      <c r="U48">
        <v>1</v>
      </c>
      <c r="V48">
        <v>3</v>
      </c>
      <c r="X48">
        <v>3</v>
      </c>
      <c r="Y48">
        <v>27</v>
      </c>
      <c r="Z48">
        <v>1</v>
      </c>
      <c r="AA48">
        <v>0</v>
      </c>
      <c r="AC48">
        <v>4</v>
      </c>
      <c r="AD48">
        <v>1</v>
      </c>
      <c r="AE48">
        <v>1</v>
      </c>
      <c r="AF48">
        <v>0</v>
      </c>
      <c r="AG48">
        <v>0</v>
      </c>
      <c r="AH48">
        <v>2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BC48">
        <v>0</v>
      </c>
      <c r="BD48">
        <v>17</v>
      </c>
      <c r="BE48">
        <v>329</v>
      </c>
      <c r="BF48">
        <v>329</v>
      </c>
      <c r="BG48">
        <v>416</v>
      </c>
      <c r="BJ48">
        <v>1</v>
      </c>
      <c r="BL48" s="2" t="s">
        <v>187</v>
      </c>
      <c r="BM48" s="4">
        <v>43283.35800925926</v>
      </c>
      <c r="BN48" s="4">
        <v>43283.389062499999</v>
      </c>
      <c r="BO48" s="4">
        <v>43283.389062499999</v>
      </c>
      <c r="BP48" t="s">
        <v>92</v>
      </c>
      <c r="BQ48" t="s">
        <v>93</v>
      </c>
      <c r="BR48" t="s">
        <v>94</v>
      </c>
    </row>
    <row r="49" spans="1:70" x14ac:dyDescent="0.3">
      <c r="A49" t="str">
        <f>"200026B0100"</f>
        <v>200026B0100</v>
      </c>
      <c r="B49" t="s">
        <v>188</v>
      </c>
      <c r="C49">
        <v>20</v>
      </c>
      <c r="D49" t="s">
        <v>88</v>
      </c>
      <c r="E49">
        <v>2</v>
      </c>
      <c r="F49" t="s">
        <v>89</v>
      </c>
      <c r="G49">
        <v>26</v>
      </c>
      <c r="H49">
        <v>1</v>
      </c>
      <c r="I49" t="s">
        <v>90</v>
      </c>
      <c r="J49">
        <v>0</v>
      </c>
      <c r="K49">
        <v>2</v>
      </c>
      <c r="L49">
        <v>5</v>
      </c>
      <c r="M49">
        <v>100</v>
      </c>
      <c r="N49">
        <v>344</v>
      </c>
      <c r="O49">
        <v>0</v>
      </c>
      <c r="P49">
        <v>344</v>
      </c>
      <c r="Q49">
        <v>198</v>
      </c>
      <c r="R49">
        <v>74</v>
      </c>
      <c r="S49">
        <v>1</v>
      </c>
      <c r="T49">
        <v>4</v>
      </c>
      <c r="U49">
        <v>2</v>
      </c>
      <c r="V49">
        <v>2</v>
      </c>
      <c r="X49">
        <v>3</v>
      </c>
      <c r="Y49">
        <v>25</v>
      </c>
      <c r="Z49">
        <v>3</v>
      </c>
      <c r="AA49">
        <v>0</v>
      </c>
      <c r="AC49">
        <v>3</v>
      </c>
      <c r="AD49">
        <v>2</v>
      </c>
      <c r="AE49">
        <v>1</v>
      </c>
      <c r="AF49">
        <v>0</v>
      </c>
      <c r="AG49">
        <v>0</v>
      </c>
      <c r="AH49">
        <v>4</v>
      </c>
      <c r="AI49">
        <v>0</v>
      </c>
      <c r="AJ49">
        <v>0</v>
      </c>
      <c r="AK49">
        <v>5</v>
      </c>
      <c r="AL49">
        <v>1</v>
      </c>
      <c r="AM49">
        <v>0</v>
      </c>
      <c r="AN49">
        <v>0</v>
      </c>
      <c r="BC49" t="s">
        <v>105</v>
      </c>
      <c r="BD49">
        <v>16</v>
      </c>
      <c r="BE49">
        <v>344</v>
      </c>
      <c r="BF49">
        <v>344</v>
      </c>
      <c r="BG49">
        <v>424</v>
      </c>
      <c r="BI49" t="s">
        <v>106</v>
      </c>
      <c r="BJ49">
        <v>1</v>
      </c>
      <c r="BL49" t="s">
        <v>189</v>
      </c>
      <c r="BM49" s="4">
        <v>43283.388009259259</v>
      </c>
      <c r="BN49" s="4">
        <v>43283.392048611109</v>
      </c>
      <c r="BO49" s="4">
        <v>43283.392048611109</v>
      </c>
      <c r="BP49" t="s">
        <v>92</v>
      </c>
      <c r="BQ49" t="s">
        <v>93</v>
      </c>
      <c r="BR49" t="s">
        <v>94</v>
      </c>
    </row>
    <row r="50" spans="1:70" x14ac:dyDescent="0.3">
      <c r="A50" t="str">
        <f>"200026C0100"</f>
        <v>200026C0100</v>
      </c>
      <c r="B50" t="s">
        <v>190</v>
      </c>
      <c r="C50">
        <v>20</v>
      </c>
      <c r="D50" t="s">
        <v>88</v>
      </c>
      <c r="E50">
        <v>2</v>
      </c>
      <c r="F50" t="s">
        <v>89</v>
      </c>
      <c r="G50">
        <v>26</v>
      </c>
      <c r="H50">
        <v>1</v>
      </c>
      <c r="I50" t="s">
        <v>98</v>
      </c>
      <c r="J50">
        <v>0</v>
      </c>
      <c r="K50">
        <v>2</v>
      </c>
      <c r="L50">
        <v>5</v>
      </c>
      <c r="M50">
        <v>113</v>
      </c>
      <c r="N50">
        <v>447</v>
      </c>
      <c r="O50">
        <v>0</v>
      </c>
      <c r="P50">
        <v>334</v>
      </c>
      <c r="Q50">
        <v>195</v>
      </c>
      <c r="R50">
        <v>53</v>
      </c>
      <c r="S50">
        <v>5</v>
      </c>
      <c r="T50">
        <v>8</v>
      </c>
      <c r="U50">
        <v>4</v>
      </c>
      <c r="V50" t="s">
        <v>105</v>
      </c>
      <c r="X50" t="s">
        <v>105</v>
      </c>
      <c r="Y50">
        <v>39</v>
      </c>
      <c r="Z50" t="s">
        <v>105</v>
      </c>
      <c r="AA50" t="s">
        <v>105</v>
      </c>
      <c r="AC50">
        <v>6</v>
      </c>
      <c r="AD50" t="s">
        <v>105</v>
      </c>
      <c r="AE50" t="s">
        <v>105</v>
      </c>
      <c r="AF50" t="s">
        <v>105</v>
      </c>
      <c r="AG50">
        <v>3</v>
      </c>
      <c r="AH50" t="s">
        <v>105</v>
      </c>
      <c r="AI50">
        <v>2</v>
      </c>
      <c r="AJ50" t="s">
        <v>105</v>
      </c>
      <c r="AK50" t="s">
        <v>105</v>
      </c>
      <c r="AL50">
        <v>4</v>
      </c>
      <c r="AM50" t="s">
        <v>105</v>
      </c>
      <c r="AN50" t="s">
        <v>105</v>
      </c>
      <c r="BC50" t="s">
        <v>105</v>
      </c>
      <c r="BD50">
        <v>15</v>
      </c>
      <c r="BE50" t="s">
        <v>105</v>
      </c>
      <c r="BF50">
        <v>334</v>
      </c>
      <c r="BG50">
        <v>423</v>
      </c>
      <c r="BI50" t="s">
        <v>106</v>
      </c>
      <c r="BJ50">
        <v>1</v>
      </c>
      <c r="BL50" t="s">
        <v>191</v>
      </c>
      <c r="BM50" s="4">
        <v>43283.390370370369</v>
      </c>
      <c r="BN50" s="4">
        <v>43283.394363425927</v>
      </c>
      <c r="BO50" s="4">
        <v>43283.394363425927</v>
      </c>
      <c r="BP50" t="s">
        <v>92</v>
      </c>
      <c r="BQ50" t="s">
        <v>93</v>
      </c>
      <c r="BR50" t="s">
        <v>94</v>
      </c>
    </row>
    <row r="51" spans="1:70" x14ac:dyDescent="0.3">
      <c r="A51" t="str">
        <f>"200027B0100"</f>
        <v>200027B0100</v>
      </c>
      <c r="B51" t="s">
        <v>192</v>
      </c>
      <c r="C51">
        <v>20</v>
      </c>
      <c r="D51" t="s">
        <v>88</v>
      </c>
      <c r="E51">
        <v>2</v>
      </c>
      <c r="F51" t="s">
        <v>89</v>
      </c>
      <c r="G51">
        <v>27</v>
      </c>
      <c r="H51">
        <v>1</v>
      </c>
      <c r="I51" t="s">
        <v>90</v>
      </c>
      <c r="J51">
        <v>0</v>
      </c>
      <c r="K51">
        <v>2</v>
      </c>
      <c r="L51">
        <v>5</v>
      </c>
      <c r="M51">
        <v>208</v>
      </c>
      <c r="N51">
        <v>522</v>
      </c>
      <c r="O51">
        <v>0</v>
      </c>
      <c r="P51">
        <v>522</v>
      </c>
      <c r="Q51">
        <v>175</v>
      </c>
      <c r="R51">
        <v>117</v>
      </c>
      <c r="S51">
        <v>1</v>
      </c>
      <c r="T51">
        <v>100</v>
      </c>
      <c r="U51">
        <v>3</v>
      </c>
      <c r="V51">
        <v>5</v>
      </c>
      <c r="X51">
        <v>5</v>
      </c>
      <c r="Y51">
        <v>84</v>
      </c>
      <c r="Z51">
        <v>2</v>
      </c>
      <c r="AA51">
        <v>2</v>
      </c>
      <c r="AC51">
        <v>4</v>
      </c>
      <c r="AD51">
        <v>0</v>
      </c>
      <c r="AE51">
        <v>0</v>
      </c>
      <c r="AF51">
        <v>0</v>
      </c>
      <c r="AG51">
        <v>6</v>
      </c>
      <c r="AH51">
        <v>0</v>
      </c>
      <c r="AI51">
        <v>0</v>
      </c>
      <c r="AJ51">
        <v>0</v>
      </c>
      <c r="AK51">
        <v>2</v>
      </c>
      <c r="AL51">
        <v>0</v>
      </c>
      <c r="AM51">
        <v>0</v>
      </c>
      <c r="AN51">
        <v>0</v>
      </c>
      <c r="BC51">
        <v>0</v>
      </c>
      <c r="BD51">
        <v>16</v>
      </c>
      <c r="BE51">
        <v>522</v>
      </c>
      <c r="BF51">
        <v>522</v>
      </c>
      <c r="BG51">
        <v>708</v>
      </c>
      <c r="BJ51">
        <v>1</v>
      </c>
      <c r="BL51" t="s">
        <v>193</v>
      </c>
      <c r="BM51" s="4">
        <v>43283.366539351853</v>
      </c>
      <c r="BN51" s="4">
        <v>43283.374166666668</v>
      </c>
      <c r="BO51" s="4">
        <v>43283.374166666668</v>
      </c>
      <c r="BP51" t="s">
        <v>92</v>
      </c>
      <c r="BQ51" t="s">
        <v>93</v>
      </c>
      <c r="BR51" t="s">
        <v>94</v>
      </c>
    </row>
    <row r="52" spans="1:70" x14ac:dyDescent="0.3">
      <c r="A52" t="str">
        <f>"200028B0100"</f>
        <v>200028B0100</v>
      </c>
      <c r="B52" t="s">
        <v>194</v>
      </c>
      <c r="C52">
        <v>20</v>
      </c>
      <c r="D52" t="s">
        <v>88</v>
      </c>
      <c r="E52">
        <v>2</v>
      </c>
      <c r="F52" t="s">
        <v>89</v>
      </c>
      <c r="G52">
        <v>28</v>
      </c>
      <c r="H52">
        <v>1</v>
      </c>
      <c r="I52" t="s">
        <v>90</v>
      </c>
      <c r="J52">
        <v>0</v>
      </c>
      <c r="K52">
        <v>2</v>
      </c>
      <c r="L52">
        <v>5</v>
      </c>
      <c r="M52">
        <v>98</v>
      </c>
      <c r="N52">
        <v>401</v>
      </c>
      <c r="O52">
        <v>0</v>
      </c>
      <c r="P52">
        <v>303</v>
      </c>
      <c r="Q52">
        <v>105</v>
      </c>
      <c r="R52">
        <v>94</v>
      </c>
      <c r="S52">
        <v>8</v>
      </c>
      <c r="T52">
        <v>16</v>
      </c>
      <c r="U52">
        <v>5</v>
      </c>
      <c r="V52">
        <v>4</v>
      </c>
      <c r="X52">
        <v>4</v>
      </c>
      <c r="Y52">
        <v>45</v>
      </c>
      <c r="Z52">
        <v>0</v>
      </c>
      <c r="AA52">
        <v>1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BC52">
        <v>0</v>
      </c>
      <c r="BD52">
        <v>20</v>
      </c>
      <c r="BE52">
        <v>303</v>
      </c>
      <c r="BF52">
        <v>303</v>
      </c>
      <c r="BG52">
        <v>379</v>
      </c>
      <c r="BJ52">
        <v>1</v>
      </c>
      <c r="BL52" t="s">
        <v>195</v>
      </c>
      <c r="BM52" s="4">
        <v>43283.365381944444</v>
      </c>
      <c r="BN52" s="4">
        <v>43283.375173611108</v>
      </c>
      <c r="BO52" s="4">
        <v>43283.375173611108</v>
      </c>
      <c r="BP52" t="s">
        <v>92</v>
      </c>
      <c r="BQ52" t="s">
        <v>93</v>
      </c>
      <c r="BR52" t="s">
        <v>94</v>
      </c>
    </row>
    <row r="53" spans="1:70" x14ac:dyDescent="0.3">
      <c r="A53" t="str">
        <f>"200028C0100"</f>
        <v>200028C0100</v>
      </c>
      <c r="B53" t="s">
        <v>196</v>
      </c>
      <c r="C53">
        <v>20</v>
      </c>
      <c r="D53" t="s">
        <v>88</v>
      </c>
      <c r="E53">
        <v>2</v>
      </c>
      <c r="F53" t="s">
        <v>89</v>
      </c>
      <c r="G53">
        <v>28</v>
      </c>
      <c r="H53">
        <v>1</v>
      </c>
      <c r="I53" t="s">
        <v>98</v>
      </c>
      <c r="J53">
        <v>0</v>
      </c>
      <c r="K53">
        <v>2</v>
      </c>
      <c r="L53">
        <v>5</v>
      </c>
      <c r="BG53">
        <v>378</v>
      </c>
      <c r="BI53" t="s">
        <v>122</v>
      </c>
      <c r="BJ53">
        <v>0</v>
      </c>
      <c r="BL53" t="s">
        <v>197</v>
      </c>
      <c r="BM53" s="4">
        <v>43283.824733796297</v>
      </c>
      <c r="BN53" s="4">
        <v>43283.826828703706</v>
      </c>
      <c r="BO53" s="4">
        <v>43283.826828703706</v>
      </c>
      <c r="BP53" t="s">
        <v>92</v>
      </c>
      <c r="BQ53" t="s">
        <v>93</v>
      </c>
      <c r="BR53" t="s">
        <v>94</v>
      </c>
    </row>
    <row r="54" spans="1:70" x14ac:dyDescent="0.3">
      <c r="A54" t="str">
        <f>"200029B0100"</f>
        <v>200029B0100</v>
      </c>
      <c r="B54" t="s">
        <v>198</v>
      </c>
      <c r="C54">
        <v>20</v>
      </c>
      <c r="D54" t="s">
        <v>88</v>
      </c>
      <c r="E54">
        <v>2</v>
      </c>
      <c r="F54" t="s">
        <v>89</v>
      </c>
      <c r="G54">
        <v>29</v>
      </c>
      <c r="H54">
        <v>1</v>
      </c>
      <c r="I54" t="s">
        <v>90</v>
      </c>
      <c r="J54">
        <v>0</v>
      </c>
      <c r="K54">
        <v>2</v>
      </c>
      <c r="L54">
        <v>5</v>
      </c>
      <c r="M54">
        <v>118</v>
      </c>
      <c r="N54">
        <v>324</v>
      </c>
      <c r="O54">
        <v>0</v>
      </c>
      <c r="P54">
        <v>324</v>
      </c>
      <c r="Q54">
        <v>226</v>
      </c>
      <c r="R54">
        <v>60</v>
      </c>
      <c r="S54">
        <v>1</v>
      </c>
      <c r="T54">
        <v>4</v>
      </c>
      <c r="U54">
        <v>5</v>
      </c>
      <c r="V54">
        <v>0</v>
      </c>
      <c r="X54">
        <v>3</v>
      </c>
      <c r="Y54">
        <v>15</v>
      </c>
      <c r="Z54">
        <v>0</v>
      </c>
      <c r="AA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BC54">
        <v>0</v>
      </c>
      <c r="BD54">
        <v>8</v>
      </c>
      <c r="BE54">
        <v>324</v>
      </c>
      <c r="BF54">
        <v>322</v>
      </c>
      <c r="BG54">
        <v>420</v>
      </c>
      <c r="BJ54">
        <v>1</v>
      </c>
      <c r="BL54" t="s">
        <v>199</v>
      </c>
      <c r="BM54" s="4">
        <v>43283.292037037034</v>
      </c>
      <c r="BN54" s="4">
        <v>43283.31763888889</v>
      </c>
      <c r="BO54" s="4">
        <v>43283.31763888889</v>
      </c>
      <c r="BP54" t="s">
        <v>92</v>
      </c>
      <c r="BQ54" t="s">
        <v>93</v>
      </c>
      <c r="BR54" t="s">
        <v>94</v>
      </c>
    </row>
    <row r="55" spans="1:70" x14ac:dyDescent="0.3">
      <c r="A55" t="str">
        <f>"200029C0100"</f>
        <v>200029C0100</v>
      </c>
      <c r="B55" t="s">
        <v>200</v>
      </c>
      <c r="C55">
        <v>20</v>
      </c>
      <c r="D55" t="s">
        <v>88</v>
      </c>
      <c r="E55">
        <v>2</v>
      </c>
      <c r="F55" t="s">
        <v>89</v>
      </c>
      <c r="G55">
        <v>29</v>
      </c>
      <c r="H55">
        <v>1</v>
      </c>
      <c r="I55" t="s">
        <v>98</v>
      </c>
      <c r="J55">
        <v>0</v>
      </c>
      <c r="K55">
        <v>2</v>
      </c>
      <c r="L55">
        <v>5</v>
      </c>
      <c r="M55">
        <v>92</v>
      </c>
      <c r="N55">
        <v>350</v>
      </c>
      <c r="O55">
        <v>0</v>
      </c>
      <c r="P55">
        <v>350</v>
      </c>
      <c r="Q55">
        <v>228</v>
      </c>
      <c r="R55">
        <v>49</v>
      </c>
      <c r="S55">
        <v>3</v>
      </c>
      <c r="T55">
        <v>9</v>
      </c>
      <c r="U55">
        <v>1</v>
      </c>
      <c r="V55">
        <v>4</v>
      </c>
      <c r="X55">
        <v>1</v>
      </c>
      <c r="Y55">
        <v>30</v>
      </c>
      <c r="Z55">
        <v>1</v>
      </c>
      <c r="AA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BC55">
        <v>0</v>
      </c>
      <c r="BD55">
        <v>16</v>
      </c>
      <c r="BE55">
        <v>350</v>
      </c>
      <c r="BF55">
        <v>350</v>
      </c>
      <c r="BG55">
        <v>420</v>
      </c>
      <c r="BJ55">
        <v>1</v>
      </c>
      <c r="BL55" t="s">
        <v>201</v>
      </c>
      <c r="BM55" s="4">
        <v>43283.302499999998</v>
      </c>
      <c r="BN55" s="4">
        <v>43283.32608796296</v>
      </c>
      <c r="BO55" s="4">
        <v>43283.32608796296</v>
      </c>
      <c r="BP55" t="s">
        <v>92</v>
      </c>
      <c r="BQ55" t="s">
        <v>93</v>
      </c>
      <c r="BR55" t="s">
        <v>94</v>
      </c>
    </row>
    <row r="56" spans="1:70" x14ac:dyDescent="0.3">
      <c r="A56" t="str">
        <f>"200029E0100"</f>
        <v>200029E0100</v>
      </c>
      <c r="B56" s="2" t="s">
        <v>202</v>
      </c>
      <c r="C56">
        <v>20</v>
      </c>
      <c r="D56" t="s">
        <v>88</v>
      </c>
      <c r="E56">
        <v>2</v>
      </c>
      <c r="F56" t="s">
        <v>89</v>
      </c>
      <c r="G56">
        <v>29</v>
      </c>
      <c r="H56">
        <v>1</v>
      </c>
      <c r="I56" t="s">
        <v>156</v>
      </c>
      <c r="J56">
        <v>0</v>
      </c>
      <c r="K56">
        <v>2</v>
      </c>
      <c r="L56">
        <v>5</v>
      </c>
      <c r="M56">
        <v>58</v>
      </c>
      <c r="N56">
        <v>208</v>
      </c>
      <c r="O56">
        <v>3</v>
      </c>
      <c r="P56">
        <v>208</v>
      </c>
      <c r="Q56">
        <v>138</v>
      </c>
      <c r="R56">
        <v>40</v>
      </c>
      <c r="S56">
        <v>4</v>
      </c>
      <c r="T56">
        <v>4</v>
      </c>
      <c r="U56">
        <v>4</v>
      </c>
      <c r="V56">
        <v>0</v>
      </c>
      <c r="X56">
        <v>1</v>
      </c>
      <c r="Y56">
        <v>11</v>
      </c>
      <c r="Z56">
        <v>0</v>
      </c>
      <c r="AA56">
        <v>0</v>
      </c>
      <c r="AC56">
        <v>0</v>
      </c>
      <c r="AD56">
        <v>2</v>
      </c>
      <c r="AE56">
        <v>1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0</v>
      </c>
      <c r="AL56">
        <v>0</v>
      </c>
      <c r="AM56">
        <v>1</v>
      </c>
      <c r="AN56">
        <v>0</v>
      </c>
      <c r="BC56">
        <v>0</v>
      </c>
      <c r="BD56">
        <v>1</v>
      </c>
      <c r="BE56">
        <v>208</v>
      </c>
      <c r="BF56">
        <v>208</v>
      </c>
      <c r="BG56">
        <v>244</v>
      </c>
      <c r="BJ56">
        <v>1</v>
      </c>
      <c r="BL56" t="s">
        <v>203</v>
      </c>
      <c r="BM56" s="4">
        <v>43283.29415509259</v>
      </c>
      <c r="BN56" s="4">
        <v>43283.319328703707</v>
      </c>
      <c r="BO56" s="4">
        <v>43283.319328703707</v>
      </c>
      <c r="BP56" t="s">
        <v>92</v>
      </c>
      <c r="BQ56" t="s">
        <v>93</v>
      </c>
      <c r="BR56" t="s">
        <v>94</v>
      </c>
    </row>
    <row r="57" spans="1:70" x14ac:dyDescent="0.3">
      <c r="A57" t="str">
        <f>"200030B0100"</f>
        <v>200030B0100</v>
      </c>
      <c r="B57" t="s">
        <v>204</v>
      </c>
      <c r="C57">
        <v>20</v>
      </c>
      <c r="D57" t="s">
        <v>88</v>
      </c>
      <c r="E57">
        <v>2</v>
      </c>
      <c r="F57" t="s">
        <v>89</v>
      </c>
      <c r="G57">
        <v>30</v>
      </c>
      <c r="H57">
        <v>1</v>
      </c>
      <c r="I57" t="s">
        <v>90</v>
      </c>
      <c r="J57">
        <v>0</v>
      </c>
      <c r="K57">
        <v>2</v>
      </c>
      <c r="L57">
        <v>5</v>
      </c>
      <c r="M57">
        <v>111</v>
      </c>
      <c r="N57">
        <v>328</v>
      </c>
      <c r="O57">
        <v>0</v>
      </c>
      <c r="P57">
        <v>327</v>
      </c>
      <c r="Q57">
        <v>167</v>
      </c>
      <c r="R57">
        <v>68</v>
      </c>
      <c r="S57">
        <v>3</v>
      </c>
      <c r="T57">
        <v>20</v>
      </c>
      <c r="U57">
        <v>4</v>
      </c>
      <c r="V57">
        <v>3</v>
      </c>
      <c r="X57">
        <v>1</v>
      </c>
      <c r="Y57">
        <v>19</v>
      </c>
      <c r="Z57">
        <v>5</v>
      </c>
      <c r="AA57">
        <v>0</v>
      </c>
      <c r="AC57">
        <v>3</v>
      </c>
      <c r="AD57">
        <v>2</v>
      </c>
      <c r="AE57">
        <v>0</v>
      </c>
      <c r="AF57">
        <v>0</v>
      </c>
      <c r="AG57">
        <v>2</v>
      </c>
      <c r="AH57">
        <v>6</v>
      </c>
      <c r="AI57">
        <v>0</v>
      </c>
      <c r="AJ57">
        <v>1</v>
      </c>
      <c r="AK57">
        <v>2</v>
      </c>
      <c r="AL57">
        <v>0</v>
      </c>
      <c r="AM57">
        <v>0</v>
      </c>
      <c r="AN57">
        <v>0</v>
      </c>
      <c r="BC57">
        <v>0</v>
      </c>
      <c r="BD57">
        <v>21</v>
      </c>
      <c r="BE57">
        <v>327</v>
      </c>
      <c r="BF57">
        <v>327</v>
      </c>
      <c r="BG57">
        <v>416</v>
      </c>
      <c r="BJ57">
        <v>1</v>
      </c>
      <c r="BL57" t="s">
        <v>205</v>
      </c>
      <c r="BM57" s="4">
        <v>43283.358923611115</v>
      </c>
      <c r="BN57" s="4">
        <v>43283.370034722226</v>
      </c>
      <c r="BO57" s="4">
        <v>43283.370034722226</v>
      </c>
      <c r="BP57" t="s">
        <v>92</v>
      </c>
      <c r="BQ57" t="s">
        <v>93</v>
      </c>
      <c r="BR57" t="s">
        <v>94</v>
      </c>
    </row>
    <row r="58" spans="1:70" x14ac:dyDescent="0.3">
      <c r="A58" t="str">
        <f>"200030C0100"</f>
        <v>200030C0100</v>
      </c>
      <c r="B58" t="s">
        <v>206</v>
      </c>
      <c r="C58">
        <v>20</v>
      </c>
      <c r="D58" t="s">
        <v>88</v>
      </c>
      <c r="E58">
        <v>2</v>
      </c>
      <c r="F58" t="s">
        <v>89</v>
      </c>
      <c r="G58">
        <v>30</v>
      </c>
      <c r="H58">
        <v>1</v>
      </c>
      <c r="I58" t="s">
        <v>98</v>
      </c>
      <c r="J58">
        <v>0</v>
      </c>
      <c r="K58">
        <v>2</v>
      </c>
      <c r="L58">
        <v>5</v>
      </c>
      <c r="M58">
        <v>106</v>
      </c>
      <c r="N58">
        <v>333</v>
      </c>
      <c r="O58">
        <v>1</v>
      </c>
      <c r="P58">
        <v>332</v>
      </c>
      <c r="Q58">
        <v>155</v>
      </c>
      <c r="R58">
        <v>82</v>
      </c>
      <c r="S58">
        <v>2</v>
      </c>
      <c r="T58">
        <v>36</v>
      </c>
      <c r="U58">
        <v>2</v>
      </c>
      <c r="V58">
        <v>0</v>
      </c>
      <c r="X58">
        <v>9</v>
      </c>
      <c r="Y58">
        <v>14</v>
      </c>
      <c r="Z58">
        <v>0</v>
      </c>
      <c r="AA58">
        <v>2</v>
      </c>
      <c r="AC58">
        <v>1</v>
      </c>
      <c r="AD58">
        <v>1</v>
      </c>
      <c r="AE58">
        <v>0</v>
      </c>
      <c r="AF58">
        <v>1</v>
      </c>
      <c r="AG58">
        <v>1</v>
      </c>
      <c r="AH58">
        <v>5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BC58">
        <v>0</v>
      </c>
      <c r="BD58">
        <v>16</v>
      </c>
      <c r="BE58">
        <v>332</v>
      </c>
      <c r="BF58">
        <v>332</v>
      </c>
      <c r="BG58">
        <v>416</v>
      </c>
      <c r="BJ58">
        <v>1</v>
      </c>
      <c r="BL58" t="s">
        <v>207</v>
      </c>
      <c r="BM58" s="4">
        <v>43283.358819444446</v>
      </c>
      <c r="BN58" s="4">
        <v>43283.37</v>
      </c>
      <c r="BO58" s="4">
        <v>43283.37</v>
      </c>
      <c r="BP58" t="s">
        <v>92</v>
      </c>
      <c r="BQ58" t="s">
        <v>93</v>
      </c>
      <c r="BR58" t="s">
        <v>94</v>
      </c>
    </row>
    <row r="59" spans="1:70" x14ac:dyDescent="0.3">
      <c r="A59" t="str">
        <f>"200031B0100"</f>
        <v>200031B0100</v>
      </c>
      <c r="B59" t="s">
        <v>208</v>
      </c>
      <c r="C59">
        <v>20</v>
      </c>
      <c r="D59" t="s">
        <v>88</v>
      </c>
      <c r="E59">
        <v>2</v>
      </c>
      <c r="F59" t="s">
        <v>89</v>
      </c>
      <c r="G59">
        <v>31</v>
      </c>
      <c r="H59">
        <v>1</v>
      </c>
      <c r="I59" t="s">
        <v>90</v>
      </c>
      <c r="J59">
        <v>0</v>
      </c>
      <c r="K59">
        <v>2</v>
      </c>
      <c r="L59">
        <v>5</v>
      </c>
      <c r="M59">
        <v>136</v>
      </c>
      <c r="N59">
        <v>486</v>
      </c>
      <c r="O59">
        <v>3</v>
      </c>
      <c r="P59">
        <v>485</v>
      </c>
      <c r="Q59">
        <v>237</v>
      </c>
      <c r="R59">
        <v>141</v>
      </c>
      <c r="S59">
        <v>1</v>
      </c>
      <c r="T59">
        <v>8</v>
      </c>
      <c r="U59">
        <v>4</v>
      </c>
      <c r="V59">
        <v>2</v>
      </c>
      <c r="X59">
        <v>5</v>
      </c>
      <c r="Y59">
        <v>35</v>
      </c>
      <c r="Z59">
        <v>3</v>
      </c>
      <c r="AA59">
        <v>0</v>
      </c>
      <c r="AC59">
        <v>3</v>
      </c>
      <c r="AD59">
        <v>0</v>
      </c>
      <c r="AE59">
        <v>1</v>
      </c>
      <c r="AF59">
        <v>0</v>
      </c>
      <c r="AG59">
        <v>2</v>
      </c>
      <c r="AH59">
        <v>5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  <c r="BC59">
        <v>0</v>
      </c>
      <c r="BD59">
        <v>37</v>
      </c>
      <c r="BE59">
        <v>485</v>
      </c>
      <c r="BF59">
        <v>485</v>
      </c>
      <c r="BG59">
        <v>600</v>
      </c>
      <c r="BJ59">
        <v>1</v>
      </c>
      <c r="BL59" t="s">
        <v>209</v>
      </c>
      <c r="BM59" s="4">
        <v>43283.35434027778</v>
      </c>
      <c r="BN59" s="4">
        <v>43283.366585648146</v>
      </c>
      <c r="BO59" s="4">
        <v>43283.366585648146</v>
      </c>
      <c r="BP59" t="s">
        <v>92</v>
      </c>
      <c r="BQ59" t="s">
        <v>93</v>
      </c>
      <c r="BR59" t="s">
        <v>94</v>
      </c>
    </row>
    <row r="60" spans="1:70" x14ac:dyDescent="0.3">
      <c r="A60" t="str">
        <f>"200031C0100"</f>
        <v>200031C0100</v>
      </c>
      <c r="B60" t="s">
        <v>210</v>
      </c>
      <c r="C60">
        <v>20</v>
      </c>
      <c r="D60" t="s">
        <v>88</v>
      </c>
      <c r="E60">
        <v>2</v>
      </c>
      <c r="F60" t="s">
        <v>89</v>
      </c>
      <c r="G60">
        <v>31</v>
      </c>
      <c r="H60">
        <v>1</v>
      </c>
      <c r="I60" t="s">
        <v>98</v>
      </c>
      <c r="J60">
        <v>0</v>
      </c>
      <c r="K60">
        <v>2</v>
      </c>
      <c r="L60">
        <v>5</v>
      </c>
      <c r="M60">
        <v>145</v>
      </c>
      <c r="N60">
        <v>477</v>
      </c>
      <c r="O60">
        <v>1</v>
      </c>
      <c r="P60" t="s">
        <v>105</v>
      </c>
      <c r="Q60">
        <v>246</v>
      </c>
      <c r="R60">
        <v>136</v>
      </c>
      <c r="S60">
        <v>4</v>
      </c>
      <c r="T60">
        <v>4</v>
      </c>
      <c r="U60">
        <v>3</v>
      </c>
      <c r="V60">
        <v>5</v>
      </c>
      <c r="X60">
        <v>5</v>
      </c>
      <c r="Y60">
        <v>35</v>
      </c>
      <c r="Z60">
        <v>2</v>
      </c>
      <c r="AA60">
        <v>0</v>
      </c>
      <c r="AC60">
        <v>0</v>
      </c>
      <c r="AD60">
        <v>1</v>
      </c>
      <c r="AE60">
        <v>2</v>
      </c>
      <c r="AF60">
        <v>1</v>
      </c>
      <c r="AG60">
        <v>1</v>
      </c>
      <c r="AH60">
        <v>3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BC60">
        <v>0</v>
      </c>
      <c r="BD60">
        <v>29</v>
      </c>
      <c r="BE60">
        <v>477</v>
      </c>
      <c r="BF60">
        <v>477</v>
      </c>
      <c r="BG60">
        <v>600</v>
      </c>
      <c r="BJ60">
        <v>1</v>
      </c>
      <c r="BL60" t="s">
        <v>211</v>
      </c>
      <c r="BM60" s="4">
        <v>43283.292997685188</v>
      </c>
      <c r="BN60" s="4">
        <v>43283.318599537037</v>
      </c>
      <c r="BO60" s="4">
        <v>43283.318599537037</v>
      </c>
      <c r="BP60" t="s">
        <v>92</v>
      </c>
      <c r="BQ60" t="s">
        <v>93</v>
      </c>
      <c r="BR60" t="s">
        <v>94</v>
      </c>
    </row>
    <row r="61" spans="1:70" x14ac:dyDescent="0.3">
      <c r="A61" t="str">
        <f>"200031C0200"</f>
        <v>200031C0200</v>
      </c>
      <c r="B61" t="s">
        <v>212</v>
      </c>
      <c r="C61">
        <v>20</v>
      </c>
      <c r="D61" t="s">
        <v>88</v>
      </c>
      <c r="E61">
        <v>2</v>
      </c>
      <c r="F61" t="s">
        <v>89</v>
      </c>
      <c r="G61">
        <v>31</v>
      </c>
      <c r="H61">
        <v>2</v>
      </c>
      <c r="I61" t="s">
        <v>98</v>
      </c>
      <c r="J61">
        <v>0</v>
      </c>
      <c r="K61">
        <v>2</v>
      </c>
      <c r="L61">
        <v>5</v>
      </c>
      <c r="M61">
        <v>173</v>
      </c>
      <c r="N61">
        <v>449</v>
      </c>
      <c r="O61">
        <v>1</v>
      </c>
      <c r="P61">
        <v>449</v>
      </c>
      <c r="Q61">
        <v>243</v>
      </c>
      <c r="R61">
        <v>112</v>
      </c>
      <c r="S61">
        <v>4</v>
      </c>
      <c r="T61">
        <v>9</v>
      </c>
      <c r="U61">
        <v>4</v>
      </c>
      <c r="V61">
        <v>4</v>
      </c>
      <c r="X61">
        <v>1</v>
      </c>
      <c r="Y61">
        <v>35</v>
      </c>
      <c r="Z61">
        <v>1</v>
      </c>
      <c r="AA61">
        <v>0</v>
      </c>
      <c r="AC61">
        <v>1</v>
      </c>
      <c r="AD61">
        <v>1</v>
      </c>
      <c r="AE61">
        <v>1</v>
      </c>
      <c r="AF61">
        <v>0</v>
      </c>
      <c r="AG61">
        <v>1</v>
      </c>
      <c r="AH61">
        <v>4</v>
      </c>
      <c r="AI61">
        <v>0</v>
      </c>
      <c r="AJ61">
        <v>0</v>
      </c>
      <c r="AK61">
        <v>0</v>
      </c>
      <c r="AL61">
        <v>1</v>
      </c>
      <c r="AM61">
        <v>0</v>
      </c>
      <c r="AN61">
        <v>0</v>
      </c>
      <c r="BC61">
        <v>0</v>
      </c>
      <c r="BD61">
        <v>27</v>
      </c>
      <c r="BE61">
        <v>449</v>
      </c>
      <c r="BF61">
        <v>449</v>
      </c>
      <c r="BG61">
        <v>600</v>
      </c>
      <c r="BJ61">
        <v>1</v>
      </c>
      <c r="BL61" t="s">
        <v>213</v>
      </c>
      <c r="BM61" s="4">
        <v>43283.356076388889</v>
      </c>
      <c r="BN61" s="4">
        <v>43283.368750000001</v>
      </c>
      <c r="BO61" s="4">
        <v>43283.368750000001</v>
      </c>
      <c r="BP61" t="s">
        <v>92</v>
      </c>
      <c r="BQ61" t="s">
        <v>93</v>
      </c>
      <c r="BR61" t="s">
        <v>94</v>
      </c>
    </row>
    <row r="62" spans="1:70" x14ac:dyDescent="0.3">
      <c r="A62" t="str">
        <f>"200032B0100"</f>
        <v>200032B0100</v>
      </c>
      <c r="B62" t="s">
        <v>214</v>
      </c>
      <c r="C62">
        <v>20</v>
      </c>
      <c r="D62" t="s">
        <v>88</v>
      </c>
      <c r="E62">
        <v>2</v>
      </c>
      <c r="F62" t="s">
        <v>89</v>
      </c>
      <c r="G62">
        <v>32</v>
      </c>
      <c r="H62">
        <v>1</v>
      </c>
      <c r="I62" t="s">
        <v>90</v>
      </c>
      <c r="J62">
        <v>0</v>
      </c>
      <c r="K62">
        <v>2</v>
      </c>
      <c r="L62">
        <v>5</v>
      </c>
      <c r="M62">
        <v>85</v>
      </c>
      <c r="N62">
        <v>352</v>
      </c>
      <c r="O62">
        <v>5</v>
      </c>
      <c r="P62">
        <v>352</v>
      </c>
      <c r="Q62">
        <v>134</v>
      </c>
      <c r="R62">
        <v>138</v>
      </c>
      <c r="S62">
        <v>3</v>
      </c>
      <c r="T62">
        <v>3</v>
      </c>
      <c r="U62">
        <v>5</v>
      </c>
      <c r="V62">
        <v>5</v>
      </c>
      <c r="X62">
        <v>1</v>
      </c>
      <c r="Y62">
        <v>40</v>
      </c>
      <c r="Z62">
        <v>1</v>
      </c>
      <c r="AA62">
        <v>0</v>
      </c>
      <c r="AC62">
        <v>0</v>
      </c>
      <c r="AD62">
        <v>1</v>
      </c>
      <c r="AE62">
        <v>0</v>
      </c>
      <c r="AF62">
        <v>0</v>
      </c>
      <c r="AG62">
        <v>1</v>
      </c>
      <c r="AH62">
        <v>1</v>
      </c>
      <c r="AI62">
        <v>0</v>
      </c>
      <c r="AJ62">
        <v>0</v>
      </c>
      <c r="AK62">
        <v>1</v>
      </c>
      <c r="AL62">
        <v>0</v>
      </c>
      <c r="AM62">
        <v>0</v>
      </c>
      <c r="AN62">
        <v>0</v>
      </c>
      <c r="BC62">
        <v>0</v>
      </c>
      <c r="BD62">
        <v>20</v>
      </c>
      <c r="BE62">
        <v>352</v>
      </c>
      <c r="BF62">
        <v>354</v>
      </c>
      <c r="BG62">
        <v>415</v>
      </c>
      <c r="BJ62">
        <v>1</v>
      </c>
      <c r="BL62" t="s">
        <v>215</v>
      </c>
      <c r="BM62" s="4">
        <v>43283.357141203705</v>
      </c>
      <c r="BN62" s="4">
        <v>43283.368425925924</v>
      </c>
      <c r="BO62" s="4">
        <v>43283.368425925924</v>
      </c>
      <c r="BP62" t="s">
        <v>92</v>
      </c>
      <c r="BQ62" t="s">
        <v>93</v>
      </c>
      <c r="BR62" t="s">
        <v>94</v>
      </c>
    </row>
    <row r="63" spans="1:70" x14ac:dyDescent="0.3">
      <c r="A63" t="str">
        <f>"200033B0100"</f>
        <v>200033B0100</v>
      </c>
      <c r="B63" t="s">
        <v>216</v>
      </c>
      <c r="C63">
        <v>20</v>
      </c>
      <c r="D63" t="s">
        <v>88</v>
      </c>
      <c r="E63">
        <v>2</v>
      </c>
      <c r="F63" t="s">
        <v>89</v>
      </c>
      <c r="G63">
        <v>33</v>
      </c>
      <c r="H63">
        <v>1</v>
      </c>
      <c r="I63" t="s">
        <v>90</v>
      </c>
      <c r="J63">
        <v>0</v>
      </c>
      <c r="K63">
        <v>2</v>
      </c>
      <c r="L63">
        <v>5</v>
      </c>
      <c r="BG63">
        <v>401</v>
      </c>
      <c r="BI63" t="s">
        <v>122</v>
      </c>
      <c r="BJ63">
        <v>0</v>
      </c>
      <c r="BL63" t="s">
        <v>217</v>
      </c>
      <c r="BM63" s="4">
        <v>43283.826481481483</v>
      </c>
      <c r="BN63" s="4">
        <v>43283.827916666669</v>
      </c>
      <c r="BO63" s="4">
        <v>43283.827916666669</v>
      </c>
      <c r="BP63" t="s">
        <v>92</v>
      </c>
      <c r="BQ63" t="s">
        <v>93</v>
      </c>
      <c r="BR63" t="s">
        <v>94</v>
      </c>
    </row>
    <row r="64" spans="1:70" x14ac:dyDescent="0.3">
      <c r="A64" t="str">
        <f>"200033C0100"</f>
        <v>200033C0100</v>
      </c>
      <c r="B64" t="s">
        <v>218</v>
      </c>
      <c r="C64">
        <v>20</v>
      </c>
      <c r="D64" t="s">
        <v>88</v>
      </c>
      <c r="E64">
        <v>2</v>
      </c>
      <c r="F64" t="s">
        <v>89</v>
      </c>
      <c r="G64">
        <v>33</v>
      </c>
      <c r="H64">
        <v>1</v>
      </c>
      <c r="I64" t="s">
        <v>98</v>
      </c>
      <c r="J64">
        <v>0</v>
      </c>
      <c r="K64">
        <v>2</v>
      </c>
      <c r="L64">
        <v>5</v>
      </c>
      <c r="M64">
        <v>80</v>
      </c>
      <c r="N64">
        <v>342</v>
      </c>
      <c r="O64">
        <v>0</v>
      </c>
      <c r="P64">
        <v>342</v>
      </c>
      <c r="Q64">
        <v>75</v>
      </c>
      <c r="R64">
        <v>194</v>
      </c>
      <c r="S64">
        <v>4</v>
      </c>
      <c r="T64">
        <v>1</v>
      </c>
      <c r="U64">
        <v>2</v>
      </c>
      <c r="V64">
        <v>1</v>
      </c>
      <c r="X64">
        <v>1</v>
      </c>
      <c r="Y64">
        <v>34</v>
      </c>
      <c r="Z64">
        <v>1</v>
      </c>
      <c r="AA64">
        <v>0</v>
      </c>
      <c r="AC64">
        <v>9</v>
      </c>
      <c r="AD64">
        <v>0</v>
      </c>
      <c r="AE64">
        <v>1</v>
      </c>
      <c r="AF64">
        <v>0</v>
      </c>
      <c r="AG64">
        <v>0</v>
      </c>
      <c r="AH64">
        <v>3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BC64" t="s">
        <v>105</v>
      </c>
      <c r="BD64">
        <v>16</v>
      </c>
      <c r="BE64" t="s">
        <v>105</v>
      </c>
      <c r="BF64">
        <v>342</v>
      </c>
      <c r="BG64">
        <v>400</v>
      </c>
      <c r="BI64" t="s">
        <v>106</v>
      </c>
      <c r="BJ64">
        <v>1</v>
      </c>
      <c r="BL64" t="s">
        <v>219</v>
      </c>
      <c r="BM64" s="4">
        <v>43283.29115740741</v>
      </c>
      <c r="BN64" s="4">
        <v>43283.316284722219</v>
      </c>
      <c r="BO64" s="4">
        <v>43283.316284722219</v>
      </c>
      <c r="BP64" t="s">
        <v>92</v>
      </c>
      <c r="BQ64" t="s">
        <v>93</v>
      </c>
      <c r="BR64" t="s">
        <v>94</v>
      </c>
    </row>
    <row r="65" spans="1:70" x14ac:dyDescent="0.3">
      <c r="A65" t="str">
        <f>"200033E0100"</f>
        <v>200033E0100</v>
      </c>
      <c r="B65" s="2" t="s">
        <v>220</v>
      </c>
      <c r="C65">
        <v>20</v>
      </c>
      <c r="D65" t="s">
        <v>88</v>
      </c>
      <c r="E65">
        <v>2</v>
      </c>
      <c r="F65" t="s">
        <v>89</v>
      </c>
      <c r="G65">
        <v>33</v>
      </c>
      <c r="H65">
        <v>1</v>
      </c>
      <c r="I65" t="s">
        <v>156</v>
      </c>
      <c r="J65">
        <v>0</v>
      </c>
      <c r="K65">
        <v>2</v>
      </c>
      <c r="L65">
        <v>5</v>
      </c>
      <c r="M65">
        <v>84</v>
      </c>
      <c r="N65">
        <v>396</v>
      </c>
      <c r="O65">
        <v>0</v>
      </c>
      <c r="P65" t="s">
        <v>127</v>
      </c>
      <c r="Q65">
        <v>211</v>
      </c>
      <c r="R65">
        <v>109</v>
      </c>
      <c r="S65">
        <v>6</v>
      </c>
      <c r="T65">
        <v>1</v>
      </c>
      <c r="U65">
        <v>3</v>
      </c>
      <c r="V65">
        <v>1</v>
      </c>
      <c r="X65">
        <v>0</v>
      </c>
      <c r="Y65">
        <v>37</v>
      </c>
      <c r="Z65">
        <v>3</v>
      </c>
      <c r="AA65">
        <v>0</v>
      </c>
      <c r="AC65">
        <v>0</v>
      </c>
      <c r="AD65">
        <v>1</v>
      </c>
      <c r="AE65">
        <v>0</v>
      </c>
      <c r="AF65">
        <v>0</v>
      </c>
      <c r="AG65">
        <v>0</v>
      </c>
      <c r="AH65">
        <v>2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1</v>
      </c>
      <c r="BC65">
        <v>0</v>
      </c>
      <c r="BD65">
        <v>23</v>
      </c>
      <c r="BE65">
        <v>396</v>
      </c>
      <c r="BF65">
        <v>398</v>
      </c>
      <c r="BG65">
        <v>458</v>
      </c>
      <c r="BJ65">
        <v>1</v>
      </c>
      <c r="BL65" t="s">
        <v>221</v>
      </c>
      <c r="BM65" s="4">
        <v>43283.289270833331</v>
      </c>
      <c r="BN65" s="4">
        <v>43283.314571759256</v>
      </c>
      <c r="BO65" s="4">
        <v>43283.314571759256</v>
      </c>
      <c r="BP65" t="s">
        <v>92</v>
      </c>
      <c r="BQ65" t="s">
        <v>93</v>
      </c>
      <c r="BR65" t="s">
        <v>94</v>
      </c>
    </row>
    <row r="66" spans="1:70" x14ac:dyDescent="0.3">
      <c r="A66" t="str">
        <f>"200034B0100"</f>
        <v>200034B0100</v>
      </c>
      <c r="B66" t="s">
        <v>222</v>
      </c>
      <c r="C66">
        <v>20</v>
      </c>
      <c r="D66" t="s">
        <v>88</v>
      </c>
      <c r="E66">
        <v>2</v>
      </c>
      <c r="F66" t="s">
        <v>89</v>
      </c>
      <c r="G66">
        <v>34</v>
      </c>
      <c r="H66">
        <v>1</v>
      </c>
      <c r="I66" t="s">
        <v>90</v>
      </c>
      <c r="J66">
        <v>0</v>
      </c>
      <c r="K66">
        <v>2</v>
      </c>
      <c r="L66">
        <v>5</v>
      </c>
      <c r="M66">
        <v>130</v>
      </c>
      <c r="N66">
        <v>386</v>
      </c>
      <c r="O66">
        <v>0</v>
      </c>
      <c r="P66">
        <v>386</v>
      </c>
      <c r="Q66">
        <v>96</v>
      </c>
      <c r="R66">
        <v>116</v>
      </c>
      <c r="S66">
        <v>8</v>
      </c>
      <c r="T66">
        <v>9</v>
      </c>
      <c r="U66">
        <v>8</v>
      </c>
      <c r="V66">
        <v>4</v>
      </c>
      <c r="X66">
        <v>9</v>
      </c>
      <c r="Y66">
        <v>105</v>
      </c>
      <c r="Z66">
        <v>4</v>
      </c>
      <c r="AA66">
        <v>0</v>
      </c>
      <c r="AC66">
        <v>3</v>
      </c>
      <c r="AD66">
        <v>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2</v>
      </c>
      <c r="AL66">
        <v>1</v>
      </c>
      <c r="AM66">
        <v>0</v>
      </c>
      <c r="AN66">
        <v>1</v>
      </c>
      <c r="BC66">
        <v>0</v>
      </c>
      <c r="BD66">
        <v>19</v>
      </c>
      <c r="BE66">
        <v>386</v>
      </c>
      <c r="BF66">
        <v>386</v>
      </c>
      <c r="BG66">
        <v>494</v>
      </c>
      <c r="BJ66">
        <v>1</v>
      </c>
      <c r="BL66" t="s">
        <v>223</v>
      </c>
      <c r="BM66" s="4">
        <v>43283.365856481483</v>
      </c>
      <c r="BN66" s="4">
        <v>43283.376539351855</v>
      </c>
      <c r="BO66" s="4">
        <v>43283.376539351855</v>
      </c>
      <c r="BP66" t="s">
        <v>92</v>
      </c>
      <c r="BQ66" t="s">
        <v>93</v>
      </c>
      <c r="BR66" t="s">
        <v>94</v>
      </c>
    </row>
    <row r="67" spans="1:70" x14ac:dyDescent="0.3">
      <c r="A67" t="str">
        <f>"200034E0100"</f>
        <v>200034E0100</v>
      </c>
      <c r="B67" s="2" t="s">
        <v>224</v>
      </c>
      <c r="C67">
        <v>20</v>
      </c>
      <c r="D67" t="s">
        <v>88</v>
      </c>
      <c r="E67">
        <v>2</v>
      </c>
      <c r="F67" t="s">
        <v>89</v>
      </c>
      <c r="G67">
        <v>34</v>
      </c>
      <c r="H67">
        <v>1</v>
      </c>
      <c r="I67" t="s">
        <v>156</v>
      </c>
      <c r="J67">
        <v>0</v>
      </c>
      <c r="K67">
        <v>2</v>
      </c>
      <c r="L67">
        <v>5</v>
      </c>
      <c r="M67" t="s">
        <v>105</v>
      </c>
      <c r="N67">
        <v>693</v>
      </c>
      <c r="O67">
        <v>0</v>
      </c>
      <c r="P67">
        <v>517</v>
      </c>
      <c r="Q67">
        <v>176</v>
      </c>
      <c r="R67">
        <v>151</v>
      </c>
      <c r="S67">
        <v>10</v>
      </c>
      <c r="T67">
        <v>4</v>
      </c>
      <c r="U67">
        <v>9</v>
      </c>
      <c r="V67">
        <v>3</v>
      </c>
      <c r="X67">
        <v>5</v>
      </c>
      <c r="Y67">
        <v>151</v>
      </c>
      <c r="Z67">
        <v>0</v>
      </c>
      <c r="AA67">
        <v>2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1</v>
      </c>
      <c r="AM67">
        <v>0</v>
      </c>
      <c r="AN67">
        <v>0</v>
      </c>
      <c r="BC67">
        <v>0</v>
      </c>
      <c r="BD67">
        <v>24</v>
      </c>
      <c r="BE67">
        <v>517</v>
      </c>
      <c r="BF67">
        <v>536</v>
      </c>
      <c r="BG67">
        <v>693</v>
      </c>
      <c r="BJ67">
        <v>1</v>
      </c>
      <c r="BL67" t="s">
        <v>225</v>
      </c>
      <c r="BM67" s="4">
        <v>43283.362372685187</v>
      </c>
      <c r="BN67" s="4">
        <v>43283.372291666667</v>
      </c>
      <c r="BO67" s="4">
        <v>43283.372291666667</v>
      </c>
      <c r="BP67" t="s">
        <v>92</v>
      </c>
      <c r="BQ67" t="s">
        <v>93</v>
      </c>
      <c r="BR67" t="s">
        <v>94</v>
      </c>
    </row>
    <row r="68" spans="1:70" x14ac:dyDescent="0.3">
      <c r="A68" t="str">
        <f>"200042B0100"</f>
        <v>200042B0100</v>
      </c>
      <c r="B68" t="s">
        <v>226</v>
      </c>
      <c r="C68">
        <v>20</v>
      </c>
      <c r="D68" t="s">
        <v>88</v>
      </c>
      <c r="E68">
        <v>5</v>
      </c>
      <c r="F68" t="s">
        <v>227</v>
      </c>
      <c r="G68">
        <v>42</v>
      </c>
      <c r="H68">
        <v>1</v>
      </c>
      <c r="I68" t="s">
        <v>90</v>
      </c>
      <c r="J68">
        <v>0</v>
      </c>
      <c r="K68">
        <v>2</v>
      </c>
      <c r="L68">
        <v>5</v>
      </c>
      <c r="M68">
        <v>95</v>
      </c>
      <c r="N68">
        <v>352</v>
      </c>
      <c r="O68">
        <v>0</v>
      </c>
      <c r="P68">
        <v>352</v>
      </c>
      <c r="Q68">
        <v>164</v>
      </c>
      <c r="R68">
        <v>144</v>
      </c>
      <c r="S68">
        <v>1</v>
      </c>
      <c r="T68">
        <v>1</v>
      </c>
      <c r="U68">
        <v>1</v>
      </c>
      <c r="V68">
        <v>0</v>
      </c>
      <c r="X68">
        <v>1</v>
      </c>
      <c r="Y68">
        <v>32</v>
      </c>
      <c r="Z68">
        <v>0</v>
      </c>
      <c r="AC68">
        <v>2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</v>
      </c>
      <c r="AM68">
        <v>0</v>
      </c>
      <c r="AN68">
        <v>0</v>
      </c>
      <c r="BC68">
        <v>0</v>
      </c>
      <c r="BD68">
        <v>4</v>
      </c>
      <c r="BE68">
        <v>352</v>
      </c>
      <c r="BF68">
        <v>352</v>
      </c>
      <c r="BG68">
        <v>426</v>
      </c>
      <c r="BJ68">
        <v>1</v>
      </c>
      <c r="BL68" t="s">
        <v>228</v>
      </c>
      <c r="BM68" s="4">
        <v>43283.177777777775</v>
      </c>
      <c r="BN68" s="4">
        <v>43283.197118055556</v>
      </c>
      <c r="BO68" s="4">
        <v>43283.197118055556</v>
      </c>
      <c r="BP68" t="s">
        <v>92</v>
      </c>
      <c r="BQ68" t="s">
        <v>93</v>
      </c>
      <c r="BR68" t="s">
        <v>94</v>
      </c>
    </row>
    <row r="69" spans="1:70" x14ac:dyDescent="0.3">
      <c r="A69" t="str">
        <f>"200042C0100"</f>
        <v>200042C0100</v>
      </c>
      <c r="B69" t="s">
        <v>229</v>
      </c>
      <c r="C69">
        <v>20</v>
      </c>
      <c r="D69" t="s">
        <v>88</v>
      </c>
      <c r="E69">
        <v>5</v>
      </c>
      <c r="F69" t="s">
        <v>227</v>
      </c>
      <c r="G69">
        <v>42</v>
      </c>
      <c r="H69">
        <v>1</v>
      </c>
      <c r="I69" t="s">
        <v>98</v>
      </c>
      <c r="J69">
        <v>0</v>
      </c>
      <c r="K69">
        <v>2</v>
      </c>
      <c r="L69">
        <v>5</v>
      </c>
      <c r="M69">
        <v>83</v>
      </c>
      <c r="N69">
        <v>368</v>
      </c>
      <c r="O69">
        <v>3</v>
      </c>
      <c r="P69">
        <v>365</v>
      </c>
      <c r="Q69">
        <v>162</v>
      </c>
      <c r="R69">
        <v>168</v>
      </c>
      <c r="S69">
        <v>1</v>
      </c>
      <c r="T69">
        <v>0</v>
      </c>
      <c r="U69">
        <v>3</v>
      </c>
      <c r="V69">
        <v>1</v>
      </c>
      <c r="X69">
        <v>0</v>
      </c>
      <c r="Y69">
        <v>21</v>
      </c>
      <c r="Z69">
        <v>0</v>
      </c>
      <c r="AC69">
        <v>2</v>
      </c>
      <c r="AD69">
        <v>0</v>
      </c>
      <c r="AE69">
        <v>0</v>
      </c>
      <c r="AF69">
        <v>0</v>
      </c>
      <c r="AG69">
        <v>1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BC69">
        <v>0</v>
      </c>
      <c r="BD69">
        <v>5</v>
      </c>
      <c r="BE69">
        <v>365</v>
      </c>
      <c r="BF69">
        <v>365</v>
      </c>
      <c r="BG69">
        <v>426</v>
      </c>
      <c r="BJ69">
        <v>1</v>
      </c>
      <c r="BL69" t="s">
        <v>230</v>
      </c>
      <c r="BM69" s="4">
        <v>43283.177083333336</v>
      </c>
      <c r="BN69" s="4">
        <v>43283.19290509259</v>
      </c>
      <c r="BO69" s="4">
        <v>43283.19290509259</v>
      </c>
      <c r="BP69" t="s">
        <v>92</v>
      </c>
      <c r="BQ69" t="s">
        <v>93</v>
      </c>
      <c r="BR69" t="s">
        <v>94</v>
      </c>
    </row>
    <row r="70" spans="1:70" x14ac:dyDescent="0.3">
      <c r="A70" t="str">
        <f>"200043B0100"</f>
        <v>200043B0100</v>
      </c>
      <c r="B70" t="s">
        <v>231</v>
      </c>
      <c r="C70">
        <v>20</v>
      </c>
      <c r="D70" t="s">
        <v>88</v>
      </c>
      <c r="E70">
        <v>6</v>
      </c>
      <c r="F70" t="s">
        <v>232</v>
      </c>
      <c r="G70">
        <v>43</v>
      </c>
      <c r="H70">
        <v>1</v>
      </c>
      <c r="I70" t="s">
        <v>90</v>
      </c>
      <c r="J70">
        <v>0</v>
      </c>
      <c r="K70">
        <v>2</v>
      </c>
      <c r="L70">
        <v>5</v>
      </c>
      <c r="M70">
        <v>96</v>
      </c>
      <c r="N70">
        <v>309</v>
      </c>
      <c r="O70">
        <v>5</v>
      </c>
      <c r="P70">
        <v>306</v>
      </c>
      <c r="Q70">
        <v>1</v>
      </c>
      <c r="R70">
        <v>63</v>
      </c>
      <c r="S70">
        <v>4</v>
      </c>
      <c r="T70">
        <v>114</v>
      </c>
      <c r="U70">
        <v>4</v>
      </c>
      <c r="V70">
        <v>1</v>
      </c>
      <c r="X70">
        <v>0</v>
      </c>
      <c r="Y70">
        <v>104</v>
      </c>
      <c r="Z70">
        <v>1</v>
      </c>
      <c r="AC70">
        <v>0</v>
      </c>
      <c r="AD70">
        <v>0</v>
      </c>
      <c r="AE70">
        <v>0</v>
      </c>
      <c r="AF70">
        <v>0</v>
      </c>
      <c r="AK70">
        <v>0</v>
      </c>
      <c r="AL70">
        <v>0</v>
      </c>
      <c r="AM70">
        <v>0</v>
      </c>
      <c r="AN70">
        <v>1</v>
      </c>
      <c r="AT70">
        <v>8</v>
      </c>
      <c r="BC70">
        <v>0</v>
      </c>
      <c r="BD70">
        <v>10</v>
      </c>
      <c r="BE70">
        <v>312</v>
      </c>
      <c r="BF70">
        <v>311</v>
      </c>
      <c r="BG70">
        <v>381</v>
      </c>
      <c r="BJ70">
        <v>1</v>
      </c>
      <c r="BL70" t="s">
        <v>233</v>
      </c>
      <c r="BM70" s="4">
        <v>43283.043749999997</v>
      </c>
      <c r="BN70" s="4">
        <v>43283.051307870373</v>
      </c>
      <c r="BO70" s="4">
        <v>43283.051307870373</v>
      </c>
      <c r="BP70" t="s">
        <v>92</v>
      </c>
      <c r="BQ70" t="s">
        <v>93</v>
      </c>
      <c r="BR70" t="s">
        <v>94</v>
      </c>
    </row>
    <row r="71" spans="1:70" x14ac:dyDescent="0.3">
      <c r="A71" t="str">
        <f>"200043C0100"</f>
        <v>200043C0100</v>
      </c>
      <c r="B71" t="s">
        <v>234</v>
      </c>
      <c r="C71">
        <v>20</v>
      </c>
      <c r="D71" t="s">
        <v>88</v>
      </c>
      <c r="E71">
        <v>6</v>
      </c>
      <c r="F71" t="s">
        <v>232</v>
      </c>
      <c r="G71">
        <v>43</v>
      </c>
      <c r="H71">
        <v>1</v>
      </c>
      <c r="I71" t="s">
        <v>98</v>
      </c>
      <c r="J71">
        <v>0</v>
      </c>
      <c r="K71">
        <v>2</v>
      </c>
      <c r="L71">
        <v>5</v>
      </c>
      <c r="M71">
        <v>94</v>
      </c>
      <c r="N71">
        <v>309</v>
      </c>
      <c r="O71">
        <v>2</v>
      </c>
      <c r="P71">
        <v>309</v>
      </c>
      <c r="Q71">
        <v>0</v>
      </c>
      <c r="R71">
        <v>61</v>
      </c>
      <c r="S71">
        <v>4</v>
      </c>
      <c r="T71">
        <v>124</v>
      </c>
      <c r="U71">
        <v>2</v>
      </c>
      <c r="V71">
        <v>0</v>
      </c>
      <c r="X71">
        <v>0</v>
      </c>
      <c r="Y71">
        <v>108</v>
      </c>
      <c r="Z71">
        <v>0</v>
      </c>
      <c r="AC71">
        <v>0</v>
      </c>
      <c r="AD71">
        <v>0</v>
      </c>
      <c r="AE71">
        <v>0</v>
      </c>
      <c r="AF71">
        <v>0</v>
      </c>
      <c r="AK71">
        <v>0</v>
      </c>
      <c r="AL71">
        <v>1</v>
      </c>
      <c r="AM71">
        <v>0</v>
      </c>
      <c r="AN71">
        <v>0</v>
      </c>
      <c r="AT71">
        <v>9</v>
      </c>
      <c r="BC71">
        <v>0</v>
      </c>
      <c r="BD71">
        <v>0</v>
      </c>
      <c r="BE71">
        <v>309</v>
      </c>
      <c r="BF71">
        <v>309</v>
      </c>
      <c r="BG71">
        <v>381</v>
      </c>
      <c r="BJ71">
        <v>1</v>
      </c>
      <c r="BL71" t="s">
        <v>235</v>
      </c>
      <c r="BM71" s="4">
        <v>43283.042361111111</v>
      </c>
      <c r="BN71" s="4">
        <v>43283.047349537039</v>
      </c>
      <c r="BO71" s="4">
        <v>43283.047349537039</v>
      </c>
      <c r="BP71" t="s">
        <v>92</v>
      </c>
      <c r="BQ71" t="s">
        <v>93</v>
      </c>
      <c r="BR71" t="s">
        <v>94</v>
      </c>
    </row>
    <row r="72" spans="1:70" x14ac:dyDescent="0.3">
      <c r="A72" t="str">
        <f>"200044B0100"</f>
        <v>200044B0100</v>
      </c>
      <c r="B72" t="s">
        <v>236</v>
      </c>
      <c r="C72">
        <v>20</v>
      </c>
      <c r="D72" t="s">
        <v>88</v>
      </c>
      <c r="E72">
        <v>6</v>
      </c>
      <c r="F72" t="s">
        <v>232</v>
      </c>
      <c r="G72">
        <v>44</v>
      </c>
      <c r="H72">
        <v>1</v>
      </c>
      <c r="I72" t="s">
        <v>90</v>
      </c>
      <c r="J72">
        <v>0</v>
      </c>
      <c r="K72">
        <v>2</v>
      </c>
      <c r="L72">
        <v>5</v>
      </c>
      <c r="M72">
        <v>127</v>
      </c>
      <c r="N72">
        <v>223</v>
      </c>
      <c r="O72">
        <v>2</v>
      </c>
      <c r="P72">
        <v>297</v>
      </c>
      <c r="Q72">
        <v>0</v>
      </c>
      <c r="R72">
        <v>84</v>
      </c>
      <c r="S72">
        <v>4</v>
      </c>
      <c r="T72">
        <v>71</v>
      </c>
      <c r="U72">
        <v>4</v>
      </c>
      <c r="V72">
        <v>2</v>
      </c>
      <c r="X72">
        <v>0</v>
      </c>
      <c r="Y72">
        <v>141</v>
      </c>
      <c r="Z72">
        <v>2</v>
      </c>
      <c r="AC72">
        <v>0</v>
      </c>
      <c r="AD72">
        <v>0</v>
      </c>
      <c r="AE72">
        <v>0</v>
      </c>
      <c r="AF72">
        <v>0</v>
      </c>
      <c r="AK72">
        <v>2</v>
      </c>
      <c r="AL72">
        <v>1</v>
      </c>
      <c r="AM72">
        <v>0</v>
      </c>
      <c r="AN72">
        <v>0</v>
      </c>
      <c r="AT72">
        <v>3</v>
      </c>
      <c r="BC72">
        <v>0</v>
      </c>
      <c r="BD72">
        <v>9</v>
      </c>
      <c r="BE72">
        <v>323</v>
      </c>
      <c r="BF72">
        <v>323</v>
      </c>
      <c r="BG72">
        <v>425</v>
      </c>
      <c r="BJ72">
        <v>1</v>
      </c>
      <c r="BL72" t="s">
        <v>237</v>
      </c>
      <c r="BM72" s="4">
        <v>43283.109722222223</v>
      </c>
      <c r="BN72" s="4">
        <v>43283.113125000003</v>
      </c>
      <c r="BO72" s="4">
        <v>43283.113125000003</v>
      </c>
      <c r="BP72" t="s">
        <v>92</v>
      </c>
      <c r="BQ72" t="s">
        <v>93</v>
      </c>
      <c r="BR72" t="s">
        <v>94</v>
      </c>
    </row>
    <row r="73" spans="1:70" x14ac:dyDescent="0.3">
      <c r="A73" t="str">
        <f>"200044C0100"</f>
        <v>200044C0100</v>
      </c>
      <c r="B73" t="s">
        <v>238</v>
      </c>
      <c r="C73">
        <v>20</v>
      </c>
      <c r="D73" t="s">
        <v>88</v>
      </c>
      <c r="E73">
        <v>6</v>
      </c>
      <c r="F73" t="s">
        <v>232</v>
      </c>
      <c r="G73">
        <v>44</v>
      </c>
      <c r="H73">
        <v>1</v>
      </c>
      <c r="I73" t="s">
        <v>98</v>
      </c>
      <c r="J73">
        <v>0</v>
      </c>
      <c r="K73">
        <v>2</v>
      </c>
      <c r="L73">
        <v>5</v>
      </c>
      <c r="M73">
        <v>109</v>
      </c>
      <c r="N73">
        <v>338</v>
      </c>
      <c r="O73">
        <v>5</v>
      </c>
      <c r="P73">
        <v>338</v>
      </c>
      <c r="Q73">
        <v>0</v>
      </c>
      <c r="R73">
        <v>98</v>
      </c>
      <c r="S73">
        <v>2</v>
      </c>
      <c r="T73">
        <v>117</v>
      </c>
      <c r="U73">
        <v>3</v>
      </c>
      <c r="V73">
        <v>1</v>
      </c>
      <c r="X73">
        <v>0</v>
      </c>
      <c r="Y73">
        <v>108</v>
      </c>
      <c r="Z73">
        <v>0</v>
      </c>
      <c r="AC73">
        <v>0</v>
      </c>
      <c r="AD73">
        <v>0</v>
      </c>
      <c r="AE73">
        <v>0</v>
      </c>
      <c r="AF73">
        <v>0</v>
      </c>
      <c r="AK73">
        <v>2</v>
      </c>
      <c r="AL73">
        <v>1</v>
      </c>
      <c r="AM73">
        <v>0</v>
      </c>
      <c r="AN73">
        <v>0</v>
      </c>
      <c r="AT73">
        <v>4</v>
      </c>
      <c r="BC73">
        <v>0</v>
      </c>
      <c r="BD73">
        <v>2</v>
      </c>
      <c r="BE73">
        <v>338</v>
      </c>
      <c r="BF73">
        <v>338</v>
      </c>
      <c r="BG73">
        <v>424</v>
      </c>
      <c r="BJ73">
        <v>1</v>
      </c>
      <c r="BL73" t="s">
        <v>239</v>
      </c>
      <c r="BM73" s="4">
        <v>43283.107638888891</v>
      </c>
      <c r="BN73" s="4">
        <v>43283.111886574072</v>
      </c>
      <c r="BO73" s="4">
        <v>43283.111886574072</v>
      </c>
      <c r="BP73" t="s">
        <v>92</v>
      </c>
      <c r="BQ73" t="s">
        <v>93</v>
      </c>
      <c r="BR73" t="s">
        <v>94</v>
      </c>
    </row>
    <row r="74" spans="1:70" x14ac:dyDescent="0.3">
      <c r="A74" t="str">
        <f>"200045B0100"</f>
        <v>200045B0100</v>
      </c>
      <c r="B74" t="s">
        <v>240</v>
      </c>
      <c r="C74">
        <v>20</v>
      </c>
      <c r="D74" t="s">
        <v>88</v>
      </c>
      <c r="E74">
        <v>6</v>
      </c>
      <c r="F74" t="s">
        <v>232</v>
      </c>
      <c r="G74">
        <v>45</v>
      </c>
      <c r="H74">
        <v>1</v>
      </c>
      <c r="I74" t="s">
        <v>90</v>
      </c>
      <c r="J74">
        <v>0</v>
      </c>
      <c r="K74">
        <v>2</v>
      </c>
      <c r="L74">
        <v>5</v>
      </c>
      <c r="M74">
        <v>93</v>
      </c>
      <c r="N74">
        <v>315</v>
      </c>
      <c r="O74">
        <v>0</v>
      </c>
      <c r="P74">
        <v>315</v>
      </c>
      <c r="Q74">
        <v>0</v>
      </c>
      <c r="R74">
        <v>85</v>
      </c>
      <c r="S74">
        <v>1</v>
      </c>
      <c r="T74">
        <v>104</v>
      </c>
      <c r="U74">
        <v>3</v>
      </c>
      <c r="V74">
        <v>1</v>
      </c>
      <c r="X74">
        <v>0</v>
      </c>
      <c r="Y74">
        <v>106</v>
      </c>
      <c r="Z74">
        <v>0</v>
      </c>
      <c r="AC74">
        <v>0</v>
      </c>
      <c r="AD74">
        <v>0</v>
      </c>
      <c r="AE74">
        <v>0</v>
      </c>
      <c r="AF74">
        <v>0</v>
      </c>
      <c r="AK74">
        <v>0</v>
      </c>
      <c r="AL74">
        <v>3</v>
      </c>
      <c r="AM74">
        <v>0</v>
      </c>
      <c r="AN74">
        <v>0</v>
      </c>
      <c r="AT74">
        <v>7</v>
      </c>
      <c r="BC74">
        <v>0</v>
      </c>
      <c r="BD74">
        <v>5</v>
      </c>
      <c r="BE74">
        <v>315</v>
      </c>
      <c r="BF74">
        <v>315</v>
      </c>
      <c r="BG74">
        <v>385</v>
      </c>
      <c r="BJ74">
        <v>1</v>
      </c>
      <c r="BL74" t="s">
        <v>241</v>
      </c>
      <c r="BM74" s="4">
        <v>43283.092361111114</v>
      </c>
      <c r="BN74" s="4">
        <v>43283.096331018518</v>
      </c>
      <c r="BO74" s="4">
        <v>43283.096331018518</v>
      </c>
      <c r="BP74" t="s">
        <v>92</v>
      </c>
      <c r="BQ74" t="s">
        <v>93</v>
      </c>
      <c r="BR74" t="s">
        <v>94</v>
      </c>
    </row>
    <row r="75" spans="1:70" x14ac:dyDescent="0.3">
      <c r="A75" t="str">
        <f>"200045C0100"</f>
        <v>200045C0100</v>
      </c>
      <c r="B75" t="s">
        <v>242</v>
      </c>
      <c r="C75">
        <v>20</v>
      </c>
      <c r="D75" t="s">
        <v>88</v>
      </c>
      <c r="E75">
        <v>6</v>
      </c>
      <c r="F75" t="s">
        <v>232</v>
      </c>
      <c r="G75">
        <v>45</v>
      </c>
      <c r="H75">
        <v>1</v>
      </c>
      <c r="I75" t="s">
        <v>98</v>
      </c>
      <c r="J75">
        <v>0</v>
      </c>
      <c r="K75">
        <v>2</v>
      </c>
      <c r="L75">
        <v>5</v>
      </c>
      <c r="M75">
        <v>103</v>
      </c>
      <c r="N75">
        <v>305</v>
      </c>
      <c r="O75">
        <v>2</v>
      </c>
      <c r="P75">
        <v>305</v>
      </c>
      <c r="Q75">
        <v>0</v>
      </c>
      <c r="R75">
        <v>71</v>
      </c>
      <c r="S75">
        <v>1</v>
      </c>
      <c r="T75">
        <v>105</v>
      </c>
      <c r="U75">
        <v>5</v>
      </c>
      <c r="V75">
        <v>0</v>
      </c>
      <c r="X75">
        <v>0</v>
      </c>
      <c r="Y75">
        <v>111</v>
      </c>
      <c r="Z75">
        <v>0</v>
      </c>
      <c r="AC75">
        <v>0</v>
      </c>
      <c r="AD75">
        <v>0</v>
      </c>
      <c r="AE75">
        <v>0</v>
      </c>
      <c r="AF75">
        <v>0</v>
      </c>
      <c r="AK75">
        <v>0</v>
      </c>
      <c r="AL75">
        <v>0</v>
      </c>
      <c r="AM75">
        <v>0</v>
      </c>
      <c r="AN75">
        <v>1</v>
      </c>
      <c r="AT75">
        <v>6</v>
      </c>
      <c r="BC75">
        <v>0</v>
      </c>
      <c r="BD75">
        <v>5</v>
      </c>
      <c r="BE75">
        <v>305</v>
      </c>
      <c r="BF75">
        <v>305</v>
      </c>
      <c r="BG75">
        <v>385</v>
      </c>
      <c r="BJ75">
        <v>1</v>
      </c>
      <c r="BL75" t="s">
        <v>243</v>
      </c>
      <c r="BM75" s="4">
        <v>43283.095138888886</v>
      </c>
      <c r="BN75" s="4">
        <v>43283.099953703706</v>
      </c>
      <c r="BO75" s="4">
        <v>43283.099953703706</v>
      </c>
      <c r="BP75" t="s">
        <v>92</v>
      </c>
      <c r="BQ75" t="s">
        <v>93</v>
      </c>
      <c r="BR75" t="s">
        <v>94</v>
      </c>
    </row>
    <row r="76" spans="1:70" x14ac:dyDescent="0.3">
      <c r="A76" t="str">
        <f>"200046B0100"</f>
        <v>200046B0100</v>
      </c>
      <c r="B76" t="s">
        <v>244</v>
      </c>
      <c r="C76">
        <v>20</v>
      </c>
      <c r="D76" t="s">
        <v>88</v>
      </c>
      <c r="E76">
        <v>6</v>
      </c>
      <c r="F76" t="s">
        <v>232</v>
      </c>
      <c r="G76">
        <v>46</v>
      </c>
      <c r="H76">
        <v>1</v>
      </c>
      <c r="I76" t="s">
        <v>90</v>
      </c>
      <c r="J76">
        <v>0</v>
      </c>
      <c r="K76">
        <v>2</v>
      </c>
      <c r="L76">
        <v>5</v>
      </c>
      <c r="M76">
        <v>145</v>
      </c>
      <c r="N76">
        <v>376</v>
      </c>
      <c r="O76">
        <v>0</v>
      </c>
      <c r="P76">
        <v>376</v>
      </c>
      <c r="Q76">
        <v>1</v>
      </c>
      <c r="R76">
        <v>74</v>
      </c>
      <c r="S76">
        <v>2</v>
      </c>
      <c r="T76">
        <v>158</v>
      </c>
      <c r="U76">
        <v>5</v>
      </c>
      <c r="V76">
        <v>1</v>
      </c>
      <c r="X76">
        <v>0</v>
      </c>
      <c r="Y76">
        <v>115</v>
      </c>
      <c r="Z76">
        <v>1</v>
      </c>
      <c r="AC76">
        <v>0</v>
      </c>
      <c r="AD76">
        <v>0</v>
      </c>
      <c r="AE76">
        <v>0</v>
      </c>
      <c r="AF76">
        <v>0</v>
      </c>
      <c r="AK76">
        <v>0</v>
      </c>
      <c r="AL76">
        <v>0</v>
      </c>
      <c r="AM76">
        <v>0</v>
      </c>
      <c r="AN76">
        <v>0</v>
      </c>
      <c r="AT76">
        <v>8</v>
      </c>
      <c r="BC76">
        <v>0</v>
      </c>
      <c r="BD76">
        <v>11</v>
      </c>
      <c r="BE76">
        <v>376</v>
      </c>
      <c r="BF76">
        <v>376</v>
      </c>
      <c r="BG76">
        <v>498</v>
      </c>
      <c r="BJ76">
        <v>1</v>
      </c>
      <c r="BL76" t="s">
        <v>245</v>
      </c>
      <c r="BM76" s="4">
        <v>43283.075694444444</v>
      </c>
      <c r="BN76" s="4">
        <v>43283.080914351849</v>
      </c>
      <c r="BO76" s="4">
        <v>43283.080914351849</v>
      </c>
      <c r="BP76" t="s">
        <v>92</v>
      </c>
      <c r="BQ76" t="s">
        <v>93</v>
      </c>
      <c r="BR76" t="s">
        <v>94</v>
      </c>
    </row>
    <row r="77" spans="1:70" x14ac:dyDescent="0.3">
      <c r="A77" t="str">
        <f>"200046C0100"</f>
        <v>200046C0100</v>
      </c>
      <c r="B77" t="s">
        <v>246</v>
      </c>
      <c r="C77">
        <v>20</v>
      </c>
      <c r="D77" t="s">
        <v>88</v>
      </c>
      <c r="E77">
        <v>6</v>
      </c>
      <c r="F77" t="s">
        <v>232</v>
      </c>
      <c r="G77">
        <v>46</v>
      </c>
      <c r="H77">
        <v>1</v>
      </c>
      <c r="I77" t="s">
        <v>98</v>
      </c>
      <c r="J77">
        <v>0</v>
      </c>
      <c r="K77">
        <v>2</v>
      </c>
      <c r="L77">
        <v>5</v>
      </c>
      <c r="M77">
        <v>129</v>
      </c>
      <c r="N77">
        <v>391</v>
      </c>
      <c r="O77">
        <v>0</v>
      </c>
      <c r="P77">
        <v>391</v>
      </c>
      <c r="Q77">
        <v>2</v>
      </c>
      <c r="R77">
        <v>78</v>
      </c>
      <c r="S77">
        <v>4</v>
      </c>
      <c r="T77">
        <v>155</v>
      </c>
      <c r="U77">
        <v>0</v>
      </c>
      <c r="V77">
        <v>0</v>
      </c>
      <c r="X77">
        <v>0</v>
      </c>
      <c r="Y77">
        <v>133</v>
      </c>
      <c r="Z77">
        <v>1</v>
      </c>
      <c r="AC77">
        <v>0</v>
      </c>
      <c r="AD77">
        <v>0</v>
      </c>
      <c r="AE77">
        <v>0</v>
      </c>
      <c r="AF77">
        <v>0</v>
      </c>
      <c r="AK77">
        <v>0</v>
      </c>
      <c r="AL77">
        <v>1</v>
      </c>
      <c r="AM77">
        <v>0</v>
      </c>
      <c r="AN77">
        <v>0</v>
      </c>
      <c r="AT77">
        <v>5</v>
      </c>
      <c r="BC77">
        <v>0</v>
      </c>
      <c r="BD77">
        <v>12</v>
      </c>
      <c r="BE77">
        <v>391</v>
      </c>
      <c r="BF77">
        <v>391</v>
      </c>
      <c r="BG77">
        <v>497</v>
      </c>
      <c r="BJ77">
        <v>1</v>
      </c>
      <c r="BL77" t="s">
        <v>247</v>
      </c>
      <c r="BM77" s="4">
        <v>43283.070833333331</v>
      </c>
      <c r="BN77" s="4">
        <v>43283.074756944443</v>
      </c>
      <c r="BO77" s="4">
        <v>43283.074756944443</v>
      </c>
      <c r="BP77" t="s">
        <v>92</v>
      </c>
      <c r="BQ77" t="s">
        <v>93</v>
      </c>
      <c r="BR77" t="s">
        <v>94</v>
      </c>
    </row>
    <row r="78" spans="1:70" x14ac:dyDescent="0.3">
      <c r="A78" t="str">
        <f>"200047B0100"</f>
        <v>200047B0100</v>
      </c>
      <c r="B78" t="s">
        <v>248</v>
      </c>
      <c r="C78">
        <v>20</v>
      </c>
      <c r="D78" t="s">
        <v>88</v>
      </c>
      <c r="E78">
        <v>6</v>
      </c>
      <c r="F78" t="s">
        <v>232</v>
      </c>
      <c r="G78">
        <v>47</v>
      </c>
      <c r="H78">
        <v>1</v>
      </c>
      <c r="I78" t="s">
        <v>90</v>
      </c>
      <c r="J78">
        <v>0</v>
      </c>
      <c r="K78">
        <v>2</v>
      </c>
      <c r="L78">
        <v>5</v>
      </c>
      <c r="M78">
        <v>201</v>
      </c>
      <c r="N78">
        <v>681</v>
      </c>
      <c r="O78">
        <v>2</v>
      </c>
      <c r="P78">
        <v>480</v>
      </c>
      <c r="Q78">
        <v>6</v>
      </c>
      <c r="R78">
        <v>69</v>
      </c>
      <c r="S78">
        <v>3</v>
      </c>
      <c r="T78">
        <v>159</v>
      </c>
      <c r="U78">
        <v>9</v>
      </c>
      <c r="V78">
        <v>4</v>
      </c>
      <c r="X78" t="s">
        <v>105</v>
      </c>
      <c r="Y78">
        <v>212</v>
      </c>
      <c r="Z78" t="s">
        <v>105</v>
      </c>
      <c r="AC78" t="s">
        <v>105</v>
      </c>
      <c r="AD78" t="s">
        <v>105</v>
      </c>
      <c r="AE78" t="s">
        <v>105</v>
      </c>
      <c r="AF78" t="s">
        <v>105</v>
      </c>
      <c r="AK78">
        <v>1</v>
      </c>
      <c r="AL78" t="s">
        <v>105</v>
      </c>
      <c r="AM78" t="s">
        <v>105</v>
      </c>
      <c r="AN78">
        <v>2</v>
      </c>
      <c r="AT78" t="s">
        <v>105</v>
      </c>
      <c r="BC78" t="s">
        <v>105</v>
      </c>
      <c r="BD78">
        <v>6</v>
      </c>
      <c r="BE78">
        <v>480</v>
      </c>
      <c r="BF78">
        <v>471</v>
      </c>
      <c r="BG78">
        <v>658</v>
      </c>
      <c r="BI78" t="s">
        <v>106</v>
      </c>
      <c r="BJ78">
        <v>1</v>
      </c>
      <c r="BL78" t="s">
        <v>249</v>
      </c>
      <c r="BM78" s="4">
        <v>43283.01458333333</v>
      </c>
      <c r="BN78" s="4">
        <v>43283.019236111111</v>
      </c>
      <c r="BO78" s="4">
        <v>43283.019236111111</v>
      </c>
      <c r="BP78" t="s">
        <v>92</v>
      </c>
      <c r="BQ78" t="s">
        <v>93</v>
      </c>
      <c r="BR78" t="s">
        <v>94</v>
      </c>
    </row>
    <row r="79" spans="1:70" x14ac:dyDescent="0.3">
      <c r="A79" t="str">
        <f>"200047C0100"</f>
        <v>200047C0100</v>
      </c>
      <c r="B79" t="s">
        <v>250</v>
      </c>
      <c r="C79">
        <v>20</v>
      </c>
      <c r="D79" t="s">
        <v>88</v>
      </c>
      <c r="E79">
        <v>6</v>
      </c>
      <c r="F79" t="s">
        <v>232</v>
      </c>
      <c r="G79">
        <v>47</v>
      </c>
      <c r="H79">
        <v>1</v>
      </c>
      <c r="I79" t="s">
        <v>98</v>
      </c>
      <c r="J79">
        <v>0</v>
      </c>
      <c r="K79">
        <v>2</v>
      </c>
      <c r="L79">
        <v>5</v>
      </c>
      <c r="M79">
        <v>225</v>
      </c>
      <c r="N79">
        <v>455</v>
      </c>
      <c r="O79">
        <v>1</v>
      </c>
      <c r="P79">
        <v>455</v>
      </c>
      <c r="Q79">
        <v>3</v>
      </c>
      <c r="R79">
        <v>66</v>
      </c>
      <c r="S79">
        <v>2</v>
      </c>
      <c r="T79">
        <v>134</v>
      </c>
      <c r="U79">
        <v>4</v>
      </c>
      <c r="V79">
        <v>0</v>
      </c>
      <c r="X79">
        <v>0</v>
      </c>
      <c r="Y79">
        <v>223</v>
      </c>
      <c r="Z79">
        <v>2</v>
      </c>
      <c r="AC79">
        <v>0</v>
      </c>
      <c r="AD79">
        <v>0</v>
      </c>
      <c r="AE79">
        <v>0</v>
      </c>
      <c r="AF79">
        <v>0</v>
      </c>
      <c r="AK79">
        <v>1</v>
      </c>
      <c r="AL79">
        <v>0</v>
      </c>
      <c r="AM79">
        <v>0</v>
      </c>
      <c r="AN79">
        <v>0</v>
      </c>
      <c r="AT79">
        <v>12</v>
      </c>
      <c r="BC79">
        <v>0</v>
      </c>
      <c r="BD79">
        <v>3</v>
      </c>
      <c r="BE79">
        <v>455</v>
      </c>
      <c r="BF79">
        <v>450</v>
      </c>
      <c r="BG79">
        <v>657</v>
      </c>
      <c r="BJ79">
        <v>1</v>
      </c>
      <c r="BL79" t="s">
        <v>251</v>
      </c>
      <c r="BM79" s="4">
        <v>43283.004166666666</v>
      </c>
      <c r="BN79" s="4">
        <v>43283.021597222221</v>
      </c>
      <c r="BO79" s="4">
        <v>43283.021597222221</v>
      </c>
      <c r="BP79" t="s">
        <v>92</v>
      </c>
      <c r="BQ79" t="s">
        <v>93</v>
      </c>
      <c r="BR79" t="s">
        <v>94</v>
      </c>
    </row>
    <row r="80" spans="1:70" x14ac:dyDescent="0.3">
      <c r="A80" t="str">
        <f>"200048B0100"</f>
        <v>200048B0100</v>
      </c>
      <c r="B80" t="s">
        <v>252</v>
      </c>
      <c r="C80">
        <v>20</v>
      </c>
      <c r="D80" t="s">
        <v>88</v>
      </c>
      <c r="E80">
        <v>6</v>
      </c>
      <c r="F80" t="s">
        <v>232</v>
      </c>
      <c r="G80">
        <v>48</v>
      </c>
      <c r="H80">
        <v>1</v>
      </c>
      <c r="I80" t="s">
        <v>90</v>
      </c>
      <c r="J80">
        <v>0</v>
      </c>
      <c r="K80">
        <v>2</v>
      </c>
      <c r="L80">
        <v>5</v>
      </c>
      <c r="M80">
        <v>122</v>
      </c>
      <c r="N80">
        <v>282</v>
      </c>
      <c r="O80">
        <v>4</v>
      </c>
      <c r="P80">
        <v>282</v>
      </c>
      <c r="Q80">
        <v>0</v>
      </c>
      <c r="R80">
        <v>49</v>
      </c>
      <c r="S80">
        <v>1</v>
      </c>
      <c r="T80">
        <v>83</v>
      </c>
      <c r="U80">
        <v>1</v>
      </c>
      <c r="V80">
        <v>0</v>
      </c>
      <c r="X80">
        <v>0</v>
      </c>
      <c r="Y80">
        <v>147</v>
      </c>
      <c r="Z80">
        <v>0</v>
      </c>
      <c r="AC80">
        <v>0</v>
      </c>
      <c r="AD80">
        <v>0</v>
      </c>
      <c r="AE80">
        <v>0</v>
      </c>
      <c r="AF80">
        <v>0</v>
      </c>
      <c r="AK80">
        <v>0</v>
      </c>
      <c r="AL80">
        <v>1</v>
      </c>
      <c r="AM80">
        <v>0</v>
      </c>
      <c r="AN80">
        <v>0</v>
      </c>
      <c r="AT80">
        <v>0</v>
      </c>
      <c r="BC80">
        <v>0</v>
      </c>
      <c r="BD80">
        <v>0</v>
      </c>
      <c r="BE80">
        <v>282</v>
      </c>
      <c r="BF80">
        <v>282</v>
      </c>
      <c r="BG80">
        <v>381</v>
      </c>
      <c r="BJ80">
        <v>1</v>
      </c>
      <c r="BL80" t="s">
        <v>253</v>
      </c>
      <c r="BM80" s="4">
        <v>43283.080555555556</v>
      </c>
      <c r="BN80" s="4">
        <v>43283.086898148147</v>
      </c>
      <c r="BO80" s="4">
        <v>43283.086898148147</v>
      </c>
      <c r="BP80" t="s">
        <v>92</v>
      </c>
      <c r="BQ80" t="s">
        <v>93</v>
      </c>
      <c r="BR80" t="s">
        <v>254</v>
      </c>
    </row>
    <row r="81" spans="1:70" x14ac:dyDescent="0.3">
      <c r="A81" t="str">
        <f>"200048C0100"</f>
        <v>200048C0100</v>
      </c>
      <c r="B81" t="s">
        <v>255</v>
      </c>
      <c r="C81">
        <v>20</v>
      </c>
      <c r="D81" t="s">
        <v>88</v>
      </c>
      <c r="E81">
        <v>6</v>
      </c>
      <c r="F81" t="s">
        <v>232</v>
      </c>
      <c r="G81">
        <v>48</v>
      </c>
      <c r="H81">
        <v>1</v>
      </c>
      <c r="I81" t="s">
        <v>98</v>
      </c>
      <c r="J81">
        <v>0</v>
      </c>
      <c r="K81">
        <v>2</v>
      </c>
      <c r="L81">
        <v>5</v>
      </c>
      <c r="M81">
        <v>99</v>
      </c>
      <c r="N81">
        <v>303</v>
      </c>
      <c r="O81">
        <v>4</v>
      </c>
      <c r="P81">
        <v>304</v>
      </c>
      <c r="Q81">
        <v>0</v>
      </c>
      <c r="R81">
        <v>54</v>
      </c>
      <c r="S81">
        <v>1</v>
      </c>
      <c r="T81">
        <v>81</v>
      </c>
      <c r="U81">
        <v>0</v>
      </c>
      <c r="V81">
        <v>1</v>
      </c>
      <c r="X81">
        <v>0</v>
      </c>
      <c r="Y81">
        <v>147</v>
      </c>
      <c r="Z81">
        <v>1</v>
      </c>
      <c r="AC81">
        <v>0</v>
      </c>
      <c r="AD81">
        <v>0</v>
      </c>
      <c r="AE81">
        <v>0</v>
      </c>
      <c r="AF81">
        <v>0</v>
      </c>
      <c r="AK81">
        <v>1</v>
      </c>
      <c r="AL81">
        <v>1</v>
      </c>
      <c r="AM81">
        <v>0</v>
      </c>
      <c r="AN81">
        <v>0</v>
      </c>
      <c r="AT81">
        <v>10</v>
      </c>
      <c r="BC81">
        <v>0</v>
      </c>
      <c r="BD81">
        <v>7</v>
      </c>
      <c r="BE81">
        <v>304</v>
      </c>
      <c r="BF81">
        <v>304</v>
      </c>
      <c r="BG81">
        <v>380</v>
      </c>
      <c r="BJ81">
        <v>1</v>
      </c>
      <c r="BL81" t="s">
        <v>256</v>
      </c>
      <c r="BM81" s="4">
        <v>43283.080555555556</v>
      </c>
      <c r="BN81" s="4">
        <v>43283.086643518516</v>
      </c>
      <c r="BO81" s="4">
        <v>43283.086643518516</v>
      </c>
      <c r="BP81" t="s">
        <v>92</v>
      </c>
      <c r="BQ81" t="s">
        <v>93</v>
      </c>
      <c r="BR81" t="s">
        <v>94</v>
      </c>
    </row>
    <row r="82" spans="1:70" x14ac:dyDescent="0.3">
      <c r="A82" t="str">
        <f>"200049B0100"</f>
        <v>200049B0100</v>
      </c>
      <c r="B82" t="s">
        <v>257</v>
      </c>
      <c r="C82">
        <v>20</v>
      </c>
      <c r="D82" t="s">
        <v>88</v>
      </c>
      <c r="E82">
        <v>6</v>
      </c>
      <c r="F82" t="s">
        <v>232</v>
      </c>
      <c r="G82">
        <v>49</v>
      </c>
      <c r="H82">
        <v>1</v>
      </c>
      <c r="I82" t="s">
        <v>90</v>
      </c>
      <c r="J82">
        <v>0</v>
      </c>
      <c r="K82">
        <v>2</v>
      </c>
      <c r="L82">
        <v>5</v>
      </c>
      <c r="M82">
        <v>126</v>
      </c>
      <c r="N82">
        <v>404</v>
      </c>
      <c r="O82">
        <v>2</v>
      </c>
      <c r="P82" t="s">
        <v>105</v>
      </c>
      <c r="Q82">
        <v>0</v>
      </c>
      <c r="R82">
        <v>114</v>
      </c>
      <c r="S82">
        <v>10</v>
      </c>
      <c r="T82">
        <v>91</v>
      </c>
      <c r="U82">
        <v>5</v>
      </c>
      <c r="V82">
        <v>3</v>
      </c>
      <c r="X82">
        <v>1</v>
      </c>
      <c r="Y82">
        <v>166</v>
      </c>
      <c r="Z82">
        <v>1</v>
      </c>
      <c r="AC82">
        <v>0</v>
      </c>
      <c r="AD82">
        <v>0</v>
      </c>
      <c r="AE82">
        <v>0</v>
      </c>
      <c r="AF82">
        <v>0</v>
      </c>
      <c r="AK82">
        <v>0</v>
      </c>
      <c r="AL82">
        <v>1</v>
      </c>
      <c r="AM82">
        <v>0</v>
      </c>
      <c r="AN82">
        <v>1</v>
      </c>
      <c r="AT82">
        <v>1</v>
      </c>
      <c r="BC82">
        <v>0</v>
      </c>
      <c r="BD82">
        <v>8</v>
      </c>
      <c r="BE82">
        <v>401</v>
      </c>
      <c r="BF82">
        <v>402</v>
      </c>
      <c r="BG82">
        <v>507</v>
      </c>
      <c r="BJ82">
        <v>1</v>
      </c>
      <c r="BL82" t="s">
        <v>258</v>
      </c>
      <c r="BM82" s="4">
        <v>43283.058333333334</v>
      </c>
      <c r="BN82" s="4">
        <v>43283.063217592593</v>
      </c>
      <c r="BO82" s="4">
        <v>43283.063217592593</v>
      </c>
      <c r="BP82" t="s">
        <v>92</v>
      </c>
      <c r="BQ82" t="s">
        <v>93</v>
      </c>
      <c r="BR82" t="s">
        <v>94</v>
      </c>
    </row>
    <row r="83" spans="1:70" x14ac:dyDescent="0.3">
      <c r="A83" t="str">
        <f>"200049C0100"</f>
        <v>200049C0100</v>
      </c>
      <c r="B83" t="s">
        <v>259</v>
      </c>
      <c r="C83">
        <v>20</v>
      </c>
      <c r="D83" t="s">
        <v>88</v>
      </c>
      <c r="E83">
        <v>6</v>
      </c>
      <c r="F83" t="s">
        <v>232</v>
      </c>
      <c r="G83">
        <v>49</v>
      </c>
      <c r="H83">
        <v>1</v>
      </c>
      <c r="I83" t="s">
        <v>98</v>
      </c>
      <c r="J83">
        <v>0</v>
      </c>
      <c r="K83">
        <v>2</v>
      </c>
      <c r="L83">
        <v>5</v>
      </c>
      <c r="M83">
        <v>132</v>
      </c>
      <c r="N83">
        <v>399</v>
      </c>
      <c r="O83">
        <v>0</v>
      </c>
      <c r="P83">
        <v>399</v>
      </c>
      <c r="Q83" t="s">
        <v>105</v>
      </c>
      <c r="R83">
        <v>111</v>
      </c>
      <c r="S83">
        <v>21</v>
      </c>
      <c r="T83">
        <v>101</v>
      </c>
      <c r="U83" t="s">
        <v>105</v>
      </c>
      <c r="V83">
        <v>4</v>
      </c>
      <c r="X83" t="s">
        <v>105</v>
      </c>
      <c r="Y83">
        <v>155</v>
      </c>
      <c r="Z83" t="s">
        <v>105</v>
      </c>
      <c r="AC83" t="s">
        <v>105</v>
      </c>
      <c r="AD83" t="s">
        <v>105</v>
      </c>
      <c r="AE83" t="s">
        <v>105</v>
      </c>
      <c r="AF83" t="s">
        <v>105</v>
      </c>
      <c r="AK83" t="s">
        <v>105</v>
      </c>
      <c r="AL83" t="s">
        <v>105</v>
      </c>
      <c r="AM83" t="s">
        <v>105</v>
      </c>
      <c r="AN83" t="s">
        <v>105</v>
      </c>
      <c r="AT83" t="s">
        <v>105</v>
      </c>
      <c r="BC83" t="s">
        <v>105</v>
      </c>
      <c r="BD83">
        <v>7</v>
      </c>
      <c r="BE83">
        <v>399</v>
      </c>
      <c r="BF83">
        <v>399</v>
      </c>
      <c r="BG83">
        <v>506</v>
      </c>
      <c r="BI83" t="s">
        <v>106</v>
      </c>
      <c r="BJ83">
        <v>1</v>
      </c>
      <c r="BL83" t="s">
        <v>260</v>
      </c>
      <c r="BM83" s="4">
        <v>43283.055555555555</v>
      </c>
      <c r="BN83" s="4">
        <v>43283.060891203706</v>
      </c>
      <c r="BO83" s="4">
        <v>43283.060891203706</v>
      </c>
      <c r="BP83" t="s">
        <v>92</v>
      </c>
      <c r="BQ83" t="s">
        <v>93</v>
      </c>
      <c r="BR83" t="s">
        <v>94</v>
      </c>
    </row>
    <row r="84" spans="1:70" x14ac:dyDescent="0.3">
      <c r="A84" t="str">
        <f>"200050B0100"</f>
        <v>200050B0100</v>
      </c>
      <c r="B84" t="s">
        <v>261</v>
      </c>
      <c r="C84">
        <v>20</v>
      </c>
      <c r="D84" t="s">
        <v>88</v>
      </c>
      <c r="E84">
        <v>6</v>
      </c>
      <c r="F84" t="s">
        <v>232</v>
      </c>
      <c r="G84">
        <v>50</v>
      </c>
      <c r="H84">
        <v>1</v>
      </c>
      <c r="I84" t="s">
        <v>90</v>
      </c>
      <c r="J84">
        <v>0</v>
      </c>
      <c r="K84">
        <v>2</v>
      </c>
      <c r="L84">
        <v>5</v>
      </c>
      <c r="M84">
        <v>197</v>
      </c>
      <c r="N84">
        <v>543</v>
      </c>
      <c r="O84">
        <v>0</v>
      </c>
      <c r="P84">
        <v>511</v>
      </c>
      <c r="Q84">
        <v>3</v>
      </c>
      <c r="R84">
        <v>49</v>
      </c>
      <c r="S84">
        <v>6</v>
      </c>
      <c r="T84">
        <v>214</v>
      </c>
      <c r="U84">
        <v>6</v>
      </c>
      <c r="V84">
        <v>2</v>
      </c>
      <c r="X84">
        <v>1</v>
      </c>
      <c r="Y84">
        <v>235</v>
      </c>
      <c r="Z84">
        <v>5</v>
      </c>
      <c r="AC84">
        <v>0</v>
      </c>
      <c r="AD84">
        <v>0</v>
      </c>
      <c r="AE84">
        <v>0</v>
      </c>
      <c r="AF84">
        <v>0</v>
      </c>
      <c r="AK84">
        <v>1</v>
      </c>
      <c r="AL84">
        <v>0</v>
      </c>
      <c r="AM84">
        <v>0</v>
      </c>
      <c r="AN84">
        <v>0</v>
      </c>
      <c r="AT84">
        <v>11</v>
      </c>
      <c r="BC84">
        <v>0</v>
      </c>
      <c r="BD84">
        <v>11</v>
      </c>
      <c r="BE84">
        <v>544</v>
      </c>
      <c r="BF84">
        <v>544</v>
      </c>
      <c r="BG84">
        <v>720</v>
      </c>
      <c r="BJ84">
        <v>1</v>
      </c>
      <c r="BL84" t="s">
        <v>262</v>
      </c>
      <c r="BM84" s="4">
        <v>43283.253472222219</v>
      </c>
      <c r="BN84" s="4">
        <v>43283.290960648148</v>
      </c>
      <c r="BO84" s="4">
        <v>43283.290960648148</v>
      </c>
      <c r="BP84" t="s">
        <v>92</v>
      </c>
      <c r="BQ84" t="s">
        <v>93</v>
      </c>
      <c r="BR84" t="s">
        <v>94</v>
      </c>
    </row>
    <row r="85" spans="1:70" x14ac:dyDescent="0.3">
      <c r="A85" t="str">
        <f>"200051B0100"</f>
        <v>200051B0100</v>
      </c>
      <c r="B85" t="s">
        <v>263</v>
      </c>
      <c r="C85">
        <v>20</v>
      </c>
      <c r="D85" t="s">
        <v>88</v>
      </c>
      <c r="E85">
        <v>6</v>
      </c>
      <c r="F85" t="s">
        <v>232</v>
      </c>
      <c r="G85">
        <v>51</v>
      </c>
      <c r="H85">
        <v>1</v>
      </c>
      <c r="I85" t="s">
        <v>90</v>
      </c>
      <c r="J85">
        <v>0</v>
      </c>
      <c r="K85">
        <v>2</v>
      </c>
      <c r="L85">
        <v>5</v>
      </c>
      <c r="BG85">
        <v>481</v>
      </c>
      <c r="BI85" t="s">
        <v>122</v>
      </c>
      <c r="BJ85">
        <v>0</v>
      </c>
      <c r="BL85" t="s">
        <v>264</v>
      </c>
      <c r="BM85" s="4">
        <v>43283.407638888886</v>
      </c>
      <c r="BN85" s="4">
        <v>43283.415868055556</v>
      </c>
      <c r="BO85" s="4">
        <v>43283.415868055556</v>
      </c>
      <c r="BP85" t="s">
        <v>92</v>
      </c>
      <c r="BQ85" t="s">
        <v>93</v>
      </c>
      <c r="BR85" t="s">
        <v>94</v>
      </c>
    </row>
    <row r="86" spans="1:70" x14ac:dyDescent="0.3">
      <c r="A86" t="str">
        <f>"200051C0100"</f>
        <v>200051C0100</v>
      </c>
      <c r="B86" t="s">
        <v>265</v>
      </c>
      <c r="C86">
        <v>20</v>
      </c>
      <c r="D86" t="s">
        <v>88</v>
      </c>
      <c r="E86">
        <v>6</v>
      </c>
      <c r="F86" t="s">
        <v>232</v>
      </c>
      <c r="G86">
        <v>51</v>
      </c>
      <c r="H86">
        <v>1</v>
      </c>
      <c r="I86" t="s">
        <v>98</v>
      </c>
      <c r="J86">
        <v>0</v>
      </c>
      <c r="K86">
        <v>2</v>
      </c>
      <c r="L86">
        <v>5</v>
      </c>
      <c r="BG86">
        <v>481</v>
      </c>
      <c r="BI86" t="s">
        <v>122</v>
      </c>
      <c r="BJ86">
        <v>0</v>
      </c>
      <c r="BL86" t="s">
        <v>266</v>
      </c>
      <c r="BM86" s="4">
        <v>43283.407638888886</v>
      </c>
      <c r="BN86" s="4">
        <v>43283.41269675926</v>
      </c>
      <c r="BO86" s="4">
        <v>43283.41269675926</v>
      </c>
      <c r="BP86" t="s">
        <v>92</v>
      </c>
      <c r="BQ86" t="s">
        <v>93</v>
      </c>
      <c r="BR86" t="s">
        <v>94</v>
      </c>
    </row>
    <row r="87" spans="1:70" x14ac:dyDescent="0.3">
      <c r="A87" t="str">
        <f>"200052B0100"</f>
        <v>200052B0100</v>
      </c>
      <c r="B87" t="s">
        <v>267</v>
      </c>
      <c r="C87">
        <v>20</v>
      </c>
      <c r="D87" t="s">
        <v>88</v>
      </c>
      <c r="E87">
        <v>6</v>
      </c>
      <c r="F87" t="s">
        <v>232</v>
      </c>
      <c r="G87">
        <v>52</v>
      </c>
      <c r="H87">
        <v>1</v>
      </c>
      <c r="I87" t="s">
        <v>90</v>
      </c>
      <c r="J87">
        <v>0</v>
      </c>
      <c r="K87">
        <v>2</v>
      </c>
      <c r="L87">
        <v>5</v>
      </c>
      <c r="M87">
        <v>125</v>
      </c>
      <c r="N87">
        <v>319</v>
      </c>
      <c r="O87">
        <v>0</v>
      </c>
      <c r="P87">
        <v>316</v>
      </c>
      <c r="Q87">
        <v>1</v>
      </c>
      <c r="R87">
        <v>57</v>
      </c>
      <c r="S87">
        <v>8</v>
      </c>
      <c r="T87">
        <v>116</v>
      </c>
      <c r="U87">
        <v>3</v>
      </c>
      <c r="V87">
        <v>0</v>
      </c>
      <c r="X87">
        <v>0</v>
      </c>
      <c r="Y87">
        <v>115</v>
      </c>
      <c r="Z87">
        <v>4</v>
      </c>
      <c r="AC87">
        <v>0</v>
      </c>
      <c r="AD87">
        <v>0</v>
      </c>
      <c r="AE87">
        <v>0</v>
      </c>
      <c r="AF87">
        <v>0</v>
      </c>
      <c r="AK87">
        <v>3</v>
      </c>
      <c r="AL87">
        <v>0</v>
      </c>
      <c r="AM87">
        <v>0</v>
      </c>
      <c r="AN87">
        <v>0</v>
      </c>
      <c r="AT87">
        <v>5</v>
      </c>
      <c r="BC87">
        <v>0</v>
      </c>
      <c r="BD87">
        <v>7</v>
      </c>
      <c r="BE87">
        <v>319</v>
      </c>
      <c r="BF87">
        <v>319</v>
      </c>
      <c r="BG87">
        <v>421</v>
      </c>
      <c r="BJ87">
        <v>1</v>
      </c>
      <c r="BL87" t="s">
        <v>268</v>
      </c>
      <c r="BM87" s="4">
        <v>43283.268055555556</v>
      </c>
      <c r="BN87" s="4">
        <v>43283.295393518521</v>
      </c>
      <c r="BO87" s="4">
        <v>43283.295393518521</v>
      </c>
      <c r="BP87" t="s">
        <v>92</v>
      </c>
      <c r="BQ87" t="s">
        <v>93</v>
      </c>
      <c r="BR87" t="s">
        <v>94</v>
      </c>
    </row>
    <row r="88" spans="1:70" x14ac:dyDescent="0.3">
      <c r="A88" t="str">
        <f>"200052C0100"</f>
        <v>200052C0100</v>
      </c>
      <c r="B88" t="s">
        <v>269</v>
      </c>
      <c r="C88">
        <v>20</v>
      </c>
      <c r="D88" t="s">
        <v>88</v>
      </c>
      <c r="E88">
        <v>6</v>
      </c>
      <c r="F88" t="s">
        <v>232</v>
      </c>
      <c r="G88">
        <v>52</v>
      </c>
      <c r="H88">
        <v>1</v>
      </c>
      <c r="I88" t="s">
        <v>98</v>
      </c>
      <c r="J88">
        <v>0</v>
      </c>
      <c r="K88">
        <v>2</v>
      </c>
      <c r="L88">
        <v>5</v>
      </c>
      <c r="M88">
        <v>122</v>
      </c>
      <c r="N88">
        <v>322</v>
      </c>
      <c r="O88">
        <v>0</v>
      </c>
      <c r="P88">
        <v>322</v>
      </c>
      <c r="Q88">
        <v>1</v>
      </c>
      <c r="R88">
        <v>64</v>
      </c>
      <c r="S88">
        <v>2</v>
      </c>
      <c r="T88">
        <v>131</v>
      </c>
      <c r="U88">
        <v>1</v>
      </c>
      <c r="V88">
        <v>3</v>
      </c>
      <c r="X88">
        <v>2</v>
      </c>
      <c r="Y88">
        <v>101</v>
      </c>
      <c r="Z88">
        <v>1</v>
      </c>
      <c r="AC88">
        <v>0</v>
      </c>
      <c r="AD88">
        <v>0</v>
      </c>
      <c r="AE88">
        <v>0</v>
      </c>
      <c r="AF88">
        <v>0</v>
      </c>
      <c r="AK88">
        <v>0</v>
      </c>
      <c r="AL88">
        <v>1</v>
      </c>
      <c r="AM88">
        <v>0</v>
      </c>
      <c r="AN88">
        <v>0</v>
      </c>
      <c r="AT88">
        <v>5</v>
      </c>
      <c r="BC88">
        <v>0</v>
      </c>
      <c r="BD88">
        <v>10</v>
      </c>
      <c r="BE88">
        <v>322</v>
      </c>
      <c r="BF88">
        <v>322</v>
      </c>
      <c r="BG88">
        <v>421</v>
      </c>
      <c r="BJ88">
        <v>1</v>
      </c>
      <c r="BL88" t="s">
        <v>270</v>
      </c>
      <c r="BM88" s="4">
        <v>43283.261111111111</v>
      </c>
      <c r="BN88" s="4">
        <v>43283.288668981484</v>
      </c>
      <c r="BO88" s="4">
        <v>43283.288668981484</v>
      </c>
      <c r="BP88" t="s">
        <v>92</v>
      </c>
      <c r="BQ88" t="s">
        <v>93</v>
      </c>
      <c r="BR88" t="s">
        <v>94</v>
      </c>
    </row>
    <row r="89" spans="1:70" x14ac:dyDescent="0.3">
      <c r="A89" t="str">
        <f>"200053B0100"</f>
        <v>200053B0100</v>
      </c>
      <c r="B89" t="s">
        <v>271</v>
      </c>
      <c r="C89">
        <v>20</v>
      </c>
      <c r="D89" t="s">
        <v>88</v>
      </c>
      <c r="E89">
        <v>6</v>
      </c>
      <c r="F89" t="s">
        <v>232</v>
      </c>
      <c r="G89">
        <v>53</v>
      </c>
      <c r="H89">
        <v>1</v>
      </c>
      <c r="I89" t="s">
        <v>90</v>
      </c>
      <c r="J89">
        <v>0</v>
      </c>
      <c r="K89">
        <v>2</v>
      </c>
      <c r="L89">
        <v>5</v>
      </c>
      <c r="BG89">
        <v>553</v>
      </c>
      <c r="BI89" t="s">
        <v>122</v>
      </c>
      <c r="BJ89">
        <v>0</v>
      </c>
      <c r="BL89" t="s">
        <v>272</v>
      </c>
      <c r="BM89" s="4">
        <v>43283.406944444447</v>
      </c>
      <c r="BN89" s="4">
        <v>43283.413078703707</v>
      </c>
      <c r="BO89" s="4">
        <v>43283.413078703707</v>
      </c>
      <c r="BP89" t="s">
        <v>92</v>
      </c>
      <c r="BQ89" t="s">
        <v>93</v>
      </c>
      <c r="BR89" t="s">
        <v>94</v>
      </c>
    </row>
    <row r="90" spans="1:70" x14ac:dyDescent="0.3">
      <c r="A90" t="str">
        <f>"200053E0100"</f>
        <v>200053E0100</v>
      </c>
      <c r="B90" s="2" t="s">
        <v>273</v>
      </c>
      <c r="C90">
        <v>20</v>
      </c>
      <c r="D90" t="s">
        <v>88</v>
      </c>
      <c r="E90">
        <v>6</v>
      </c>
      <c r="F90" t="s">
        <v>232</v>
      </c>
      <c r="G90">
        <v>53</v>
      </c>
      <c r="H90">
        <v>1</v>
      </c>
      <c r="I90" t="s">
        <v>156</v>
      </c>
      <c r="J90">
        <v>0</v>
      </c>
      <c r="K90">
        <v>2</v>
      </c>
      <c r="L90">
        <v>5</v>
      </c>
      <c r="BG90">
        <v>369</v>
      </c>
      <c r="BI90" t="s">
        <v>122</v>
      </c>
      <c r="BJ90">
        <v>0</v>
      </c>
      <c r="BL90" t="s">
        <v>274</v>
      </c>
      <c r="BM90" s="4">
        <v>43283.40625</v>
      </c>
      <c r="BN90" s="4">
        <v>43283.413564814815</v>
      </c>
      <c r="BO90" s="4">
        <v>43283.413564814815</v>
      </c>
      <c r="BP90" t="s">
        <v>92</v>
      </c>
      <c r="BQ90" t="s">
        <v>93</v>
      </c>
      <c r="BR90" t="s">
        <v>94</v>
      </c>
    </row>
    <row r="91" spans="1:70" x14ac:dyDescent="0.3">
      <c r="A91" t="str">
        <f>"200054B0100"</f>
        <v>200054B0100</v>
      </c>
      <c r="B91" t="s">
        <v>275</v>
      </c>
      <c r="C91">
        <v>20</v>
      </c>
      <c r="D91" t="s">
        <v>88</v>
      </c>
      <c r="E91">
        <v>6</v>
      </c>
      <c r="F91" t="s">
        <v>232</v>
      </c>
      <c r="G91">
        <v>54</v>
      </c>
      <c r="H91">
        <v>1</v>
      </c>
      <c r="I91" t="s">
        <v>90</v>
      </c>
      <c r="J91">
        <v>0</v>
      </c>
      <c r="K91">
        <v>2</v>
      </c>
      <c r="L91">
        <v>5</v>
      </c>
      <c r="M91">
        <v>175</v>
      </c>
      <c r="N91">
        <v>531</v>
      </c>
      <c r="O91">
        <v>1</v>
      </c>
      <c r="P91">
        <v>529</v>
      </c>
      <c r="Q91">
        <v>0</v>
      </c>
      <c r="R91">
        <v>84</v>
      </c>
      <c r="S91">
        <v>6</v>
      </c>
      <c r="T91">
        <v>213</v>
      </c>
      <c r="U91">
        <v>6</v>
      </c>
      <c r="V91">
        <v>1</v>
      </c>
      <c r="X91">
        <v>1</v>
      </c>
      <c r="Y91">
        <v>196</v>
      </c>
      <c r="Z91">
        <v>2</v>
      </c>
      <c r="AC91">
        <v>0</v>
      </c>
      <c r="AD91">
        <v>0</v>
      </c>
      <c r="AE91">
        <v>0</v>
      </c>
      <c r="AF91">
        <v>0</v>
      </c>
      <c r="AK91">
        <v>0</v>
      </c>
      <c r="AL91">
        <v>0</v>
      </c>
      <c r="AM91">
        <v>0</v>
      </c>
      <c r="AN91">
        <v>0</v>
      </c>
      <c r="AT91">
        <v>15</v>
      </c>
      <c r="BC91">
        <v>0</v>
      </c>
      <c r="BD91">
        <v>5</v>
      </c>
      <c r="BE91">
        <v>529</v>
      </c>
      <c r="BF91">
        <v>529</v>
      </c>
      <c r="BG91">
        <v>670</v>
      </c>
      <c r="BJ91">
        <v>1</v>
      </c>
      <c r="BL91" t="s">
        <v>276</v>
      </c>
      <c r="BM91" s="4">
        <v>43283.267361111109</v>
      </c>
      <c r="BN91" s="4">
        <v>43283.294664351852</v>
      </c>
      <c r="BO91" s="4">
        <v>43283.294664351852</v>
      </c>
      <c r="BP91" t="s">
        <v>92</v>
      </c>
      <c r="BQ91" t="s">
        <v>93</v>
      </c>
      <c r="BR91" t="s">
        <v>94</v>
      </c>
    </row>
    <row r="92" spans="1:70" x14ac:dyDescent="0.3">
      <c r="A92" t="str">
        <f>"200054E0100"</f>
        <v>200054E0100</v>
      </c>
      <c r="B92" s="2" t="s">
        <v>277</v>
      </c>
      <c r="C92">
        <v>20</v>
      </c>
      <c r="D92" t="s">
        <v>88</v>
      </c>
      <c r="E92">
        <v>6</v>
      </c>
      <c r="F92" t="s">
        <v>232</v>
      </c>
      <c r="G92">
        <v>54</v>
      </c>
      <c r="H92">
        <v>1</v>
      </c>
      <c r="I92" t="s">
        <v>156</v>
      </c>
      <c r="J92">
        <v>0</v>
      </c>
      <c r="K92">
        <v>2</v>
      </c>
      <c r="L92">
        <v>5</v>
      </c>
      <c r="M92">
        <v>68</v>
      </c>
      <c r="N92">
        <v>202</v>
      </c>
      <c r="O92">
        <v>0</v>
      </c>
      <c r="P92">
        <v>202</v>
      </c>
      <c r="Q92">
        <v>0</v>
      </c>
      <c r="R92">
        <v>13</v>
      </c>
      <c r="S92">
        <v>1</v>
      </c>
      <c r="T92">
        <v>178</v>
      </c>
      <c r="U92">
        <v>1</v>
      </c>
      <c r="V92">
        <v>0</v>
      </c>
      <c r="X92">
        <v>1</v>
      </c>
      <c r="Y92">
        <v>7</v>
      </c>
      <c r="Z92">
        <v>0</v>
      </c>
      <c r="AC92">
        <v>0</v>
      </c>
      <c r="AD92">
        <v>0</v>
      </c>
      <c r="AE92">
        <v>0</v>
      </c>
      <c r="AF92">
        <v>0</v>
      </c>
      <c r="AK92">
        <v>0</v>
      </c>
      <c r="AL92">
        <v>0</v>
      </c>
      <c r="AM92">
        <v>0</v>
      </c>
      <c r="AN92">
        <v>0</v>
      </c>
      <c r="AT92">
        <v>1</v>
      </c>
      <c r="BC92">
        <v>0</v>
      </c>
      <c r="BD92">
        <v>1</v>
      </c>
      <c r="BE92">
        <v>202</v>
      </c>
      <c r="BF92">
        <v>203</v>
      </c>
      <c r="BG92">
        <v>248</v>
      </c>
      <c r="BJ92">
        <v>1</v>
      </c>
      <c r="BL92" t="s">
        <v>278</v>
      </c>
      <c r="BM92" s="4">
        <v>43283.05972222222</v>
      </c>
      <c r="BN92" s="4">
        <v>43283.066932870373</v>
      </c>
      <c r="BO92" s="4">
        <v>43283.066932870373</v>
      </c>
      <c r="BP92" t="s">
        <v>92</v>
      </c>
      <c r="BQ92" t="s">
        <v>93</v>
      </c>
      <c r="BR92" t="s">
        <v>94</v>
      </c>
    </row>
    <row r="93" spans="1:70" x14ac:dyDescent="0.3">
      <c r="A93" t="str">
        <f>"200055B0100"</f>
        <v>200055B0100</v>
      </c>
      <c r="B93" t="s">
        <v>279</v>
      </c>
      <c r="C93">
        <v>20</v>
      </c>
      <c r="D93" t="s">
        <v>88</v>
      </c>
      <c r="E93">
        <v>6</v>
      </c>
      <c r="F93" t="s">
        <v>232</v>
      </c>
      <c r="G93">
        <v>55</v>
      </c>
      <c r="H93">
        <v>1</v>
      </c>
      <c r="I93" t="s">
        <v>90</v>
      </c>
      <c r="J93">
        <v>0</v>
      </c>
      <c r="K93">
        <v>2</v>
      </c>
      <c r="L93">
        <v>5</v>
      </c>
      <c r="M93">
        <v>54</v>
      </c>
      <c r="N93">
        <v>184</v>
      </c>
      <c r="O93">
        <v>0</v>
      </c>
      <c r="P93">
        <v>3</v>
      </c>
      <c r="Q93">
        <v>0</v>
      </c>
      <c r="R93">
        <v>24</v>
      </c>
      <c r="S93">
        <v>2</v>
      </c>
      <c r="T93">
        <v>82</v>
      </c>
      <c r="U93">
        <v>2</v>
      </c>
      <c r="V93">
        <v>1</v>
      </c>
      <c r="X93">
        <v>1</v>
      </c>
      <c r="Y93">
        <v>56</v>
      </c>
      <c r="Z93">
        <v>1</v>
      </c>
      <c r="AC93">
        <v>0</v>
      </c>
      <c r="AD93">
        <v>0</v>
      </c>
      <c r="AE93">
        <v>0</v>
      </c>
      <c r="AF93" t="s">
        <v>127</v>
      </c>
      <c r="AK93">
        <v>2</v>
      </c>
      <c r="AL93">
        <v>3</v>
      </c>
      <c r="AM93">
        <v>0</v>
      </c>
      <c r="AN93">
        <v>1</v>
      </c>
      <c r="AT93">
        <v>6</v>
      </c>
      <c r="BC93">
        <v>0</v>
      </c>
      <c r="BD93">
        <v>3</v>
      </c>
      <c r="BE93">
        <v>184</v>
      </c>
      <c r="BF93">
        <v>184</v>
      </c>
      <c r="BG93">
        <v>215</v>
      </c>
      <c r="BI93" t="s">
        <v>106</v>
      </c>
      <c r="BJ93">
        <v>1</v>
      </c>
      <c r="BL93" t="s">
        <v>280</v>
      </c>
      <c r="BM93" s="4">
        <v>43283.063194444447</v>
      </c>
      <c r="BN93" s="4">
        <v>43283.074814814812</v>
      </c>
      <c r="BO93" s="4">
        <v>43283.074814814812</v>
      </c>
      <c r="BP93" t="s">
        <v>92</v>
      </c>
      <c r="BQ93" t="s">
        <v>93</v>
      </c>
      <c r="BR93" t="s">
        <v>94</v>
      </c>
    </row>
    <row r="94" spans="1:70" x14ac:dyDescent="0.3">
      <c r="A94" t="str">
        <f>"200056B0100"</f>
        <v>200056B0100</v>
      </c>
      <c r="B94" t="s">
        <v>281</v>
      </c>
      <c r="C94">
        <v>20</v>
      </c>
      <c r="D94" t="s">
        <v>88</v>
      </c>
      <c r="E94">
        <v>6</v>
      </c>
      <c r="F94" t="s">
        <v>232</v>
      </c>
      <c r="G94">
        <v>56</v>
      </c>
      <c r="H94">
        <v>1</v>
      </c>
      <c r="I94" t="s">
        <v>90</v>
      </c>
      <c r="J94">
        <v>0</v>
      </c>
      <c r="K94">
        <v>2</v>
      </c>
      <c r="L94">
        <v>5</v>
      </c>
      <c r="M94">
        <v>145</v>
      </c>
      <c r="N94">
        <v>313</v>
      </c>
      <c r="O94">
        <v>0</v>
      </c>
      <c r="P94">
        <v>313</v>
      </c>
      <c r="Q94">
        <v>1</v>
      </c>
      <c r="R94">
        <v>82</v>
      </c>
      <c r="S94">
        <v>2</v>
      </c>
      <c r="T94">
        <v>114</v>
      </c>
      <c r="U94">
        <v>6</v>
      </c>
      <c r="V94">
        <v>3</v>
      </c>
      <c r="X94">
        <v>0</v>
      </c>
      <c r="Y94">
        <v>86</v>
      </c>
      <c r="Z94">
        <v>0</v>
      </c>
      <c r="AC94">
        <v>0</v>
      </c>
      <c r="AD94">
        <v>0</v>
      </c>
      <c r="AE94">
        <v>0</v>
      </c>
      <c r="AF94">
        <v>0</v>
      </c>
      <c r="AK94">
        <v>0</v>
      </c>
      <c r="AL94">
        <v>1</v>
      </c>
      <c r="AM94">
        <v>0</v>
      </c>
      <c r="AN94">
        <v>0</v>
      </c>
      <c r="AT94">
        <v>4</v>
      </c>
      <c r="BC94">
        <v>0</v>
      </c>
      <c r="BD94">
        <v>14</v>
      </c>
      <c r="BE94">
        <v>313</v>
      </c>
      <c r="BF94">
        <v>313</v>
      </c>
      <c r="BG94">
        <v>435</v>
      </c>
      <c r="BJ94">
        <v>1</v>
      </c>
      <c r="BL94" t="s">
        <v>282</v>
      </c>
      <c r="BM94" s="4">
        <v>43283.066666666666</v>
      </c>
      <c r="BN94" s="4">
        <v>43283.072314814817</v>
      </c>
      <c r="BO94" s="4">
        <v>43283.072314814817</v>
      </c>
      <c r="BP94" t="s">
        <v>92</v>
      </c>
      <c r="BQ94" t="s">
        <v>93</v>
      </c>
      <c r="BR94" t="s">
        <v>94</v>
      </c>
    </row>
    <row r="95" spans="1:70" x14ac:dyDescent="0.3">
      <c r="A95" t="str">
        <f>"200056C0100"</f>
        <v>200056C0100</v>
      </c>
      <c r="B95" t="s">
        <v>283</v>
      </c>
      <c r="C95">
        <v>20</v>
      </c>
      <c r="D95" t="s">
        <v>88</v>
      </c>
      <c r="E95">
        <v>6</v>
      </c>
      <c r="F95" t="s">
        <v>232</v>
      </c>
      <c r="G95">
        <v>56</v>
      </c>
      <c r="H95">
        <v>1</v>
      </c>
      <c r="I95" t="s">
        <v>98</v>
      </c>
      <c r="J95">
        <v>0</v>
      </c>
      <c r="K95">
        <v>2</v>
      </c>
      <c r="L95">
        <v>5</v>
      </c>
      <c r="M95">
        <v>146</v>
      </c>
      <c r="N95">
        <v>313</v>
      </c>
      <c r="O95">
        <v>0</v>
      </c>
      <c r="P95">
        <v>313</v>
      </c>
      <c r="Q95">
        <v>1</v>
      </c>
      <c r="R95">
        <v>76</v>
      </c>
      <c r="S95">
        <v>2</v>
      </c>
      <c r="T95">
        <v>132</v>
      </c>
      <c r="U95">
        <v>1</v>
      </c>
      <c r="V95">
        <v>3</v>
      </c>
      <c r="X95">
        <v>1</v>
      </c>
      <c r="Y95">
        <v>80</v>
      </c>
      <c r="Z95">
        <v>1</v>
      </c>
      <c r="AC95">
        <v>0</v>
      </c>
      <c r="AD95">
        <v>0</v>
      </c>
      <c r="AE95">
        <v>0</v>
      </c>
      <c r="AF95">
        <v>0</v>
      </c>
      <c r="AK95">
        <v>0</v>
      </c>
      <c r="AL95">
        <v>1</v>
      </c>
      <c r="AM95">
        <v>0</v>
      </c>
      <c r="AN95">
        <v>0</v>
      </c>
      <c r="AT95">
        <v>9</v>
      </c>
      <c r="BC95">
        <v>0</v>
      </c>
      <c r="BD95">
        <v>6</v>
      </c>
      <c r="BE95">
        <v>313</v>
      </c>
      <c r="BF95">
        <v>313</v>
      </c>
      <c r="BG95">
        <v>435</v>
      </c>
      <c r="BJ95">
        <v>1</v>
      </c>
      <c r="BL95" t="s">
        <v>284</v>
      </c>
      <c r="BM95" s="4">
        <v>43283.078472222223</v>
      </c>
      <c r="BN95" s="4">
        <v>43283.086967592593</v>
      </c>
      <c r="BO95" s="4">
        <v>43283.086967592593</v>
      </c>
      <c r="BP95" t="s">
        <v>92</v>
      </c>
      <c r="BQ95" t="s">
        <v>93</v>
      </c>
      <c r="BR95" t="s">
        <v>254</v>
      </c>
    </row>
    <row r="96" spans="1:70" x14ac:dyDescent="0.3">
      <c r="A96" t="str">
        <f>"200057B0100"</f>
        <v>200057B0100</v>
      </c>
      <c r="B96" t="s">
        <v>285</v>
      </c>
      <c r="C96">
        <v>20</v>
      </c>
      <c r="D96" t="s">
        <v>88</v>
      </c>
      <c r="E96">
        <v>7</v>
      </c>
      <c r="F96" t="s">
        <v>286</v>
      </c>
      <c r="G96">
        <v>57</v>
      </c>
      <c r="H96">
        <v>1</v>
      </c>
      <c r="I96" t="s">
        <v>90</v>
      </c>
      <c r="J96">
        <v>0</v>
      </c>
      <c r="K96">
        <v>2</v>
      </c>
      <c r="L96">
        <v>5</v>
      </c>
      <c r="M96">
        <v>179</v>
      </c>
      <c r="N96">
        <v>451</v>
      </c>
      <c r="O96">
        <v>6</v>
      </c>
      <c r="P96">
        <v>451</v>
      </c>
      <c r="Q96">
        <v>17</v>
      </c>
      <c r="R96">
        <v>15</v>
      </c>
      <c r="S96">
        <v>104</v>
      </c>
      <c r="T96">
        <v>1</v>
      </c>
      <c r="U96">
        <v>23</v>
      </c>
      <c r="V96">
        <v>7</v>
      </c>
      <c r="W96">
        <v>23</v>
      </c>
      <c r="X96">
        <v>38</v>
      </c>
      <c r="Y96">
        <v>96</v>
      </c>
      <c r="Z96">
        <v>7</v>
      </c>
      <c r="AA96">
        <v>1</v>
      </c>
      <c r="AB96">
        <v>19</v>
      </c>
      <c r="AC96">
        <v>5</v>
      </c>
      <c r="AD96">
        <v>2</v>
      </c>
      <c r="AE96">
        <v>0</v>
      </c>
      <c r="AF96">
        <v>2</v>
      </c>
      <c r="AG96">
        <v>3</v>
      </c>
      <c r="AH96">
        <v>0</v>
      </c>
      <c r="AI96">
        <v>2</v>
      </c>
      <c r="AJ96">
        <v>0</v>
      </c>
      <c r="AK96">
        <v>4</v>
      </c>
      <c r="AL96">
        <v>0</v>
      </c>
      <c r="AM96">
        <v>0</v>
      </c>
      <c r="AN96">
        <v>0</v>
      </c>
      <c r="AZ96">
        <v>62</v>
      </c>
      <c r="BC96">
        <v>0</v>
      </c>
      <c r="BD96">
        <v>20</v>
      </c>
      <c r="BE96">
        <v>451</v>
      </c>
      <c r="BF96">
        <v>451</v>
      </c>
      <c r="BG96">
        <v>608</v>
      </c>
      <c r="BJ96">
        <v>1</v>
      </c>
      <c r="BL96" t="s">
        <v>287</v>
      </c>
      <c r="BM96" s="4">
        <v>43283.267361111109</v>
      </c>
      <c r="BN96" s="4">
        <v>43283.295567129629</v>
      </c>
      <c r="BO96" s="4">
        <v>43283.295567129629</v>
      </c>
      <c r="BP96" t="s">
        <v>92</v>
      </c>
      <c r="BQ96" t="s">
        <v>93</v>
      </c>
      <c r="BR96" t="s">
        <v>94</v>
      </c>
    </row>
    <row r="97" spans="1:70" x14ac:dyDescent="0.3">
      <c r="A97" t="str">
        <f>"200057C0100"</f>
        <v>200057C0100</v>
      </c>
      <c r="B97" t="s">
        <v>288</v>
      </c>
      <c r="C97">
        <v>20</v>
      </c>
      <c r="D97" t="s">
        <v>88</v>
      </c>
      <c r="E97">
        <v>7</v>
      </c>
      <c r="F97" t="s">
        <v>286</v>
      </c>
      <c r="G97">
        <v>57</v>
      </c>
      <c r="H97">
        <v>1</v>
      </c>
      <c r="I97" t="s">
        <v>98</v>
      </c>
      <c r="J97">
        <v>0</v>
      </c>
      <c r="K97">
        <v>2</v>
      </c>
      <c r="L97">
        <v>5</v>
      </c>
      <c r="M97">
        <v>199</v>
      </c>
      <c r="N97">
        <v>432</v>
      </c>
      <c r="O97">
        <v>0</v>
      </c>
      <c r="P97">
        <v>432</v>
      </c>
      <c r="Q97">
        <v>13</v>
      </c>
      <c r="R97">
        <v>14</v>
      </c>
      <c r="S97">
        <v>100</v>
      </c>
      <c r="T97">
        <v>2</v>
      </c>
      <c r="U97">
        <v>36</v>
      </c>
      <c r="V97">
        <v>4</v>
      </c>
      <c r="W97">
        <v>21</v>
      </c>
      <c r="X97">
        <v>52</v>
      </c>
      <c r="Y97">
        <v>72</v>
      </c>
      <c r="Z97">
        <v>3</v>
      </c>
      <c r="AA97">
        <v>2</v>
      </c>
      <c r="AB97">
        <v>24</v>
      </c>
      <c r="AC97">
        <v>4</v>
      </c>
      <c r="AD97">
        <v>0</v>
      </c>
      <c r="AE97">
        <v>0</v>
      </c>
      <c r="AF97">
        <v>1</v>
      </c>
      <c r="AG97">
        <v>3</v>
      </c>
      <c r="AH97">
        <v>0</v>
      </c>
      <c r="AI97">
        <v>6</v>
      </c>
      <c r="AJ97">
        <v>1</v>
      </c>
      <c r="AK97">
        <v>6</v>
      </c>
      <c r="AL97">
        <v>3</v>
      </c>
      <c r="AM97">
        <v>0</v>
      </c>
      <c r="AN97">
        <v>0</v>
      </c>
      <c r="AZ97">
        <v>50</v>
      </c>
      <c r="BC97">
        <v>0</v>
      </c>
      <c r="BD97">
        <v>15</v>
      </c>
      <c r="BE97">
        <v>432</v>
      </c>
      <c r="BF97">
        <v>432</v>
      </c>
      <c r="BG97">
        <v>608</v>
      </c>
      <c r="BJ97">
        <v>1</v>
      </c>
      <c r="BL97" t="s">
        <v>289</v>
      </c>
      <c r="BM97" s="4">
        <v>43283.267361111109</v>
      </c>
      <c r="BN97" s="4">
        <v>43283.293888888889</v>
      </c>
      <c r="BO97" s="4">
        <v>43283.293888888889</v>
      </c>
      <c r="BP97" t="s">
        <v>92</v>
      </c>
      <c r="BQ97" t="s">
        <v>93</v>
      </c>
      <c r="BR97" t="s">
        <v>94</v>
      </c>
    </row>
    <row r="98" spans="1:70" x14ac:dyDescent="0.3">
      <c r="A98" t="str">
        <f>"200057C0200"</f>
        <v>200057C0200</v>
      </c>
      <c r="B98" t="s">
        <v>290</v>
      </c>
      <c r="C98">
        <v>20</v>
      </c>
      <c r="D98" t="s">
        <v>88</v>
      </c>
      <c r="E98">
        <v>7</v>
      </c>
      <c r="F98" t="s">
        <v>286</v>
      </c>
      <c r="G98">
        <v>57</v>
      </c>
      <c r="H98">
        <v>2</v>
      </c>
      <c r="I98" t="s">
        <v>98</v>
      </c>
      <c r="J98">
        <v>0</v>
      </c>
      <c r="K98">
        <v>2</v>
      </c>
      <c r="L98">
        <v>5</v>
      </c>
      <c r="M98">
        <v>214</v>
      </c>
      <c r="N98">
        <v>417</v>
      </c>
      <c r="O98">
        <v>1</v>
      </c>
      <c r="P98">
        <v>417</v>
      </c>
      <c r="Q98">
        <v>20</v>
      </c>
      <c r="R98">
        <v>12</v>
      </c>
      <c r="S98">
        <v>104</v>
      </c>
      <c r="T98">
        <v>0</v>
      </c>
      <c r="U98">
        <v>30</v>
      </c>
      <c r="V98">
        <v>4</v>
      </c>
      <c r="W98">
        <v>22</v>
      </c>
      <c r="X98">
        <v>46</v>
      </c>
      <c r="Y98">
        <v>93</v>
      </c>
      <c r="Z98">
        <v>3</v>
      </c>
      <c r="AA98">
        <v>0</v>
      </c>
      <c r="AB98">
        <v>15</v>
      </c>
      <c r="AC98">
        <v>4</v>
      </c>
      <c r="AD98">
        <v>3</v>
      </c>
      <c r="AE98">
        <v>0</v>
      </c>
      <c r="AF98">
        <v>0</v>
      </c>
      <c r="AG98">
        <v>2</v>
      </c>
      <c r="AH98">
        <v>0</v>
      </c>
      <c r="AI98">
        <v>1</v>
      </c>
      <c r="AJ98">
        <v>0</v>
      </c>
      <c r="AK98">
        <v>4</v>
      </c>
      <c r="AL98">
        <v>0</v>
      </c>
      <c r="AM98">
        <v>0</v>
      </c>
      <c r="AN98">
        <v>0</v>
      </c>
      <c r="AZ98">
        <v>39</v>
      </c>
      <c r="BC98">
        <v>0</v>
      </c>
      <c r="BD98">
        <v>15</v>
      </c>
      <c r="BE98">
        <v>417</v>
      </c>
      <c r="BF98">
        <v>417</v>
      </c>
      <c r="BG98">
        <v>608</v>
      </c>
      <c r="BJ98">
        <v>1</v>
      </c>
      <c r="BL98" t="s">
        <v>291</v>
      </c>
      <c r="BM98" s="4">
        <v>43283.269444444442</v>
      </c>
      <c r="BN98" s="4">
        <v>43283.296898148146</v>
      </c>
      <c r="BO98" s="4">
        <v>43283.296898148146</v>
      </c>
      <c r="BP98" t="s">
        <v>92</v>
      </c>
      <c r="BQ98" t="s">
        <v>93</v>
      </c>
      <c r="BR98" t="s">
        <v>94</v>
      </c>
    </row>
    <row r="99" spans="1:70" x14ac:dyDescent="0.3">
      <c r="A99" t="str">
        <f>"200057C0300"</f>
        <v>200057C0300</v>
      </c>
      <c r="B99" t="s">
        <v>292</v>
      </c>
      <c r="C99">
        <v>20</v>
      </c>
      <c r="D99" t="s">
        <v>88</v>
      </c>
      <c r="E99">
        <v>7</v>
      </c>
      <c r="F99" t="s">
        <v>286</v>
      </c>
      <c r="G99">
        <v>57</v>
      </c>
      <c r="H99">
        <v>3</v>
      </c>
      <c r="I99" t="s">
        <v>98</v>
      </c>
      <c r="J99">
        <v>0</v>
      </c>
      <c r="K99">
        <v>2</v>
      </c>
      <c r="L99">
        <v>5</v>
      </c>
      <c r="M99">
        <v>193</v>
      </c>
      <c r="N99">
        <v>438</v>
      </c>
      <c r="O99">
        <v>5</v>
      </c>
      <c r="P99">
        <v>438</v>
      </c>
      <c r="Q99">
        <v>13</v>
      </c>
      <c r="R99">
        <v>16</v>
      </c>
      <c r="S99">
        <v>112</v>
      </c>
      <c r="T99">
        <v>0</v>
      </c>
      <c r="U99">
        <v>24</v>
      </c>
      <c r="V99">
        <v>3</v>
      </c>
      <c r="W99">
        <v>23</v>
      </c>
      <c r="X99">
        <v>50</v>
      </c>
      <c r="Y99">
        <v>87</v>
      </c>
      <c r="Z99">
        <v>1</v>
      </c>
      <c r="AA99">
        <v>1</v>
      </c>
      <c r="AB99">
        <v>15</v>
      </c>
      <c r="AC99">
        <v>4</v>
      </c>
      <c r="AD99">
        <v>0</v>
      </c>
      <c r="AE99">
        <v>0</v>
      </c>
      <c r="AF99">
        <v>1</v>
      </c>
      <c r="AG99">
        <v>0</v>
      </c>
      <c r="AH99">
        <v>0</v>
      </c>
      <c r="AI99">
        <v>2</v>
      </c>
      <c r="AJ99">
        <v>0</v>
      </c>
      <c r="AK99">
        <v>5</v>
      </c>
      <c r="AL99">
        <v>4</v>
      </c>
      <c r="AM99">
        <v>0</v>
      </c>
      <c r="AN99">
        <v>1</v>
      </c>
      <c r="AZ99">
        <v>58</v>
      </c>
      <c r="BC99">
        <v>0</v>
      </c>
      <c r="BD99">
        <v>18</v>
      </c>
      <c r="BE99">
        <v>438</v>
      </c>
      <c r="BF99">
        <v>438</v>
      </c>
      <c r="BG99">
        <v>608</v>
      </c>
      <c r="BJ99">
        <v>1</v>
      </c>
      <c r="BL99" t="s">
        <v>293</v>
      </c>
      <c r="BM99" s="4">
        <v>43283.268055555556</v>
      </c>
      <c r="BN99" s="4">
        <v>43283.299664351849</v>
      </c>
      <c r="BO99" s="4">
        <v>43283.299664351849</v>
      </c>
      <c r="BP99" t="s">
        <v>92</v>
      </c>
      <c r="BQ99" t="s">
        <v>93</v>
      </c>
      <c r="BR99" t="s">
        <v>94</v>
      </c>
    </row>
    <row r="100" spans="1:70" x14ac:dyDescent="0.3">
      <c r="A100" t="str">
        <f>"200057C0400"</f>
        <v>200057C0400</v>
      </c>
      <c r="B100" t="s">
        <v>294</v>
      </c>
      <c r="C100">
        <v>20</v>
      </c>
      <c r="D100" t="s">
        <v>88</v>
      </c>
      <c r="E100">
        <v>7</v>
      </c>
      <c r="F100" t="s">
        <v>286</v>
      </c>
      <c r="G100">
        <v>57</v>
      </c>
      <c r="H100">
        <v>4</v>
      </c>
      <c r="I100" t="s">
        <v>98</v>
      </c>
      <c r="J100">
        <v>0</v>
      </c>
      <c r="K100">
        <v>2</v>
      </c>
      <c r="L100">
        <v>5</v>
      </c>
      <c r="M100" t="s">
        <v>105</v>
      </c>
      <c r="N100" t="s">
        <v>105</v>
      </c>
      <c r="O100" t="s">
        <v>105</v>
      </c>
      <c r="P100" t="s">
        <v>105</v>
      </c>
      <c r="Q100">
        <v>11</v>
      </c>
      <c r="R100">
        <v>18</v>
      </c>
      <c r="S100">
        <v>84</v>
      </c>
      <c r="T100">
        <v>3</v>
      </c>
      <c r="U100">
        <v>32</v>
      </c>
      <c r="V100">
        <v>4</v>
      </c>
      <c r="W100">
        <v>27</v>
      </c>
      <c r="X100">
        <v>37</v>
      </c>
      <c r="Y100">
        <v>94</v>
      </c>
      <c r="Z100">
        <v>4</v>
      </c>
      <c r="AA100">
        <v>0</v>
      </c>
      <c r="AB100">
        <v>24</v>
      </c>
      <c r="AC100">
        <v>2</v>
      </c>
      <c r="AD100">
        <v>2</v>
      </c>
      <c r="AE100">
        <v>0</v>
      </c>
      <c r="AF100">
        <v>1</v>
      </c>
      <c r="AG100">
        <v>1</v>
      </c>
      <c r="AH100">
        <v>0</v>
      </c>
      <c r="AI100">
        <v>0</v>
      </c>
      <c r="AJ100">
        <v>0</v>
      </c>
      <c r="AK100">
        <v>3</v>
      </c>
      <c r="AL100">
        <v>2</v>
      </c>
      <c r="AM100">
        <v>0</v>
      </c>
      <c r="AN100">
        <v>1</v>
      </c>
      <c r="AZ100">
        <v>49</v>
      </c>
      <c r="BC100">
        <v>0</v>
      </c>
      <c r="BD100">
        <v>9</v>
      </c>
      <c r="BE100">
        <v>409</v>
      </c>
      <c r="BF100">
        <v>408</v>
      </c>
      <c r="BG100">
        <v>608</v>
      </c>
      <c r="BJ100">
        <v>1</v>
      </c>
      <c r="BL100" t="s">
        <v>295</v>
      </c>
      <c r="BM100" s="4">
        <v>43283.292361111111</v>
      </c>
      <c r="BN100" s="4">
        <v>43283.322939814818</v>
      </c>
      <c r="BO100" s="4">
        <v>43283.322939814818</v>
      </c>
      <c r="BP100" t="s">
        <v>92</v>
      </c>
      <c r="BQ100" t="s">
        <v>93</v>
      </c>
      <c r="BR100" t="s">
        <v>94</v>
      </c>
    </row>
    <row r="101" spans="1:70" x14ac:dyDescent="0.3">
      <c r="A101" t="str">
        <f>"200058B0100"</f>
        <v>200058B0100</v>
      </c>
      <c r="B101" t="s">
        <v>296</v>
      </c>
      <c r="C101">
        <v>20</v>
      </c>
      <c r="D101" t="s">
        <v>88</v>
      </c>
      <c r="E101">
        <v>7</v>
      </c>
      <c r="F101" t="s">
        <v>286</v>
      </c>
      <c r="G101">
        <v>58</v>
      </c>
      <c r="H101">
        <v>1</v>
      </c>
      <c r="I101" t="s">
        <v>90</v>
      </c>
      <c r="J101">
        <v>0</v>
      </c>
      <c r="K101">
        <v>1</v>
      </c>
      <c r="L101">
        <v>5</v>
      </c>
      <c r="M101">
        <v>201</v>
      </c>
      <c r="N101">
        <v>530</v>
      </c>
      <c r="O101">
        <v>2</v>
      </c>
      <c r="P101">
        <v>530</v>
      </c>
      <c r="Q101">
        <v>15</v>
      </c>
      <c r="R101">
        <v>28</v>
      </c>
      <c r="S101">
        <v>129</v>
      </c>
      <c r="T101">
        <v>1</v>
      </c>
      <c r="U101">
        <v>51</v>
      </c>
      <c r="V101">
        <v>3</v>
      </c>
      <c r="W101">
        <v>60</v>
      </c>
      <c r="X101">
        <v>77</v>
      </c>
      <c r="Y101">
        <v>72</v>
      </c>
      <c r="Z101">
        <v>2</v>
      </c>
      <c r="AA101">
        <v>3</v>
      </c>
      <c r="AB101">
        <v>21</v>
      </c>
      <c r="AC101">
        <v>4</v>
      </c>
      <c r="AD101">
        <v>0</v>
      </c>
      <c r="AE101">
        <v>0</v>
      </c>
      <c r="AF101">
        <v>0</v>
      </c>
      <c r="AG101">
        <v>3</v>
      </c>
      <c r="AH101">
        <v>1</v>
      </c>
      <c r="AI101">
        <v>4</v>
      </c>
      <c r="AJ101">
        <v>0</v>
      </c>
      <c r="AK101">
        <v>7</v>
      </c>
      <c r="AL101">
        <v>3</v>
      </c>
      <c r="AM101">
        <v>0</v>
      </c>
      <c r="AN101">
        <v>0</v>
      </c>
      <c r="AZ101">
        <v>33</v>
      </c>
      <c r="BC101">
        <v>0</v>
      </c>
      <c r="BD101">
        <v>13</v>
      </c>
      <c r="BE101">
        <v>530</v>
      </c>
      <c r="BF101">
        <v>530</v>
      </c>
      <c r="BG101">
        <v>708</v>
      </c>
      <c r="BJ101">
        <v>1</v>
      </c>
      <c r="BL101" t="s">
        <v>297</v>
      </c>
      <c r="BM101" s="4">
        <v>43283.189583333333</v>
      </c>
      <c r="BN101" s="4">
        <v>43283.207326388889</v>
      </c>
      <c r="BO101" s="4">
        <v>43283.207326388889</v>
      </c>
      <c r="BP101" t="s">
        <v>92</v>
      </c>
      <c r="BQ101" t="s">
        <v>93</v>
      </c>
      <c r="BR101" t="s">
        <v>94</v>
      </c>
    </row>
    <row r="102" spans="1:70" x14ac:dyDescent="0.3">
      <c r="A102" t="str">
        <f>"200058C0100"</f>
        <v>200058C0100</v>
      </c>
      <c r="B102" t="s">
        <v>298</v>
      </c>
      <c r="C102">
        <v>20</v>
      </c>
      <c r="D102" t="s">
        <v>88</v>
      </c>
      <c r="E102">
        <v>7</v>
      </c>
      <c r="F102" t="s">
        <v>286</v>
      </c>
      <c r="G102">
        <v>58</v>
      </c>
      <c r="H102">
        <v>1</v>
      </c>
      <c r="I102" t="s">
        <v>98</v>
      </c>
      <c r="J102">
        <v>0</v>
      </c>
      <c r="K102">
        <v>1</v>
      </c>
      <c r="L102">
        <v>5</v>
      </c>
      <c r="M102">
        <v>217</v>
      </c>
      <c r="N102">
        <v>514</v>
      </c>
      <c r="O102">
        <v>0</v>
      </c>
      <c r="P102">
        <v>514</v>
      </c>
      <c r="Q102">
        <v>4</v>
      </c>
      <c r="R102">
        <v>11</v>
      </c>
      <c r="S102">
        <v>142</v>
      </c>
      <c r="T102">
        <v>6</v>
      </c>
      <c r="U102">
        <v>31</v>
      </c>
      <c r="V102">
        <v>4</v>
      </c>
      <c r="W102">
        <v>36</v>
      </c>
      <c r="X102">
        <v>59</v>
      </c>
      <c r="Y102">
        <v>90</v>
      </c>
      <c r="Z102">
        <v>3</v>
      </c>
      <c r="AA102">
        <v>2</v>
      </c>
      <c r="AB102">
        <v>25</v>
      </c>
      <c r="AC102">
        <v>3</v>
      </c>
      <c r="AD102">
        <v>3</v>
      </c>
      <c r="AE102">
        <v>0</v>
      </c>
      <c r="AF102">
        <v>2</v>
      </c>
      <c r="AG102">
        <v>1</v>
      </c>
      <c r="AH102">
        <v>0</v>
      </c>
      <c r="AI102">
        <v>4</v>
      </c>
      <c r="AJ102">
        <v>0</v>
      </c>
      <c r="AK102">
        <v>4</v>
      </c>
      <c r="AL102">
        <v>3</v>
      </c>
      <c r="AM102">
        <v>0</v>
      </c>
      <c r="AN102">
        <v>0</v>
      </c>
      <c r="AZ102">
        <v>61</v>
      </c>
      <c r="BC102">
        <v>0</v>
      </c>
      <c r="BD102">
        <v>20</v>
      </c>
      <c r="BE102">
        <v>514</v>
      </c>
      <c r="BF102">
        <v>514</v>
      </c>
      <c r="BG102">
        <v>708</v>
      </c>
      <c r="BJ102">
        <v>1</v>
      </c>
      <c r="BL102" t="s">
        <v>299</v>
      </c>
      <c r="BM102" s="4">
        <v>43283.189583333333</v>
      </c>
      <c r="BN102" s="4">
        <v>43283.207754629628</v>
      </c>
      <c r="BO102" s="4">
        <v>43283.207754629628</v>
      </c>
      <c r="BP102" t="s">
        <v>92</v>
      </c>
      <c r="BQ102" t="s">
        <v>93</v>
      </c>
      <c r="BR102" t="s">
        <v>94</v>
      </c>
    </row>
    <row r="103" spans="1:70" x14ac:dyDescent="0.3">
      <c r="A103" t="str">
        <f>"200058C0200"</f>
        <v>200058C0200</v>
      </c>
      <c r="B103" t="s">
        <v>300</v>
      </c>
      <c r="C103">
        <v>20</v>
      </c>
      <c r="D103" t="s">
        <v>88</v>
      </c>
      <c r="E103">
        <v>7</v>
      </c>
      <c r="F103" t="s">
        <v>286</v>
      </c>
      <c r="G103">
        <v>58</v>
      </c>
      <c r="H103">
        <v>2</v>
      </c>
      <c r="I103" t="s">
        <v>98</v>
      </c>
      <c r="J103">
        <v>0</v>
      </c>
      <c r="K103">
        <v>1</v>
      </c>
      <c r="L103">
        <v>5</v>
      </c>
      <c r="M103">
        <v>208</v>
      </c>
      <c r="N103">
        <v>522</v>
      </c>
      <c r="O103">
        <v>1</v>
      </c>
      <c r="P103">
        <v>522</v>
      </c>
      <c r="Q103">
        <v>13</v>
      </c>
      <c r="R103">
        <v>17</v>
      </c>
      <c r="S103">
        <v>105</v>
      </c>
      <c r="T103">
        <v>3</v>
      </c>
      <c r="U103">
        <v>45</v>
      </c>
      <c r="V103">
        <v>1</v>
      </c>
      <c r="W103">
        <v>45</v>
      </c>
      <c r="X103">
        <v>46</v>
      </c>
      <c r="Y103">
        <v>119</v>
      </c>
      <c r="Z103">
        <v>2</v>
      </c>
      <c r="AA103">
        <v>1</v>
      </c>
      <c r="AB103">
        <v>31</v>
      </c>
      <c r="AC103">
        <v>2</v>
      </c>
      <c r="AD103">
        <v>0</v>
      </c>
      <c r="AE103">
        <v>0</v>
      </c>
      <c r="AF103">
        <v>0</v>
      </c>
      <c r="AG103">
        <v>4</v>
      </c>
      <c r="AH103">
        <v>0</v>
      </c>
      <c r="AI103">
        <v>2</v>
      </c>
      <c r="AJ103">
        <v>0</v>
      </c>
      <c r="AK103">
        <v>6</v>
      </c>
      <c r="AL103">
        <v>0</v>
      </c>
      <c r="AM103">
        <v>0</v>
      </c>
      <c r="AN103">
        <v>1</v>
      </c>
      <c r="AZ103">
        <v>58</v>
      </c>
      <c r="BC103">
        <v>0</v>
      </c>
      <c r="BD103">
        <v>21</v>
      </c>
      <c r="BE103">
        <v>522</v>
      </c>
      <c r="BF103">
        <v>522</v>
      </c>
      <c r="BG103">
        <v>707</v>
      </c>
      <c r="BJ103">
        <v>1</v>
      </c>
      <c r="BL103" t="s">
        <v>301</v>
      </c>
      <c r="BM103" s="4">
        <v>43283.196527777778</v>
      </c>
      <c r="BN103" s="4">
        <v>43283.219861111109</v>
      </c>
      <c r="BO103" s="4">
        <v>43283.219861111109</v>
      </c>
      <c r="BP103" t="s">
        <v>92</v>
      </c>
      <c r="BQ103" t="s">
        <v>93</v>
      </c>
      <c r="BR103" t="s">
        <v>254</v>
      </c>
    </row>
    <row r="104" spans="1:70" x14ac:dyDescent="0.3">
      <c r="A104" t="str">
        <f>"200058C0300"</f>
        <v>200058C0300</v>
      </c>
      <c r="B104" t="s">
        <v>302</v>
      </c>
      <c r="C104">
        <v>20</v>
      </c>
      <c r="D104" t="s">
        <v>88</v>
      </c>
      <c r="E104">
        <v>7</v>
      </c>
      <c r="F104" t="s">
        <v>286</v>
      </c>
      <c r="G104">
        <v>58</v>
      </c>
      <c r="H104">
        <v>3</v>
      </c>
      <c r="I104" t="s">
        <v>98</v>
      </c>
      <c r="J104">
        <v>0</v>
      </c>
      <c r="K104">
        <v>1</v>
      </c>
      <c r="L104">
        <v>5</v>
      </c>
      <c r="M104">
        <v>202</v>
      </c>
      <c r="N104">
        <v>528</v>
      </c>
      <c r="O104">
        <v>2</v>
      </c>
      <c r="P104">
        <v>528</v>
      </c>
      <c r="Q104">
        <v>15</v>
      </c>
      <c r="R104">
        <v>12</v>
      </c>
      <c r="S104">
        <v>122</v>
      </c>
      <c r="T104">
        <v>1</v>
      </c>
      <c r="U104">
        <v>38</v>
      </c>
      <c r="V104">
        <v>9</v>
      </c>
      <c r="W104">
        <v>42</v>
      </c>
      <c r="X104">
        <v>65</v>
      </c>
      <c r="Y104">
        <v>104</v>
      </c>
      <c r="Z104">
        <v>4</v>
      </c>
      <c r="AA104">
        <v>1</v>
      </c>
      <c r="AB104">
        <v>19</v>
      </c>
      <c r="AC104">
        <v>4</v>
      </c>
      <c r="AD104">
        <v>3</v>
      </c>
      <c r="AE104">
        <v>0</v>
      </c>
      <c r="AF104">
        <v>0</v>
      </c>
      <c r="AG104">
        <v>3</v>
      </c>
      <c r="AH104">
        <v>0</v>
      </c>
      <c r="AI104">
        <v>2</v>
      </c>
      <c r="AJ104">
        <v>0</v>
      </c>
      <c r="AK104">
        <v>4</v>
      </c>
      <c r="AL104">
        <v>4</v>
      </c>
      <c r="AM104">
        <v>0</v>
      </c>
      <c r="AN104">
        <v>0</v>
      </c>
      <c r="AZ104">
        <v>49</v>
      </c>
      <c r="BC104">
        <v>0</v>
      </c>
      <c r="BD104">
        <v>27</v>
      </c>
      <c r="BE104">
        <v>528</v>
      </c>
      <c r="BF104">
        <v>528</v>
      </c>
      <c r="BG104">
        <v>707</v>
      </c>
      <c r="BJ104">
        <v>1</v>
      </c>
      <c r="BL104" t="s">
        <v>303</v>
      </c>
      <c r="BM104" s="4">
        <v>43283.196527777778</v>
      </c>
      <c r="BN104" s="4">
        <v>43283.215787037036</v>
      </c>
      <c r="BO104" s="4">
        <v>43283.215787037036</v>
      </c>
      <c r="BP104" t="s">
        <v>92</v>
      </c>
      <c r="BQ104" t="s">
        <v>93</v>
      </c>
      <c r="BR104" t="s">
        <v>254</v>
      </c>
    </row>
    <row r="105" spans="1:70" x14ac:dyDescent="0.3">
      <c r="A105" t="str">
        <f>"200059B0100"</f>
        <v>200059B0100</v>
      </c>
      <c r="B105" t="s">
        <v>304</v>
      </c>
      <c r="C105">
        <v>20</v>
      </c>
      <c r="D105" t="s">
        <v>88</v>
      </c>
      <c r="E105">
        <v>7</v>
      </c>
      <c r="F105" t="s">
        <v>286</v>
      </c>
      <c r="G105">
        <v>59</v>
      </c>
      <c r="H105">
        <v>1</v>
      </c>
      <c r="I105" t="s">
        <v>90</v>
      </c>
      <c r="J105">
        <v>0</v>
      </c>
      <c r="K105">
        <v>2</v>
      </c>
      <c r="L105">
        <v>5</v>
      </c>
      <c r="M105">
        <v>220</v>
      </c>
      <c r="N105">
        <v>519</v>
      </c>
      <c r="O105">
        <v>4</v>
      </c>
      <c r="P105">
        <v>519</v>
      </c>
      <c r="Q105">
        <v>13</v>
      </c>
      <c r="R105">
        <v>26</v>
      </c>
      <c r="S105">
        <v>116</v>
      </c>
      <c r="T105">
        <v>5</v>
      </c>
      <c r="U105">
        <v>37</v>
      </c>
      <c r="V105">
        <v>6</v>
      </c>
      <c r="W105">
        <v>21</v>
      </c>
      <c r="X105">
        <v>53</v>
      </c>
      <c r="Y105">
        <v>74</v>
      </c>
      <c r="Z105">
        <v>3</v>
      </c>
      <c r="AA105">
        <v>5</v>
      </c>
      <c r="AB105">
        <v>43</v>
      </c>
      <c r="AC105">
        <v>4</v>
      </c>
      <c r="AD105">
        <v>2</v>
      </c>
      <c r="AE105">
        <v>0</v>
      </c>
      <c r="AF105">
        <v>2</v>
      </c>
      <c r="AG105">
        <v>2</v>
      </c>
      <c r="AH105">
        <v>1</v>
      </c>
      <c r="AI105">
        <v>6</v>
      </c>
      <c r="AJ105">
        <v>0</v>
      </c>
      <c r="AK105">
        <v>2</v>
      </c>
      <c r="AL105">
        <v>2</v>
      </c>
      <c r="AM105">
        <v>0</v>
      </c>
      <c r="AN105">
        <v>0</v>
      </c>
      <c r="AZ105">
        <v>79</v>
      </c>
      <c r="BC105">
        <v>0</v>
      </c>
      <c r="BD105">
        <v>17</v>
      </c>
      <c r="BE105">
        <v>519</v>
      </c>
      <c r="BF105">
        <v>519</v>
      </c>
      <c r="BG105">
        <v>716</v>
      </c>
      <c r="BJ105">
        <v>1</v>
      </c>
      <c r="BL105" t="s">
        <v>305</v>
      </c>
      <c r="BM105" s="4">
        <v>43283.245138888888</v>
      </c>
      <c r="BN105" s="4">
        <v>43283.269895833335</v>
      </c>
      <c r="BO105" s="4">
        <v>43283.269895833335</v>
      </c>
      <c r="BP105" t="s">
        <v>92</v>
      </c>
      <c r="BQ105" t="s">
        <v>93</v>
      </c>
      <c r="BR105" t="s">
        <v>94</v>
      </c>
    </row>
    <row r="106" spans="1:70" x14ac:dyDescent="0.3">
      <c r="A106" t="str">
        <f>"200059C0100"</f>
        <v>200059C0100</v>
      </c>
      <c r="B106" t="s">
        <v>306</v>
      </c>
      <c r="C106">
        <v>20</v>
      </c>
      <c r="D106" t="s">
        <v>88</v>
      </c>
      <c r="E106">
        <v>7</v>
      </c>
      <c r="F106" t="s">
        <v>286</v>
      </c>
      <c r="G106">
        <v>59</v>
      </c>
      <c r="H106">
        <v>1</v>
      </c>
      <c r="I106" t="s">
        <v>98</v>
      </c>
      <c r="J106">
        <v>0</v>
      </c>
      <c r="K106">
        <v>2</v>
      </c>
      <c r="L106">
        <v>5</v>
      </c>
      <c r="M106">
        <v>221</v>
      </c>
      <c r="N106">
        <v>518</v>
      </c>
      <c r="O106">
        <v>7</v>
      </c>
      <c r="P106">
        <v>518</v>
      </c>
      <c r="Q106">
        <v>17</v>
      </c>
      <c r="R106">
        <v>25</v>
      </c>
      <c r="S106">
        <v>124</v>
      </c>
      <c r="T106">
        <v>2</v>
      </c>
      <c r="U106">
        <v>41</v>
      </c>
      <c r="V106">
        <v>7</v>
      </c>
      <c r="W106">
        <v>28</v>
      </c>
      <c r="X106">
        <v>33</v>
      </c>
      <c r="Y106">
        <v>110</v>
      </c>
      <c r="Z106">
        <v>1</v>
      </c>
      <c r="AA106">
        <v>1</v>
      </c>
      <c r="AB106">
        <v>28</v>
      </c>
      <c r="AC106">
        <v>3</v>
      </c>
      <c r="AD106">
        <v>0</v>
      </c>
      <c r="AE106">
        <v>1</v>
      </c>
      <c r="AF106">
        <v>2</v>
      </c>
      <c r="AG106">
        <v>5</v>
      </c>
      <c r="AH106">
        <v>2</v>
      </c>
      <c r="AI106">
        <v>6</v>
      </c>
      <c r="AJ106">
        <v>0</v>
      </c>
      <c r="AK106">
        <v>4</v>
      </c>
      <c r="AL106">
        <v>4</v>
      </c>
      <c r="AM106">
        <v>0</v>
      </c>
      <c r="AN106">
        <v>1</v>
      </c>
      <c r="AZ106">
        <v>53</v>
      </c>
      <c r="BC106">
        <v>1</v>
      </c>
      <c r="BD106">
        <v>19</v>
      </c>
      <c r="BE106">
        <v>518</v>
      </c>
      <c r="BF106">
        <v>518</v>
      </c>
      <c r="BG106">
        <v>716</v>
      </c>
      <c r="BJ106">
        <v>1</v>
      </c>
      <c r="BL106" t="s">
        <v>307</v>
      </c>
      <c r="BM106" s="4">
        <v>43283.245833333334</v>
      </c>
      <c r="BN106" s="4">
        <v>43283.270324074074</v>
      </c>
      <c r="BO106" s="4">
        <v>43283.270324074074</v>
      </c>
      <c r="BP106" t="s">
        <v>92</v>
      </c>
      <c r="BQ106" t="s">
        <v>93</v>
      </c>
      <c r="BR106" t="s">
        <v>94</v>
      </c>
    </row>
    <row r="107" spans="1:70" x14ac:dyDescent="0.3">
      <c r="A107" t="str">
        <f>"200059C0200"</f>
        <v>200059C0200</v>
      </c>
      <c r="B107" t="s">
        <v>308</v>
      </c>
      <c r="C107">
        <v>20</v>
      </c>
      <c r="D107" t="s">
        <v>88</v>
      </c>
      <c r="E107">
        <v>7</v>
      </c>
      <c r="F107" t="s">
        <v>286</v>
      </c>
      <c r="G107">
        <v>59</v>
      </c>
      <c r="H107">
        <v>2</v>
      </c>
      <c r="I107" t="s">
        <v>98</v>
      </c>
      <c r="J107">
        <v>0</v>
      </c>
      <c r="K107">
        <v>2</v>
      </c>
      <c r="L107">
        <v>5</v>
      </c>
      <c r="M107">
        <v>226</v>
      </c>
      <c r="N107">
        <v>512</v>
      </c>
      <c r="O107">
        <v>5</v>
      </c>
      <c r="P107">
        <v>512</v>
      </c>
      <c r="Q107">
        <v>9</v>
      </c>
      <c r="R107">
        <v>41</v>
      </c>
      <c r="S107">
        <v>121</v>
      </c>
      <c r="T107">
        <v>3</v>
      </c>
      <c r="U107">
        <v>40</v>
      </c>
      <c r="V107">
        <v>4</v>
      </c>
      <c r="W107">
        <v>26</v>
      </c>
      <c r="X107">
        <v>60</v>
      </c>
      <c r="Y107">
        <v>72</v>
      </c>
      <c r="Z107">
        <v>2</v>
      </c>
      <c r="AA107">
        <v>0</v>
      </c>
      <c r="AB107">
        <v>31</v>
      </c>
      <c r="AC107">
        <v>3</v>
      </c>
      <c r="AD107">
        <v>2</v>
      </c>
      <c r="AE107">
        <v>0</v>
      </c>
      <c r="AF107">
        <v>0</v>
      </c>
      <c r="AG107">
        <v>3</v>
      </c>
      <c r="AH107">
        <v>0</v>
      </c>
      <c r="AI107">
        <v>4</v>
      </c>
      <c r="AJ107">
        <v>0</v>
      </c>
      <c r="AK107">
        <v>4</v>
      </c>
      <c r="AL107">
        <v>2</v>
      </c>
      <c r="AM107">
        <v>1</v>
      </c>
      <c r="AN107">
        <v>1</v>
      </c>
      <c r="AZ107">
        <v>66</v>
      </c>
      <c r="BC107" t="s">
        <v>127</v>
      </c>
      <c r="BD107">
        <v>14</v>
      </c>
      <c r="BE107">
        <v>512</v>
      </c>
      <c r="BF107">
        <v>509</v>
      </c>
      <c r="BG107">
        <v>715</v>
      </c>
      <c r="BI107" t="s">
        <v>106</v>
      </c>
      <c r="BJ107">
        <v>1</v>
      </c>
      <c r="BL107" t="s">
        <v>309</v>
      </c>
      <c r="BM107" s="4">
        <v>43283.270138888889</v>
      </c>
      <c r="BN107" s="4">
        <v>43283.317546296297</v>
      </c>
      <c r="BO107" s="4">
        <v>43283.317546296297</v>
      </c>
      <c r="BP107" t="s">
        <v>92</v>
      </c>
      <c r="BQ107" t="s">
        <v>93</v>
      </c>
      <c r="BR107" t="s">
        <v>94</v>
      </c>
    </row>
    <row r="108" spans="1:70" x14ac:dyDescent="0.3">
      <c r="A108" t="str">
        <f>"200059S0100"</f>
        <v>200059S0100</v>
      </c>
      <c r="B108" t="s">
        <v>310</v>
      </c>
      <c r="C108">
        <v>20</v>
      </c>
      <c r="D108" t="s">
        <v>88</v>
      </c>
      <c r="E108">
        <v>7</v>
      </c>
      <c r="F108" t="s">
        <v>286</v>
      </c>
      <c r="G108">
        <v>59</v>
      </c>
      <c r="H108">
        <v>1</v>
      </c>
      <c r="I108" t="s">
        <v>113</v>
      </c>
      <c r="J108">
        <v>0</v>
      </c>
      <c r="K108">
        <v>2</v>
      </c>
      <c r="L108">
        <v>6</v>
      </c>
      <c r="M108">
        <v>744</v>
      </c>
      <c r="N108">
        <v>29</v>
      </c>
      <c r="O108">
        <v>0</v>
      </c>
      <c r="P108">
        <v>29</v>
      </c>
      <c r="Q108">
        <v>1</v>
      </c>
      <c r="R108">
        <v>1</v>
      </c>
      <c r="S108">
        <v>5</v>
      </c>
      <c r="T108">
        <v>0</v>
      </c>
      <c r="U108">
        <v>1</v>
      </c>
      <c r="V108">
        <v>0</v>
      </c>
      <c r="W108">
        <v>1</v>
      </c>
      <c r="X108">
        <v>2</v>
      </c>
      <c r="Y108">
        <v>6</v>
      </c>
      <c r="Z108">
        <v>1</v>
      </c>
      <c r="AA108">
        <v>0</v>
      </c>
      <c r="AB108">
        <v>2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1</v>
      </c>
      <c r="AM108">
        <v>0</v>
      </c>
      <c r="AN108">
        <v>0</v>
      </c>
      <c r="AZ108">
        <v>6</v>
      </c>
      <c r="BC108">
        <v>0</v>
      </c>
      <c r="BD108">
        <v>2</v>
      </c>
      <c r="BE108">
        <v>29</v>
      </c>
      <c r="BF108">
        <v>29</v>
      </c>
      <c r="BG108">
        <v>0</v>
      </c>
      <c r="BJ108">
        <v>1</v>
      </c>
      <c r="BL108" t="s">
        <v>311</v>
      </c>
      <c r="BM108" s="4">
        <v>43283.268055555556</v>
      </c>
      <c r="BN108" s="4">
        <v>43283.296990740739</v>
      </c>
      <c r="BO108" s="4">
        <v>43283.296990740739</v>
      </c>
      <c r="BP108" t="s">
        <v>92</v>
      </c>
      <c r="BQ108" t="s">
        <v>93</v>
      </c>
      <c r="BR108" t="s">
        <v>94</v>
      </c>
    </row>
    <row r="109" spans="1:70" x14ac:dyDescent="0.3">
      <c r="A109" t="str">
        <f>"200060B0100"</f>
        <v>200060B0100</v>
      </c>
      <c r="B109" t="s">
        <v>312</v>
      </c>
      <c r="C109">
        <v>20</v>
      </c>
      <c r="D109" t="s">
        <v>88</v>
      </c>
      <c r="E109">
        <v>7</v>
      </c>
      <c r="F109" t="s">
        <v>286</v>
      </c>
      <c r="G109">
        <v>60</v>
      </c>
      <c r="H109">
        <v>1</v>
      </c>
      <c r="I109" t="s">
        <v>90</v>
      </c>
      <c r="J109">
        <v>0</v>
      </c>
      <c r="K109">
        <v>2</v>
      </c>
      <c r="L109">
        <v>5</v>
      </c>
      <c r="M109">
        <v>251</v>
      </c>
      <c r="N109">
        <v>513</v>
      </c>
      <c r="O109">
        <v>2</v>
      </c>
      <c r="P109">
        <v>513</v>
      </c>
      <c r="Q109">
        <v>13</v>
      </c>
      <c r="R109">
        <v>15</v>
      </c>
      <c r="S109">
        <v>105</v>
      </c>
      <c r="T109">
        <v>3</v>
      </c>
      <c r="U109">
        <v>31</v>
      </c>
      <c r="V109">
        <v>6</v>
      </c>
      <c r="W109">
        <v>34</v>
      </c>
      <c r="X109">
        <v>34</v>
      </c>
      <c r="Y109">
        <v>114</v>
      </c>
      <c r="Z109">
        <v>3</v>
      </c>
      <c r="AA109">
        <v>2</v>
      </c>
      <c r="AB109">
        <v>23</v>
      </c>
      <c r="AC109">
        <v>4</v>
      </c>
      <c r="AD109">
        <v>2</v>
      </c>
      <c r="AE109">
        <v>0</v>
      </c>
      <c r="AF109">
        <v>1</v>
      </c>
      <c r="AG109">
        <v>1</v>
      </c>
      <c r="AH109">
        <v>1</v>
      </c>
      <c r="AI109">
        <v>2</v>
      </c>
      <c r="AJ109">
        <v>0</v>
      </c>
      <c r="AK109">
        <v>3</v>
      </c>
      <c r="AL109">
        <v>4</v>
      </c>
      <c r="AM109">
        <v>0</v>
      </c>
      <c r="AN109">
        <v>0</v>
      </c>
      <c r="AZ109">
        <v>96</v>
      </c>
      <c r="BC109">
        <v>0</v>
      </c>
      <c r="BD109">
        <v>14</v>
      </c>
      <c r="BE109">
        <v>513</v>
      </c>
      <c r="BF109">
        <v>511</v>
      </c>
      <c r="BG109">
        <v>740</v>
      </c>
      <c r="BJ109">
        <v>1</v>
      </c>
      <c r="BL109" t="s">
        <v>313</v>
      </c>
      <c r="BM109" s="4">
        <v>43283.247916666667</v>
      </c>
      <c r="BN109" s="4">
        <v>43283.275891203702</v>
      </c>
      <c r="BO109" s="4">
        <v>43283.275891203702</v>
      </c>
      <c r="BP109" t="s">
        <v>92</v>
      </c>
      <c r="BQ109" t="s">
        <v>93</v>
      </c>
      <c r="BR109" t="s">
        <v>94</v>
      </c>
    </row>
    <row r="110" spans="1:70" x14ac:dyDescent="0.3">
      <c r="A110" t="str">
        <f>"200060C0100"</f>
        <v>200060C0100</v>
      </c>
      <c r="B110" t="s">
        <v>314</v>
      </c>
      <c r="C110">
        <v>20</v>
      </c>
      <c r="D110" t="s">
        <v>88</v>
      </c>
      <c r="E110">
        <v>7</v>
      </c>
      <c r="F110" t="s">
        <v>286</v>
      </c>
      <c r="G110">
        <v>60</v>
      </c>
      <c r="H110">
        <v>1</v>
      </c>
      <c r="I110" t="s">
        <v>98</v>
      </c>
      <c r="J110">
        <v>0</v>
      </c>
      <c r="K110">
        <v>2</v>
      </c>
      <c r="L110">
        <v>5</v>
      </c>
      <c r="M110">
        <v>255</v>
      </c>
      <c r="N110">
        <v>508</v>
      </c>
      <c r="O110">
        <v>3</v>
      </c>
      <c r="P110">
        <v>508</v>
      </c>
      <c r="Q110">
        <v>18</v>
      </c>
      <c r="R110">
        <v>16</v>
      </c>
      <c r="S110">
        <v>87</v>
      </c>
      <c r="T110">
        <v>3</v>
      </c>
      <c r="U110">
        <v>33</v>
      </c>
      <c r="V110">
        <v>12</v>
      </c>
      <c r="W110">
        <v>27</v>
      </c>
      <c r="X110">
        <v>42</v>
      </c>
      <c r="Y110">
        <v>112</v>
      </c>
      <c r="Z110">
        <v>6</v>
      </c>
      <c r="AA110">
        <v>0</v>
      </c>
      <c r="AB110">
        <v>23</v>
      </c>
      <c r="AC110">
        <v>3</v>
      </c>
      <c r="AD110">
        <v>1</v>
      </c>
      <c r="AE110">
        <v>0</v>
      </c>
      <c r="AF110">
        <v>1</v>
      </c>
      <c r="AG110">
        <v>3</v>
      </c>
      <c r="AH110">
        <v>1</v>
      </c>
      <c r="AI110">
        <v>2</v>
      </c>
      <c r="AJ110">
        <v>0</v>
      </c>
      <c r="AK110">
        <v>6</v>
      </c>
      <c r="AL110">
        <v>1</v>
      </c>
      <c r="AM110">
        <v>1</v>
      </c>
      <c r="AN110">
        <v>0</v>
      </c>
      <c r="AZ110">
        <v>90</v>
      </c>
      <c r="BC110">
        <v>0</v>
      </c>
      <c r="BD110">
        <v>20</v>
      </c>
      <c r="BE110">
        <v>508</v>
      </c>
      <c r="BF110">
        <v>508</v>
      </c>
      <c r="BG110">
        <v>740</v>
      </c>
      <c r="BJ110">
        <v>1</v>
      </c>
      <c r="BL110" t="s">
        <v>315</v>
      </c>
      <c r="BM110" s="4">
        <v>43283.24722222222</v>
      </c>
      <c r="BN110" s="4">
        <v>43283.271770833337</v>
      </c>
      <c r="BO110" s="4">
        <v>43283.271770833337</v>
      </c>
      <c r="BP110" t="s">
        <v>92</v>
      </c>
      <c r="BQ110" t="s">
        <v>93</v>
      </c>
      <c r="BR110" t="s">
        <v>94</v>
      </c>
    </row>
    <row r="111" spans="1:70" x14ac:dyDescent="0.3">
      <c r="A111" t="str">
        <f>"200060C0200"</f>
        <v>200060C0200</v>
      </c>
      <c r="B111" t="s">
        <v>316</v>
      </c>
      <c r="C111">
        <v>20</v>
      </c>
      <c r="D111" t="s">
        <v>88</v>
      </c>
      <c r="E111">
        <v>7</v>
      </c>
      <c r="F111" t="s">
        <v>286</v>
      </c>
      <c r="G111">
        <v>60</v>
      </c>
      <c r="H111">
        <v>2</v>
      </c>
      <c r="I111" t="s">
        <v>98</v>
      </c>
      <c r="J111">
        <v>0</v>
      </c>
      <c r="K111">
        <v>2</v>
      </c>
      <c r="L111">
        <v>5</v>
      </c>
      <c r="M111">
        <v>232</v>
      </c>
      <c r="N111">
        <v>530</v>
      </c>
      <c r="O111">
        <v>2</v>
      </c>
      <c r="P111">
        <v>530</v>
      </c>
      <c r="Q111">
        <v>16</v>
      </c>
      <c r="R111">
        <v>29</v>
      </c>
      <c r="S111">
        <v>105</v>
      </c>
      <c r="T111">
        <v>3</v>
      </c>
      <c r="U111">
        <v>30</v>
      </c>
      <c r="V111">
        <v>11</v>
      </c>
      <c r="W111">
        <v>23</v>
      </c>
      <c r="X111">
        <v>38</v>
      </c>
      <c r="Y111">
        <v>121</v>
      </c>
      <c r="Z111">
        <v>3</v>
      </c>
      <c r="AA111">
        <v>0</v>
      </c>
      <c r="AB111">
        <v>13</v>
      </c>
      <c r="AC111">
        <v>0</v>
      </c>
      <c r="AD111">
        <v>1</v>
      </c>
      <c r="AE111">
        <v>0</v>
      </c>
      <c r="AF111">
        <v>0</v>
      </c>
      <c r="AG111">
        <v>1</v>
      </c>
      <c r="AH111">
        <v>0</v>
      </c>
      <c r="AI111">
        <v>3</v>
      </c>
      <c r="AJ111">
        <v>0</v>
      </c>
      <c r="AK111">
        <v>4</v>
      </c>
      <c r="AL111">
        <v>3</v>
      </c>
      <c r="AM111">
        <v>0</v>
      </c>
      <c r="AN111">
        <v>2</v>
      </c>
      <c r="AZ111">
        <v>99</v>
      </c>
      <c r="BC111">
        <v>0</v>
      </c>
      <c r="BD111">
        <v>25</v>
      </c>
      <c r="BE111">
        <v>530</v>
      </c>
      <c r="BF111">
        <v>530</v>
      </c>
      <c r="BG111">
        <v>739</v>
      </c>
      <c r="BJ111">
        <v>1</v>
      </c>
      <c r="BL111" t="s">
        <v>317</v>
      </c>
      <c r="BM111" s="4">
        <v>43283.246527777781</v>
      </c>
      <c r="BN111" s="4">
        <v>43283.273009259261</v>
      </c>
      <c r="BO111" s="4">
        <v>43283.273009259261</v>
      </c>
      <c r="BP111" t="s">
        <v>92</v>
      </c>
      <c r="BQ111" t="s">
        <v>93</v>
      </c>
      <c r="BR111" t="s">
        <v>94</v>
      </c>
    </row>
    <row r="112" spans="1:70" x14ac:dyDescent="0.3">
      <c r="A112" t="str">
        <f>"200060C0300"</f>
        <v>200060C0300</v>
      </c>
      <c r="B112" t="s">
        <v>318</v>
      </c>
      <c r="C112">
        <v>20</v>
      </c>
      <c r="D112" t="s">
        <v>88</v>
      </c>
      <c r="E112">
        <v>7</v>
      </c>
      <c r="F112" t="s">
        <v>286</v>
      </c>
      <c r="G112">
        <v>60</v>
      </c>
      <c r="H112">
        <v>3</v>
      </c>
      <c r="I112" t="s">
        <v>98</v>
      </c>
      <c r="J112">
        <v>0</v>
      </c>
      <c r="K112">
        <v>2</v>
      </c>
      <c r="L112">
        <v>5</v>
      </c>
      <c r="M112">
        <v>255</v>
      </c>
      <c r="N112">
        <v>507</v>
      </c>
      <c r="O112">
        <v>2</v>
      </c>
      <c r="P112">
        <v>507</v>
      </c>
      <c r="Q112">
        <v>9</v>
      </c>
      <c r="R112">
        <v>17</v>
      </c>
      <c r="S112">
        <v>122</v>
      </c>
      <c r="T112">
        <v>0</v>
      </c>
      <c r="U112">
        <v>46</v>
      </c>
      <c r="V112">
        <v>3</v>
      </c>
      <c r="W112">
        <v>22</v>
      </c>
      <c r="X112">
        <v>53</v>
      </c>
      <c r="Y112">
        <v>108</v>
      </c>
      <c r="Z112">
        <v>5</v>
      </c>
      <c r="AA112">
        <v>0</v>
      </c>
      <c r="AB112">
        <v>19</v>
      </c>
      <c r="AC112">
        <v>4</v>
      </c>
      <c r="AD112">
        <v>2</v>
      </c>
      <c r="AE112">
        <v>0</v>
      </c>
      <c r="AF112">
        <v>1</v>
      </c>
      <c r="AG112">
        <v>2</v>
      </c>
      <c r="AH112">
        <v>2</v>
      </c>
      <c r="AI112">
        <v>1</v>
      </c>
      <c r="AJ112">
        <v>0</v>
      </c>
      <c r="AK112">
        <v>6</v>
      </c>
      <c r="AL112">
        <v>2</v>
      </c>
      <c r="AM112">
        <v>1</v>
      </c>
      <c r="AN112">
        <v>0</v>
      </c>
      <c r="AZ112">
        <v>65</v>
      </c>
      <c r="BC112">
        <v>1</v>
      </c>
      <c r="BD112">
        <v>16</v>
      </c>
      <c r="BE112" t="s">
        <v>105</v>
      </c>
      <c r="BF112">
        <v>507</v>
      </c>
      <c r="BG112">
        <v>739</v>
      </c>
      <c r="BJ112">
        <v>1</v>
      </c>
      <c r="BL112" t="s">
        <v>319</v>
      </c>
      <c r="BM112" s="4">
        <v>43283.24722222222</v>
      </c>
      <c r="BN112" s="4">
        <v>43283.271793981483</v>
      </c>
      <c r="BO112" s="4">
        <v>43283.271793981483</v>
      </c>
      <c r="BP112" t="s">
        <v>92</v>
      </c>
      <c r="BQ112" t="s">
        <v>93</v>
      </c>
      <c r="BR112" t="s">
        <v>94</v>
      </c>
    </row>
    <row r="113" spans="1:70" x14ac:dyDescent="0.3">
      <c r="A113" t="str">
        <f>"200061B0100"</f>
        <v>200061B0100</v>
      </c>
      <c r="B113" t="s">
        <v>320</v>
      </c>
      <c r="C113">
        <v>20</v>
      </c>
      <c r="D113" t="s">
        <v>88</v>
      </c>
      <c r="E113">
        <v>7</v>
      </c>
      <c r="F113" t="s">
        <v>286</v>
      </c>
      <c r="G113">
        <v>61</v>
      </c>
      <c r="H113">
        <v>1</v>
      </c>
      <c r="I113" t="s">
        <v>90</v>
      </c>
      <c r="J113">
        <v>0</v>
      </c>
      <c r="K113">
        <v>2</v>
      </c>
      <c r="L113">
        <v>5</v>
      </c>
      <c r="M113">
        <v>80</v>
      </c>
      <c r="N113">
        <v>93</v>
      </c>
      <c r="O113">
        <v>7</v>
      </c>
      <c r="P113">
        <v>93</v>
      </c>
      <c r="Q113">
        <v>1</v>
      </c>
      <c r="R113">
        <v>7</v>
      </c>
      <c r="S113">
        <v>25</v>
      </c>
      <c r="T113">
        <v>2</v>
      </c>
      <c r="U113">
        <v>10</v>
      </c>
      <c r="V113">
        <v>0</v>
      </c>
      <c r="W113">
        <v>10</v>
      </c>
      <c r="X113">
        <v>10</v>
      </c>
      <c r="Y113">
        <v>12</v>
      </c>
      <c r="Z113">
        <v>2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Z113">
        <v>5</v>
      </c>
      <c r="BC113">
        <v>0</v>
      </c>
      <c r="BD113">
        <v>9</v>
      </c>
      <c r="BE113">
        <v>93</v>
      </c>
      <c r="BF113">
        <v>93</v>
      </c>
      <c r="BG113">
        <v>150</v>
      </c>
      <c r="BJ113">
        <v>1</v>
      </c>
      <c r="BL113" t="s">
        <v>321</v>
      </c>
      <c r="BM113" s="4">
        <v>43283.140277777777</v>
      </c>
      <c r="BN113" s="4">
        <v>43283.16233796296</v>
      </c>
      <c r="BO113" s="4">
        <v>43283.16233796296</v>
      </c>
      <c r="BP113" t="s">
        <v>92</v>
      </c>
      <c r="BQ113" t="s">
        <v>93</v>
      </c>
      <c r="BR113" t="s">
        <v>94</v>
      </c>
    </row>
    <row r="114" spans="1:70" x14ac:dyDescent="0.3">
      <c r="A114" t="str">
        <f>"200061E0100"</f>
        <v>200061E0100</v>
      </c>
      <c r="B114" s="2" t="s">
        <v>322</v>
      </c>
      <c r="C114">
        <v>20</v>
      </c>
      <c r="D114" t="s">
        <v>88</v>
      </c>
      <c r="E114">
        <v>7</v>
      </c>
      <c r="F114" t="s">
        <v>286</v>
      </c>
      <c r="G114">
        <v>61</v>
      </c>
      <c r="H114">
        <v>1</v>
      </c>
      <c r="I114" t="s">
        <v>156</v>
      </c>
      <c r="J114">
        <v>0</v>
      </c>
      <c r="K114">
        <v>2</v>
      </c>
      <c r="L114">
        <v>5</v>
      </c>
      <c r="M114">
        <v>124</v>
      </c>
      <c r="N114">
        <v>223</v>
      </c>
      <c r="O114">
        <v>4</v>
      </c>
      <c r="P114">
        <v>223</v>
      </c>
      <c r="Q114">
        <v>8</v>
      </c>
      <c r="R114">
        <v>12</v>
      </c>
      <c r="S114">
        <v>58</v>
      </c>
      <c r="T114">
        <v>3</v>
      </c>
      <c r="U114">
        <v>22</v>
      </c>
      <c r="V114">
        <v>4</v>
      </c>
      <c r="W114">
        <v>2</v>
      </c>
      <c r="X114">
        <v>6</v>
      </c>
      <c r="Y114">
        <v>37</v>
      </c>
      <c r="Z114">
        <v>0</v>
      </c>
      <c r="AA114">
        <v>1</v>
      </c>
      <c r="AB114">
        <v>5</v>
      </c>
      <c r="AC114">
        <v>1</v>
      </c>
      <c r="AD114">
        <v>0</v>
      </c>
      <c r="AE114">
        <v>0</v>
      </c>
      <c r="AF114">
        <v>2</v>
      </c>
      <c r="AG114">
        <v>1</v>
      </c>
      <c r="AH114">
        <v>0</v>
      </c>
      <c r="AI114">
        <v>1</v>
      </c>
      <c r="AJ114">
        <v>0</v>
      </c>
      <c r="AK114">
        <v>0</v>
      </c>
      <c r="AL114">
        <v>1</v>
      </c>
      <c r="AM114">
        <v>0</v>
      </c>
      <c r="AN114">
        <v>0</v>
      </c>
      <c r="AZ114">
        <v>46</v>
      </c>
      <c r="BC114">
        <v>0</v>
      </c>
      <c r="BD114">
        <v>13</v>
      </c>
      <c r="BE114">
        <v>223</v>
      </c>
      <c r="BF114">
        <v>223</v>
      </c>
      <c r="BG114">
        <v>324</v>
      </c>
      <c r="BJ114">
        <v>1</v>
      </c>
      <c r="BL114" t="s">
        <v>323</v>
      </c>
      <c r="BM114" s="4">
        <v>43283.025694444441</v>
      </c>
      <c r="BN114" s="4">
        <v>43283.031018518515</v>
      </c>
      <c r="BO114" s="4">
        <v>43283.031018518515</v>
      </c>
      <c r="BP114" t="s">
        <v>92</v>
      </c>
      <c r="BQ114" t="s">
        <v>93</v>
      </c>
      <c r="BR114" t="s">
        <v>94</v>
      </c>
    </row>
    <row r="115" spans="1:70" x14ac:dyDescent="0.3">
      <c r="A115" t="str">
        <f>"200061E0200"</f>
        <v>200061E0200</v>
      </c>
      <c r="B115" s="2" t="s">
        <v>324</v>
      </c>
      <c r="C115">
        <v>20</v>
      </c>
      <c r="D115" t="s">
        <v>88</v>
      </c>
      <c r="E115">
        <v>7</v>
      </c>
      <c r="F115" t="s">
        <v>286</v>
      </c>
      <c r="G115">
        <v>61</v>
      </c>
      <c r="H115">
        <v>2</v>
      </c>
      <c r="I115" t="s">
        <v>156</v>
      </c>
      <c r="J115">
        <v>0</v>
      </c>
      <c r="K115">
        <v>2</v>
      </c>
      <c r="L115">
        <v>5</v>
      </c>
      <c r="M115">
        <v>108</v>
      </c>
      <c r="N115">
        <v>290</v>
      </c>
      <c r="O115">
        <v>0</v>
      </c>
      <c r="P115">
        <v>182</v>
      </c>
      <c r="Q115">
        <v>1</v>
      </c>
      <c r="R115">
        <v>8</v>
      </c>
      <c r="S115">
        <v>26</v>
      </c>
      <c r="T115">
        <v>2</v>
      </c>
      <c r="U115">
        <v>12</v>
      </c>
      <c r="V115">
        <v>3</v>
      </c>
      <c r="W115">
        <v>47</v>
      </c>
      <c r="X115">
        <v>9</v>
      </c>
      <c r="Y115">
        <v>17</v>
      </c>
      <c r="Z115">
        <v>0</v>
      </c>
      <c r="AA115">
        <v>1</v>
      </c>
      <c r="AB115">
        <v>15</v>
      </c>
      <c r="AC115">
        <v>1</v>
      </c>
      <c r="AD115">
        <v>0</v>
      </c>
      <c r="AE115">
        <v>0</v>
      </c>
      <c r="AF115">
        <v>1</v>
      </c>
      <c r="AG115">
        <v>0</v>
      </c>
      <c r="AH115">
        <v>1</v>
      </c>
      <c r="AI115">
        <v>1</v>
      </c>
      <c r="AJ115">
        <v>0</v>
      </c>
      <c r="AK115">
        <v>0</v>
      </c>
      <c r="AL115">
        <v>2</v>
      </c>
      <c r="AM115">
        <v>0</v>
      </c>
      <c r="AN115">
        <v>0</v>
      </c>
      <c r="AZ115">
        <v>16</v>
      </c>
      <c r="BC115">
        <v>0</v>
      </c>
      <c r="BD115">
        <v>19</v>
      </c>
      <c r="BE115">
        <v>182</v>
      </c>
      <c r="BF115">
        <v>182</v>
      </c>
      <c r="BG115">
        <v>267</v>
      </c>
      <c r="BJ115">
        <v>1</v>
      </c>
      <c r="BL115" t="s">
        <v>325</v>
      </c>
      <c r="BM115" s="4">
        <v>43283.140972222223</v>
      </c>
      <c r="BN115" s="4">
        <v>43283.145208333335</v>
      </c>
      <c r="BO115" s="4">
        <v>43283.145208333335</v>
      </c>
      <c r="BP115" t="s">
        <v>92</v>
      </c>
      <c r="BQ115" t="s">
        <v>93</v>
      </c>
      <c r="BR115" t="s">
        <v>94</v>
      </c>
    </row>
    <row r="116" spans="1:70" x14ac:dyDescent="0.3">
      <c r="A116" t="str">
        <f>"200062B0100"</f>
        <v>200062B0100</v>
      </c>
      <c r="B116" t="s">
        <v>326</v>
      </c>
      <c r="C116">
        <v>20</v>
      </c>
      <c r="D116" t="s">
        <v>88</v>
      </c>
      <c r="E116">
        <v>7</v>
      </c>
      <c r="F116" t="s">
        <v>286</v>
      </c>
      <c r="G116">
        <v>62</v>
      </c>
      <c r="H116">
        <v>1</v>
      </c>
      <c r="I116" t="s">
        <v>90</v>
      </c>
      <c r="J116">
        <v>0</v>
      </c>
      <c r="K116">
        <v>2</v>
      </c>
      <c r="L116">
        <v>5</v>
      </c>
      <c r="M116">
        <v>69</v>
      </c>
      <c r="N116">
        <v>123</v>
      </c>
      <c r="O116">
        <v>6</v>
      </c>
      <c r="P116">
        <v>123</v>
      </c>
      <c r="Q116">
        <v>4</v>
      </c>
      <c r="R116">
        <v>3</v>
      </c>
      <c r="S116">
        <v>32</v>
      </c>
      <c r="T116">
        <v>0</v>
      </c>
      <c r="U116">
        <v>7</v>
      </c>
      <c r="V116">
        <v>3</v>
      </c>
      <c r="W116">
        <v>4</v>
      </c>
      <c r="X116">
        <v>7</v>
      </c>
      <c r="Y116">
        <v>18</v>
      </c>
      <c r="Z116">
        <v>3</v>
      </c>
      <c r="AA116">
        <v>1</v>
      </c>
      <c r="AB116">
        <v>1</v>
      </c>
      <c r="AC116">
        <v>2</v>
      </c>
      <c r="AD116">
        <v>0</v>
      </c>
      <c r="AE116">
        <v>0</v>
      </c>
      <c r="AF116">
        <v>2</v>
      </c>
      <c r="AG116">
        <v>2</v>
      </c>
      <c r="AH116">
        <v>0</v>
      </c>
      <c r="AI116">
        <v>0</v>
      </c>
      <c r="AJ116">
        <v>0</v>
      </c>
      <c r="AK116">
        <v>0</v>
      </c>
      <c r="AL116">
        <v>4</v>
      </c>
      <c r="AM116">
        <v>0</v>
      </c>
      <c r="AN116">
        <v>0</v>
      </c>
      <c r="AZ116">
        <v>23</v>
      </c>
      <c r="BC116">
        <v>0</v>
      </c>
      <c r="BD116">
        <v>7</v>
      </c>
      <c r="BE116">
        <v>123</v>
      </c>
      <c r="BF116">
        <v>123</v>
      </c>
      <c r="BG116">
        <v>169</v>
      </c>
      <c r="BJ116">
        <v>1</v>
      </c>
      <c r="BL116" t="s">
        <v>327</v>
      </c>
      <c r="BM116" s="4">
        <v>43283.292361111111</v>
      </c>
      <c r="BN116" s="4">
        <v>43283.322685185187</v>
      </c>
      <c r="BO116" s="4">
        <v>43283.322685185187</v>
      </c>
      <c r="BP116" t="s">
        <v>92</v>
      </c>
      <c r="BQ116" t="s">
        <v>93</v>
      </c>
      <c r="BR116" t="s">
        <v>94</v>
      </c>
    </row>
    <row r="117" spans="1:70" x14ac:dyDescent="0.3">
      <c r="A117" t="str">
        <f>"200062E0100"</f>
        <v>200062E0100</v>
      </c>
      <c r="B117" s="2" t="s">
        <v>328</v>
      </c>
      <c r="C117">
        <v>20</v>
      </c>
      <c r="D117" t="s">
        <v>88</v>
      </c>
      <c r="E117">
        <v>7</v>
      </c>
      <c r="F117" t="s">
        <v>286</v>
      </c>
      <c r="G117">
        <v>62</v>
      </c>
      <c r="H117">
        <v>1</v>
      </c>
      <c r="I117" t="s">
        <v>156</v>
      </c>
      <c r="J117">
        <v>0</v>
      </c>
      <c r="K117">
        <v>2</v>
      </c>
      <c r="L117">
        <v>5</v>
      </c>
      <c r="M117">
        <v>118</v>
      </c>
      <c r="N117">
        <v>254</v>
      </c>
      <c r="O117">
        <v>4</v>
      </c>
      <c r="P117">
        <v>254</v>
      </c>
      <c r="Q117">
        <v>2</v>
      </c>
      <c r="R117">
        <v>5</v>
      </c>
      <c r="S117">
        <v>51</v>
      </c>
      <c r="T117">
        <v>1</v>
      </c>
      <c r="U117">
        <v>28</v>
      </c>
      <c r="V117">
        <v>2</v>
      </c>
      <c r="W117">
        <v>8</v>
      </c>
      <c r="X117">
        <v>3</v>
      </c>
      <c r="Y117">
        <v>37</v>
      </c>
      <c r="Z117">
        <v>4</v>
      </c>
      <c r="AA117">
        <v>0</v>
      </c>
      <c r="AB117">
        <v>11</v>
      </c>
      <c r="AC117">
        <v>2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</v>
      </c>
      <c r="AM117">
        <v>0</v>
      </c>
      <c r="AN117">
        <v>0</v>
      </c>
      <c r="AZ117">
        <v>0</v>
      </c>
      <c r="BC117">
        <v>0</v>
      </c>
      <c r="BD117">
        <v>18</v>
      </c>
      <c r="BE117">
        <v>254</v>
      </c>
      <c r="BF117">
        <v>173</v>
      </c>
      <c r="BG117">
        <v>348</v>
      </c>
      <c r="BJ117">
        <v>1</v>
      </c>
      <c r="BL117" t="s">
        <v>329</v>
      </c>
      <c r="BM117" s="4">
        <v>43283.292361111111</v>
      </c>
      <c r="BN117" s="4">
        <v>43283.323460648149</v>
      </c>
      <c r="BO117" s="4">
        <v>43283.323460648149</v>
      </c>
      <c r="BP117" t="s">
        <v>92</v>
      </c>
      <c r="BQ117" t="s">
        <v>93</v>
      </c>
      <c r="BR117" t="s">
        <v>94</v>
      </c>
    </row>
    <row r="118" spans="1:70" x14ac:dyDescent="0.3">
      <c r="A118" t="str">
        <f>"200063B0100"</f>
        <v>200063B0100</v>
      </c>
      <c r="B118" t="s">
        <v>330</v>
      </c>
      <c r="C118">
        <v>20</v>
      </c>
      <c r="D118" t="s">
        <v>88</v>
      </c>
      <c r="E118">
        <v>7</v>
      </c>
      <c r="F118" t="s">
        <v>286</v>
      </c>
      <c r="G118">
        <v>63</v>
      </c>
      <c r="H118">
        <v>1</v>
      </c>
      <c r="I118" t="s">
        <v>90</v>
      </c>
      <c r="J118">
        <v>0</v>
      </c>
      <c r="K118">
        <v>2</v>
      </c>
      <c r="L118">
        <v>5</v>
      </c>
      <c r="M118">
        <v>187</v>
      </c>
      <c r="N118">
        <v>305</v>
      </c>
      <c r="O118">
        <v>4</v>
      </c>
      <c r="P118">
        <v>305</v>
      </c>
      <c r="Q118">
        <v>6</v>
      </c>
      <c r="R118">
        <v>19</v>
      </c>
      <c r="S118">
        <v>83</v>
      </c>
      <c r="T118">
        <v>4</v>
      </c>
      <c r="U118">
        <v>30</v>
      </c>
      <c r="V118">
        <v>3</v>
      </c>
      <c r="W118">
        <v>3</v>
      </c>
      <c r="X118">
        <v>33</v>
      </c>
      <c r="Y118">
        <v>55</v>
      </c>
      <c r="Z118" t="s">
        <v>105</v>
      </c>
      <c r="AA118" t="s">
        <v>105</v>
      </c>
      <c r="AB118">
        <v>7</v>
      </c>
      <c r="AC118">
        <v>1</v>
      </c>
      <c r="AD118" t="s">
        <v>105</v>
      </c>
      <c r="AE118" t="s">
        <v>105</v>
      </c>
      <c r="AF118">
        <v>1</v>
      </c>
      <c r="AG118">
        <v>1</v>
      </c>
      <c r="AH118">
        <v>1</v>
      </c>
      <c r="AI118" t="s">
        <v>105</v>
      </c>
      <c r="AJ118" t="s">
        <v>105</v>
      </c>
      <c r="AK118" t="s">
        <v>105</v>
      </c>
      <c r="AL118">
        <v>3</v>
      </c>
      <c r="AM118" t="s">
        <v>105</v>
      </c>
      <c r="AN118" t="s">
        <v>105</v>
      </c>
      <c r="AZ118" t="s">
        <v>105</v>
      </c>
      <c r="BC118" t="s">
        <v>105</v>
      </c>
      <c r="BD118" t="s">
        <v>105</v>
      </c>
      <c r="BE118" t="s">
        <v>105</v>
      </c>
      <c r="BF118">
        <v>250</v>
      </c>
      <c r="BG118">
        <v>469</v>
      </c>
      <c r="BI118" t="s">
        <v>106</v>
      </c>
      <c r="BJ118">
        <v>1</v>
      </c>
      <c r="BL118" t="s">
        <v>331</v>
      </c>
      <c r="BM118" s="4">
        <v>43283.140972222223</v>
      </c>
      <c r="BN118" s="4">
        <v>43283.149861111109</v>
      </c>
      <c r="BO118" s="4">
        <v>43283.149861111109</v>
      </c>
      <c r="BP118" t="s">
        <v>92</v>
      </c>
      <c r="BQ118" t="s">
        <v>93</v>
      </c>
      <c r="BR118" t="s">
        <v>94</v>
      </c>
    </row>
    <row r="119" spans="1:70" x14ac:dyDescent="0.3">
      <c r="A119" t="str">
        <f>"200064B0100"</f>
        <v>200064B0100</v>
      </c>
      <c r="B119" t="s">
        <v>332</v>
      </c>
      <c r="C119">
        <v>20</v>
      </c>
      <c r="D119" t="s">
        <v>88</v>
      </c>
      <c r="E119">
        <v>7</v>
      </c>
      <c r="F119" t="s">
        <v>286</v>
      </c>
      <c r="G119">
        <v>64</v>
      </c>
      <c r="H119">
        <v>1</v>
      </c>
      <c r="I119" t="s">
        <v>90</v>
      </c>
      <c r="J119">
        <v>0</v>
      </c>
      <c r="K119">
        <v>2</v>
      </c>
      <c r="L119">
        <v>5</v>
      </c>
      <c r="M119">
        <v>158</v>
      </c>
      <c r="N119">
        <v>300</v>
      </c>
      <c r="O119">
        <v>4</v>
      </c>
      <c r="P119">
        <v>300</v>
      </c>
      <c r="Q119">
        <v>10</v>
      </c>
      <c r="R119">
        <v>17</v>
      </c>
      <c r="S119">
        <v>40</v>
      </c>
      <c r="T119">
        <v>6</v>
      </c>
      <c r="U119">
        <v>63</v>
      </c>
      <c r="V119">
        <v>3</v>
      </c>
      <c r="W119">
        <v>11</v>
      </c>
      <c r="X119">
        <v>24</v>
      </c>
      <c r="Y119">
        <v>70</v>
      </c>
      <c r="Z119">
        <v>7</v>
      </c>
      <c r="AA119">
        <v>2</v>
      </c>
      <c r="AB119">
        <v>7</v>
      </c>
      <c r="AC119">
        <v>0</v>
      </c>
      <c r="AD119">
        <v>2</v>
      </c>
      <c r="AE119">
        <v>0</v>
      </c>
      <c r="AF119">
        <v>0</v>
      </c>
      <c r="AG119">
        <v>1</v>
      </c>
      <c r="AH119">
        <v>1</v>
      </c>
      <c r="AI119">
        <v>0</v>
      </c>
      <c r="AJ119">
        <v>0</v>
      </c>
      <c r="AK119">
        <v>0</v>
      </c>
      <c r="AL119">
        <v>1</v>
      </c>
      <c r="AM119">
        <v>0</v>
      </c>
      <c r="AN119">
        <v>0</v>
      </c>
      <c r="AZ119">
        <v>22</v>
      </c>
      <c r="BC119">
        <v>0</v>
      </c>
      <c r="BD119">
        <v>13</v>
      </c>
      <c r="BE119">
        <v>300</v>
      </c>
      <c r="BF119">
        <v>300</v>
      </c>
      <c r="BG119">
        <v>437</v>
      </c>
      <c r="BJ119">
        <v>1</v>
      </c>
      <c r="BL119" t="s">
        <v>333</v>
      </c>
      <c r="BM119" s="4">
        <v>43283.14166666667</v>
      </c>
      <c r="BN119" s="4">
        <v>43283.152233796296</v>
      </c>
      <c r="BO119" s="4">
        <v>43283.152233796296</v>
      </c>
      <c r="BP119" t="s">
        <v>92</v>
      </c>
      <c r="BQ119" t="s">
        <v>93</v>
      </c>
      <c r="BR119" t="s">
        <v>94</v>
      </c>
    </row>
    <row r="120" spans="1:70" x14ac:dyDescent="0.3">
      <c r="A120" t="str">
        <f>"200065B0100"</f>
        <v>200065B0100</v>
      </c>
      <c r="B120" t="s">
        <v>334</v>
      </c>
      <c r="C120">
        <v>20</v>
      </c>
      <c r="D120" t="s">
        <v>88</v>
      </c>
      <c r="E120">
        <v>8</v>
      </c>
      <c r="F120" t="s">
        <v>335</v>
      </c>
      <c r="G120">
        <v>65</v>
      </c>
      <c r="H120">
        <v>1</v>
      </c>
      <c r="I120" t="s">
        <v>90</v>
      </c>
      <c r="J120">
        <v>0</v>
      </c>
      <c r="K120">
        <v>1</v>
      </c>
      <c r="L120">
        <v>5</v>
      </c>
      <c r="M120">
        <v>192</v>
      </c>
      <c r="N120">
        <v>353</v>
      </c>
      <c r="O120">
        <v>0</v>
      </c>
      <c r="P120" t="s">
        <v>105</v>
      </c>
      <c r="Q120">
        <v>17</v>
      </c>
      <c r="R120">
        <v>75</v>
      </c>
      <c r="S120">
        <v>2</v>
      </c>
      <c r="T120">
        <v>62</v>
      </c>
      <c r="U120">
        <v>1</v>
      </c>
      <c r="V120">
        <v>0</v>
      </c>
      <c r="X120">
        <v>110</v>
      </c>
      <c r="Y120">
        <v>7</v>
      </c>
      <c r="Z120">
        <v>50</v>
      </c>
      <c r="AC120">
        <v>0</v>
      </c>
      <c r="AD120">
        <v>0</v>
      </c>
      <c r="AE120">
        <v>0</v>
      </c>
      <c r="AF120">
        <v>0</v>
      </c>
      <c r="AK120">
        <v>0</v>
      </c>
      <c r="AL120">
        <v>0</v>
      </c>
      <c r="AM120">
        <v>0</v>
      </c>
      <c r="AN120">
        <v>0</v>
      </c>
      <c r="BC120">
        <v>0</v>
      </c>
      <c r="BD120">
        <v>29</v>
      </c>
      <c r="BE120">
        <v>353</v>
      </c>
      <c r="BF120">
        <v>353</v>
      </c>
      <c r="BG120">
        <v>524</v>
      </c>
      <c r="BJ120">
        <v>1</v>
      </c>
      <c r="BL120" t="s">
        <v>336</v>
      </c>
      <c r="BM120" s="4">
        <v>43283.241666666669</v>
      </c>
      <c r="BN120" s="4">
        <v>43283.266400462962</v>
      </c>
      <c r="BO120" s="4">
        <v>43283.266400462962</v>
      </c>
      <c r="BP120" t="s">
        <v>92</v>
      </c>
      <c r="BQ120" t="s">
        <v>93</v>
      </c>
      <c r="BR120" t="s">
        <v>94</v>
      </c>
    </row>
    <row r="121" spans="1:70" x14ac:dyDescent="0.3">
      <c r="A121" t="str">
        <f>"200065C0100"</f>
        <v>200065C0100</v>
      </c>
      <c r="B121" t="s">
        <v>337</v>
      </c>
      <c r="C121">
        <v>20</v>
      </c>
      <c r="D121" t="s">
        <v>88</v>
      </c>
      <c r="E121">
        <v>8</v>
      </c>
      <c r="F121" t="s">
        <v>335</v>
      </c>
      <c r="G121">
        <v>65</v>
      </c>
      <c r="H121">
        <v>1</v>
      </c>
      <c r="I121" t="s">
        <v>98</v>
      </c>
      <c r="J121">
        <v>0</v>
      </c>
      <c r="K121">
        <v>1</v>
      </c>
      <c r="L121">
        <v>5</v>
      </c>
      <c r="M121">
        <v>223</v>
      </c>
      <c r="N121">
        <v>331</v>
      </c>
      <c r="O121">
        <v>0</v>
      </c>
      <c r="P121">
        <v>300</v>
      </c>
      <c r="Q121">
        <v>6</v>
      </c>
      <c r="R121">
        <v>89</v>
      </c>
      <c r="S121">
        <v>1</v>
      </c>
      <c r="T121">
        <v>47</v>
      </c>
      <c r="U121">
        <v>2</v>
      </c>
      <c r="V121">
        <v>0</v>
      </c>
      <c r="X121">
        <v>108</v>
      </c>
      <c r="Y121">
        <v>8</v>
      </c>
      <c r="Z121">
        <v>48</v>
      </c>
      <c r="AC121">
        <v>0</v>
      </c>
      <c r="AD121">
        <v>0</v>
      </c>
      <c r="AE121">
        <v>0</v>
      </c>
      <c r="AF121">
        <v>0</v>
      </c>
      <c r="AK121">
        <v>0</v>
      </c>
      <c r="AL121">
        <v>0</v>
      </c>
      <c r="AM121">
        <v>0</v>
      </c>
      <c r="AN121">
        <v>0</v>
      </c>
      <c r="BC121">
        <v>1</v>
      </c>
      <c r="BD121">
        <v>20</v>
      </c>
      <c r="BE121">
        <v>330</v>
      </c>
      <c r="BF121">
        <v>330</v>
      </c>
      <c r="BG121">
        <v>524</v>
      </c>
      <c r="BJ121">
        <v>1</v>
      </c>
      <c r="BL121" t="s">
        <v>338</v>
      </c>
      <c r="BM121" s="4">
        <v>43283.10528935185</v>
      </c>
      <c r="BN121" s="4">
        <v>43283.108761574076</v>
      </c>
      <c r="BO121" s="4">
        <v>43283.108761574076</v>
      </c>
      <c r="BP121" t="s">
        <v>339</v>
      </c>
      <c r="BQ121" t="s">
        <v>340</v>
      </c>
      <c r="BR121" t="s">
        <v>94</v>
      </c>
    </row>
    <row r="122" spans="1:70" x14ac:dyDescent="0.3">
      <c r="A122" t="str">
        <f>"200066B0100"</f>
        <v>200066B0100</v>
      </c>
      <c r="B122" t="s">
        <v>341</v>
      </c>
      <c r="C122">
        <v>20</v>
      </c>
      <c r="D122" t="s">
        <v>88</v>
      </c>
      <c r="E122">
        <v>8</v>
      </c>
      <c r="F122" t="s">
        <v>335</v>
      </c>
      <c r="G122">
        <v>66</v>
      </c>
      <c r="H122">
        <v>1</v>
      </c>
      <c r="I122" t="s">
        <v>90</v>
      </c>
      <c r="J122">
        <v>0</v>
      </c>
      <c r="K122">
        <v>1</v>
      </c>
      <c r="L122">
        <v>5</v>
      </c>
      <c r="M122">
        <v>164</v>
      </c>
      <c r="N122">
        <v>284</v>
      </c>
      <c r="O122">
        <v>0</v>
      </c>
      <c r="P122">
        <v>284</v>
      </c>
      <c r="Q122">
        <v>12</v>
      </c>
      <c r="R122">
        <v>39</v>
      </c>
      <c r="S122">
        <v>0</v>
      </c>
      <c r="T122">
        <v>56</v>
      </c>
      <c r="U122">
        <v>2</v>
      </c>
      <c r="V122">
        <v>1</v>
      </c>
      <c r="X122">
        <v>125</v>
      </c>
      <c r="Y122">
        <v>9</v>
      </c>
      <c r="Z122">
        <v>23</v>
      </c>
      <c r="AC122">
        <v>0</v>
      </c>
      <c r="AD122">
        <v>0</v>
      </c>
      <c r="AE122">
        <v>0</v>
      </c>
      <c r="AF122">
        <v>0</v>
      </c>
      <c r="AK122">
        <v>0</v>
      </c>
      <c r="AL122">
        <v>0</v>
      </c>
      <c r="AM122">
        <v>0</v>
      </c>
      <c r="AN122">
        <v>0</v>
      </c>
      <c r="BC122">
        <v>0</v>
      </c>
      <c r="BD122">
        <v>17</v>
      </c>
      <c r="BE122">
        <v>284</v>
      </c>
      <c r="BF122">
        <v>284</v>
      </c>
      <c r="BG122">
        <v>426</v>
      </c>
      <c r="BJ122">
        <v>1</v>
      </c>
      <c r="BL122" t="s">
        <v>342</v>
      </c>
      <c r="BM122" s="4">
        <v>43282.955347222225</v>
      </c>
      <c r="BN122" s="4">
        <v>43282.962291666663</v>
      </c>
      <c r="BO122" s="4">
        <v>43282.962291666663</v>
      </c>
      <c r="BP122" t="s">
        <v>339</v>
      </c>
      <c r="BQ122" t="s">
        <v>340</v>
      </c>
      <c r="BR122" t="s">
        <v>94</v>
      </c>
    </row>
    <row r="123" spans="1:70" x14ac:dyDescent="0.3">
      <c r="A123" t="str">
        <f>"200066C0100"</f>
        <v>200066C0100</v>
      </c>
      <c r="B123" t="s">
        <v>343</v>
      </c>
      <c r="C123">
        <v>20</v>
      </c>
      <c r="D123" t="s">
        <v>88</v>
      </c>
      <c r="E123">
        <v>8</v>
      </c>
      <c r="F123" t="s">
        <v>335</v>
      </c>
      <c r="G123">
        <v>66</v>
      </c>
      <c r="H123">
        <v>1</v>
      </c>
      <c r="I123" t="s">
        <v>98</v>
      </c>
      <c r="J123">
        <v>0</v>
      </c>
      <c r="K123">
        <v>1</v>
      </c>
      <c r="L123">
        <v>5</v>
      </c>
      <c r="M123">
        <v>175</v>
      </c>
      <c r="N123" t="s">
        <v>105</v>
      </c>
      <c r="O123" t="s">
        <v>105</v>
      </c>
      <c r="P123" t="s">
        <v>105</v>
      </c>
      <c r="Q123">
        <v>12</v>
      </c>
      <c r="R123">
        <v>41</v>
      </c>
      <c r="S123" t="s">
        <v>105</v>
      </c>
      <c r="T123">
        <v>57</v>
      </c>
      <c r="U123" t="s">
        <v>105</v>
      </c>
      <c r="V123">
        <v>1</v>
      </c>
      <c r="X123">
        <v>108</v>
      </c>
      <c r="Y123">
        <v>11</v>
      </c>
      <c r="Z123">
        <v>24</v>
      </c>
      <c r="AC123" t="s">
        <v>105</v>
      </c>
      <c r="AD123" t="s">
        <v>105</v>
      </c>
      <c r="AE123" t="s">
        <v>105</v>
      </c>
      <c r="AF123" t="s">
        <v>105</v>
      </c>
      <c r="AK123" t="s">
        <v>105</v>
      </c>
      <c r="AL123" t="s">
        <v>105</v>
      </c>
      <c r="AM123" t="s">
        <v>105</v>
      </c>
      <c r="AN123">
        <v>1</v>
      </c>
      <c r="BC123" t="s">
        <v>105</v>
      </c>
      <c r="BD123">
        <v>15</v>
      </c>
      <c r="BE123" t="s">
        <v>105</v>
      </c>
      <c r="BF123">
        <v>270</v>
      </c>
      <c r="BG123">
        <v>425</v>
      </c>
      <c r="BI123" t="s">
        <v>106</v>
      </c>
      <c r="BJ123">
        <v>1</v>
      </c>
      <c r="BL123" t="s">
        <v>344</v>
      </c>
      <c r="BM123" s="4">
        <v>43282.975856481484</v>
      </c>
      <c r="BN123" s="4">
        <v>43282.979189814818</v>
      </c>
      <c r="BO123" s="4">
        <v>43282.979189814818</v>
      </c>
      <c r="BP123" t="s">
        <v>339</v>
      </c>
      <c r="BQ123" t="s">
        <v>340</v>
      </c>
      <c r="BR123" t="s">
        <v>94</v>
      </c>
    </row>
    <row r="124" spans="1:70" x14ac:dyDescent="0.3">
      <c r="A124" t="str">
        <f>"200067B0100"</f>
        <v>200067B0100</v>
      </c>
      <c r="B124" t="s">
        <v>345</v>
      </c>
      <c r="C124">
        <v>20</v>
      </c>
      <c r="D124" t="s">
        <v>88</v>
      </c>
      <c r="E124">
        <v>8</v>
      </c>
      <c r="F124" t="s">
        <v>335</v>
      </c>
      <c r="G124">
        <v>67</v>
      </c>
      <c r="H124">
        <v>1</v>
      </c>
      <c r="I124" t="s">
        <v>90</v>
      </c>
      <c r="J124">
        <v>0</v>
      </c>
      <c r="K124">
        <v>2</v>
      </c>
      <c r="L124">
        <v>5</v>
      </c>
      <c r="M124">
        <v>287</v>
      </c>
      <c r="N124">
        <v>363</v>
      </c>
      <c r="O124">
        <v>0</v>
      </c>
      <c r="P124">
        <v>356</v>
      </c>
      <c r="Q124">
        <v>19</v>
      </c>
      <c r="R124">
        <v>61</v>
      </c>
      <c r="S124">
        <v>1</v>
      </c>
      <c r="T124">
        <v>70</v>
      </c>
      <c r="U124">
        <v>3</v>
      </c>
      <c r="V124">
        <v>2</v>
      </c>
      <c r="X124">
        <v>121</v>
      </c>
      <c r="Y124">
        <v>4</v>
      </c>
      <c r="Z124">
        <v>53</v>
      </c>
      <c r="AC124">
        <v>0</v>
      </c>
      <c r="AD124">
        <v>0</v>
      </c>
      <c r="AE124">
        <v>0</v>
      </c>
      <c r="AF124">
        <v>0</v>
      </c>
      <c r="AK124">
        <v>0</v>
      </c>
      <c r="AL124">
        <v>0</v>
      </c>
      <c r="AM124">
        <v>0</v>
      </c>
      <c r="AN124">
        <v>0</v>
      </c>
      <c r="BC124">
        <v>0</v>
      </c>
      <c r="BD124">
        <v>22</v>
      </c>
      <c r="BE124">
        <v>356</v>
      </c>
      <c r="BF124">
        <v>356</v>
      </c>
      <c r="BG124">
        <v>618</v>
      </c>
      <c r="BJ124">
        <v>1</v>
      </c>
      <c r="BL124" t="s">
        <v>346</v>
      </c>
      <c r="BM124" s="4">
        <v>43283.069687499999</v>
      </c>
      <c r="BN124" s="4">
        <v>43283.073206018518</v>
      </c>
      <c r="BO124" s="4">
        <v>43283.073206018518</v>
      </c>
      <c r="BP124" t="s">
        <v>339</v>
      </c>
      <c r="BQ124" t="s">
        <v>340</v>
      </c>
      <c r="BR124" t="s">
        <v>94</v>
      </c>
    </row>
    <row r="125" spans="1:70" x14ac:dyDescent="0.3">
      <c r="A125" t="str">
        <f>"200074B0100"</f>
        <v>200074B0100</v>
      </c>
      <c r="B125" t="s">
        <v>347</v>
      </c>
      <c r="C125">
        <v>20</v>
      </c>
      <c r="D125" t="s">
        <v>88</v>
      </c>
      <c r="E125">
        <v>11</v>
      </c>
      <c r="F125" t="s">
        <v>348</v>
      </c>
      <c r="G125">
        <v>74</v>
      </c>
      <c r="H125">
        <v>1</v>
      </c>
      <c r="I125" t="s">
        <v>90</v>
      </c>
      <c r="J125">
        <v>0</v>
      </c>
      <c r="K125">
        <v>1</v>
      </c>
      <c r="L125">
        <v>5</v>
      </c>
      <c r="M125">
        <v>142</v>
      </c>
      <c r="N125">
        <v>421</v>
      </c>
      <c r="O125">
        <v>6</v>
      </c>
      <c r="P125">
        <v>421</v>
      </c>
      <c r="Q125">
        <v>2</v>
      </c>
      <c r="R125">
        <v>97</v>
      </c>
      <c r="S125">
        <v>140</v>
      </c>
      <c r="T125">
        <v>0</v>
      </c>
      <c r="U125">
        <v>0</v>
      </c>
      <c r="V125">
        <v>0</v>
      </c>
      <c r="W125">
        <v>129</v>
      </c>
      <c r="X125">
        <v>0</v>
      </c>
      <c r="Y125">
        <v>16</v>
      </c>
      <c r="Z125">
        <v>1</v>
      </c>
      <c r="AC125">
        <v>4</v>
      </c>
      <c r="AD125">
        <v>2</v>
      </c>
      <c r="AE125">
        <v>0</v>
      </c>
      <c r="AF125">
        <v>2</v>
      </c>
      <c r="AG125">
        <v>2</v>
      </c>
      <c r="AH125">
        <v>1</v>
      </c>
      <c r="AI125">
        <v>1</v>
      </c>
      <c r="AJ125">
        <v>0</v>
      </c>
      <c r="AK125">
        <v>0</v>
      </c>
      <c r="AL125">
        <v>0</v>
      </c>
      <c r="AM125">
        <v>0</v>
      </c>
      <c r="AN125">
        <v>0</v>
      </c>
      <c r="BC125">
        <v>0</v>
      </c>
      <c r="BD125">
        <v>24</v>
      </c>
      <c r="BE125">
        <v>421</v>
      </c>
      <c r="BF125">
        <v>421</v>
      </c>
      <c r="BG125">
        <v>541</v>
      </c>
      <c r="BJ125">
        <v>1</v>
      </c>
      <c r="BL125" t="s">
        <v>349</v>
      </c>
      <c r="BM125" s="4">
        <v>43283.141064814816</v>
      </c>
      <c r="BN125" s="4">
        <v>43283.144189814811</v>
      </c>
      <c r="BO125" s="4">
        <v>43283.144189814811</v>
      </c>
      <c r="BP125" t="s">
        <v>92</v>
      </c>
      <c r="BQ125" t="s">
        <v>93</v>
      </c>
      <c r="BR125" t="s">
        <v>94</v>
      </c>
    </row>
    <row r="126" spans="1:70" x14ac:dyDescent="0.3">
      <c r="A126" t="str">
        <f>"200074C0100"</f>
        <v>200074C0100</v>
      </c>
      <c r="B126" t="s">
        <v>350</v>
      </c>
      <c r="C126">
        <v>20</v>
      </c>
      <c r="D126" t="s">
        <v>88</v>
      </c>
      <c r="E126">
        <v>11</v>
      </c>
      <c r="F126" t="s">
        <v>348</v>
      </c>
      <c r="G126">
        <v>74</v>
      </c>
      <c r="H126">
        <v>1</v>
      </c>
      <c r="I126" t="s">
        <v>98</v>
      </c>
      <c r="J126">
        <v>0</v>
      </c>
      <c r="K126">
        <v>1</v>
      </c>
      <c r="L126">
        <v>5</v>
      </c>
      <c r="M126">
        <v>132</v>
      </c>
      <c r="N126">
        <v>431</v>
      </c>
      <c r="O126">
        <v>4</v>
      </c>
      <c r="P126">
        <v>431</v>
      </c>
      <c r="Q126">
        <v>4</v>
      </c>
      <c r="R126">
        <v>133</v>
      </c>
      <c r="S126">
        <v>116</v>
      </c>
      <c r="T126">
        <v>2</v>
      </c>
      <c r="U126">
        <v>2</v>
      </c>
      <c r="V126">
        <v>0</v>
      </c>
      <c r="W126">
        <v>135</v>
      </c>
      <c r="X126">
        <v>1</v>
      </c>
      <c r="Y126">
        <v>10</v>
      </c>
      <c r="Z126">
        <v>0</v>
      </c>
      <c r="AC126">
        <v>1</v>
      </c>
      <c r="AD126">
        <v>2</v>
      </c>
      <c r="AE126">
        <v>0</v>
      </c>
      <c r="AF126">
        <v>0</v>
      </c>
      <c r="AG126">
        <v>0</v>
      </c>
      <c r="AH126">
        <v>1</v>
      </c>
      <c r="AI126">
        <v>1</v>
      </c>
      <c r="AJ126">
        <v>0</v>
      </c>
      <c r="AK126">
        <v>0</v>
      </c>
      <c r="AL126">
        <v>1</v>
      </c>
      <c r="AM126">
        <v>0</v>
      </c>
      <c r="AN126">
        <v>0</v>
      </c>
      <c r="BC126">
        <v>0</v>
      </c>
      <c r="BD126">
        <v>22</v>
      </c>
      <c r="BE126">
        <v>431</v>
      </c>
      <c r="BF126">
        <v>431</v>
      </c>
      <c r="BG126">
        <v>541</v>
      </c>
      <c r="BJ126">
        <v>1</v>
      </c>
      <c r="BL126" t="s">
        <v>351</v>
      </c>
      <c r="BM126" s="4">
        <v>43283.163981481484</v>
      </c>
      <c r="BN126" s="4">
        <v>43283.175682870373</v>
      </c>
      <c r="BO126" s="4">
        <v>43283.175682870373</v>
      </c>
      <c r="BP126" t="s">
        <v>92</v>
      </c>
      <c r="BQ126" t="s">
        <v>93</v>
      </c>
      <c r="BR126" t="s">
        <v>94</v>
      </c>
    </row>
    <row r="127" spans="1:70" x14ac:dyDescent="0.3">
      <c r="A127" t="str">
        <f>"200074C0200"</f>
        <v>200074C0200</v>
      </c>
      <c r="B127" t="s">
        <v>352</v>
      </c>
      <c r="C127">
        <v>20</v>
      </c>
      <c r="D127" t="s">
        <v>88</v>
      </c>
      <c r="E127">
        <v>11</v>
      </c>
      <c r="F127" t="s">
        <v>348</v>
      </c>
      <c r="G127">
        <v>74</v>
      </c>
      <c r="H127">
        <v>2</v>
      </c>
      <c r="I127" t="s">
        <v>98</v>
      </c>
      <c r="J127">
        <v>0</v>
      </c>
      <c r="K127">
        <v>1</v>
      </c>
      <c r="L127">
        <v>5</v>
      </c>
      <c r="M127">
        <v>134</v>
      </c>
      <c r="N127">
        <v>428</v>
      </c>
      <c r="O127">
        <v>10</v>
      </c>
      <c r="P127">
        <v>428</v>
      </c>
      <c r="Q127">
        <v>3</v>
      </c>
      <c r="R127">
        <v>120</v>
      </c>
      <c r="S127">
        <v>134</v>
      </c>
      <c r="T127">
        <v>0</v>
      </c>
      <c r="U127">
        <v>2</v>
      </c>
      <c r="V127">
        <v>0</v>
      </c>
      <c r="W127">
        <v>111</v>
      </c>
      <c r="X127">
        <v>1</v>
      </c>
      <c r="Y127">
        <v>15</v>
      </c>
      <c r="Z127">
        <v>1</v>
      </c>
      <c r="AC127">
        <v>5</v>
      </c>
      <c r="AD127">
        <v>2</v>
      </c>
      <c r="AE127">
        <v>0</v>
      </c>
      <c r="AF127">
        <v>1</v>
      </c>
      <c r="AG127">
        <v>2</v>
      </c>
      <c r="AH127">
        <v>1</v>
      </c>
      <c r="AI127">
        <v>1</v>
      </c>
      <c r="AJ127">
        <v>0</v>
      </c>
      <c r="AK127">
        <v>1</v>
      </c>
      <c r="AL127">
        <v>0</v>
      </c>
      <c r="AM127">
        <v>0</v>
      </c>
      <c r="AN127">
        <v>1</v>
      </c>
      <c r="BC127">
        <v>0</v>
      </c>
      <c r="BD127">
        <v>27</v>
      </c>
      <c r="BE127" t="s">
        <v>105</v>
      </c>
      <c r="BF127">
        <v>428</v>
      </c>
      <c r="BG127">
        <v>540</v>
      </c>
      <c r="BJ127">
        <v>1</v>
      </c>
      <c r="BL127" t="s">
        <v>353</v>
      </c>
      <c r="BM127" s="4">
        <v>43283.163182870368</v>
      </c>
      <c r="BN127" s="4">
        <v>43283.173773148148</v>
      </c>
      <c r="BO127" s="4">
        <v>43283.173773148148</v>
      </c>
      <c r="BP127" t="s">
        <v>92</v>
      </c>
      <c r="BQ127" t="s">
        <v>93</v>
      </c>
      <c r="BR127" t="s">
        <v>94</v>
      </c>
    </row>
    <row r="128" spans="1:70" x14ac:dyDescent="0.3">
      <c r="A128" t="str">
        <f>"200075B0100"</f>
        <v>200075B0100</v>
      </c>
      <c r="B128" t="s">
        <v>354</v>
      </c>
      <c r="C128">
        <v>20</v>
      </c>
      <c r="D128" t="s">
        <v>88</v>
      </c>
      <c r="E128">
        <v>11</v>
      </c>
      <c r="F128" t="s">
        <v>348</v>
      </c>
      <c r="G128">
        <v>75</v>
      </c>
      <c r="H128">
        <v>1</v>
      </c>
      <c r="I128" t="s">
        <v>90</v>
      </c>
      <c r="J128">
        <v>0</v>
      </c>
      <c r="K128">
        <v>2</v>
      </c>
      <c r="L128">
        <v>5</v>
      </c>
      <c r="M128">
        <v>186</v>
      </c>
      <c r="N128">
        <v>537</v>
      </c>
      <c r="O128">
        <v>0</v>
      </c>
      <c r="P128">
        <v>537</v>
      </c>
      <c r="Q128">
        <v>1</v>
      </c>
      <c r="R128">
        <v>130</v>
      </c>
      <c r="S128">
        <v>114</v>
      </c>
      <c r="T128">
        <v>0</v>
      </c>
      <c r="U128">
        <v>3</v>
      </c>
      <c r="V128">
        <v>2</v>
      </c>
      <c r="W128">
        <v>227</v>
      </c>
      <c r="X128">
        <v>2</v>
      </c>
      <c r="Y128">
        <v>20</v>
      </c>
      <c r="Z128">
        <v>1</v>
      </c>
      <c r="AC128">
        <v>0</v>
      </c>
      <c r="AD128">
        <v>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BC128">
        <v>0</v>
      </c>
      <c r="BD128">
        <v>35</v>
      </c>
      <c r="BE128">
        <v>536</v>
      </c>
      <c r="BF128">
        <v>536</v>
      </c>
      <c r="BG128">
        <v>701</v>
      </c>
      <c r="BJ128">
        <v>1</v>
      </c>
      <c r="BL128" t="s">
        <v>355</v>
      </c>
      <c r="BM128" s="4">
        <v>43283.048819444448</v>
      </c>
      <c r="BN128" s="4">
        <v>43283.053310185183</v>
      </c>
      <c r="BO128" s="4">
        <v>43283.053310185183</v>
      </c>
      <c r="BP128" t="s">
        <v>92</v>
      </c>
      <c r="BQ128" t="s">
        <v>93</v>
      </c>
      <c r="BR128" t="s">
        <v>94</v>
      </c>
    </row>
    <row r="129" spans="1:70" x14ac:dyDescent="0.3">
      <c r="A129" t="str">
        <f>"200075C0100"</f>
        <v>200075C0100</v>
      </c>
      <c r="B129" t="s">
        <v>356</v>
      </c>
      <c r="C129">
        <v>20</v>
      </c>
      <c r="D129" t="s">
        <v>88</v>
      </c>
      <c r="E129">
        <v>11</v>
      </c>
      <c r="F129" t="s">
        <v>348</v>
      </c>
      <c r="G129">
        <v>75</v>
      </c>
      <c r="H129">
        <v>1</v>
      </c>
      <c r="I129" t="s">
        <v>98</v>
      </c>
      <c r="J129">
        <v>0</v>
      </c>
      <c r="K129">
        <v>2</v>
      </c>
      <c r="L129">
        <v>5</v>
      </c>
      <c r="M129">
        <v>177</v>
      </c>
      <c r="N129" t="s">
        <v>127</v>
      </c>
      <c r="O129">
        <v>4</v>
      </c>
      <c r="P129">
        <v>546</v>
      </c>
      <c r="Q129">
        <v>6</v>
      </c>
      <c r="R129">
        <v>122</v>
      </c>
      <c r="S129">
        <v>110</v>
      </c>
      <c r="T129">
        <v>2</v>
      </c>
      <c r="U129">
        <v>2</v>
      </c>
      <c r="V129">
        <v>1</v>
      </c>
      <c r="W129">
        <v>255</v>
      </c>
      <c r="X129">
        <v>0</v>
      </c>
      <c r="Y129">
        <v>18</v>
      </c>
      <c r="Z129">
        <v>2</v>
      </c>
      <c r="AC129">
        <v>2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BC129">
        <v>0</v>
      </c>
      <c r="BD129">
        <v>25</v>
      </c>
      <c r="BE129">
        <v>546</v>
      </c>
      <c r="BF129">
        <v>546</v>
      </c>
      <c r="BG129">
        <v>701</v>
      </c>
      <c r="BJ129">
        <v>1</v>
      </c>
      <c r="BL129" t="s">
        <v>357</v>
      </c>
      <c r="BM129" s="4">
        <v>43283.050115740742</v>
      </c>
      <c r="BN129" s="4">
        <v>43283.054259259261</v>
      </c>
      <c r="BO129" s="4">
        <v>43283.054259259261</v>
      </c>
      <c r="BP129" t="s">
        <v>92</v>
      </c>
      <c r="BQ129" t="s">
        <v>93</v>
      </c>
      <c r="BR129" t="s">
        <v>94</v>
      </c>
    </row>
    <row r="130" spans="1:70" x14ac:dyDescent="0.3">
      <c r="A130" t="str">
        <f>"200075E0100"</f>
        <v>200075E0100</v>
      </c>
      <c r="B130" s="2" t="s">
        <v>358</v>
      </c>
      <c r="C130">
        <v>20</v>
      </c>
      <c r="D130" t="s">
        <v>88</v>
      </c>
      <c r="E130">
        <v>11</v>
      </c>
      <c r="F130" t="s">
        <v>348</v>
      </c>
      <c r="G130">
        <v>75</v>
      </c>
      <c r="H130">
        <v>1</v>
      </c>
      <c r="I130" t="s">
        <v>156</v>
      </c>
      <c r="J130">
        <v>0</v>
      </c>
      <c r="K130">
        <v>2</v>
      </c>
      <c r="L130">
        <v>5</v>
      </c>
      <c r="M130">
        <v>102</v>
      </c>
      <c r="N130">
        <v>240</v>
      </c>
      <c r="O130">
        <v>4</v>
      </c>
      <c r="P130">
        <v>240</v>
      </c>
      <c r="Q130">
        <v>1</v>
      </c>
      <c r="R130">
        <v>83</v>
      </c>
      <c r="S130">
        <v>42</v>
      </c>
      <c r="T130">
        <v>1</v>
      </c>
      <c r="U130">
        <v>0</v>
      </c>
      <c r="V130">
        <v>2</v>
      </c>
      <c r="W130">
        <v>67</v>
      </c>
      <c r="X130">
        <v>1</v>
      </c>
      <c r="Y130">
        <v>21</v>
      </c>
      <c r="Z130">
        <v>0</v>
      </c>
      <c r="AC130">
        <v>0</v>
      </c>
      <c r="AD130">
        <v>0</v>
      </c>
      <c r="AE130">
        <v>0</v>
      </c>
      <c r="AF130">
        <v>2</v>
      </c>
      <c r="AG130">
        <v>1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BC130">
        <v>0</v>
      </c>
      <c r="BD130">
        <v>19</v>
      </c>
      <c r="BE130" t="s">
        <v>127</v>
      </c>
      <c r="BF130">
        <v>240</v>
      </c>
      <c r="BG130">
        <v>320</v>
      </c>
      <c r="BJ130">
        <v>1</v>
      </c>
      <c r="BL130" t="s">
        <v>359</v>
      </c>
      <c r="BM130" s="4">
        <v>43283.052939814814</v>
      </c>
      <c r="BN130" s="4">
        <v>43283.056967592594</v>
      </c>
      <c r="BO130" s="4">
        <v>43283.056967592594</v>
      </c>
      <c r="BP130" t="s">
        <v>92</v>
      </c>
      <c r="BQ130" t="s">
        <v>93</v>
      </c>
      <c r="BR130" t="s">
        <v>94</v>
      </c>
    </row>
    <row r="131" spans="1:70" x14ac:dyDescent="0.3">
      <c r="A131" t="str">
        <f>"200075E0200"</f>
        <v>200075E0200</v>
      </c>
      <c r="B131" s="2" t="s">
        <v>360</v>
      </c>
      <c r="C131">
        <v>20</v>
      </c>
      <c r="D131" t="s">
        <v>88</v>
      </c>
      <c r="E131">
        <v>11</v>
      </c>
      <c r="F131" t="s">
        <v>348</v>
      </c>
      <c r="G131">
        <v>75</v>
      </c>
      <c r="H131">
        <v>2</v>
      </c>
      <c r="I131" t="s">
        <v>156</v>
      </c>
      <c r="J131">
        <v>0</v>
      </c>
      <c r="K131">
        <v>2</v>
      </c>
      <c r="L131">
        <v>5</v>
      </c>
      <c r="M131">
        <v>68</v>
      </c>
      <c r="N131">
        <v>232</v>
      </c>
      <c r="O131">
        <v>6</v>
      </c>
      <c r="P131">
        <v>232</v>
      </c>
      <c r="Q131">
        <v>3</v>
      </c>
      <c r="R131">
        <v>89</v>
      </c>
      <c r="S131">
        <v>30</v>
      </c>
      <c r="T131">
        <v>2</v>
      </c>
      <c r="U131">
        <v>3</v>
      </c>
      <c r="V131" t="s">
        <v>127</v>
      </c>
      <c r="W131">
        <v>40</v>
      </c>
      <c r="X131">
        <v>2</v>
      </c>
      <c r="Y131">
        <v>41</v>
      </c>
      <c r="Z131">
        <v>6</v>
      </c>
      <c r="AC131">
        <v>0</v>
      </c>
      <c r="AD131">
        <v>0</v>
      </c>
      <c r="AE131">
        <v>0</v>
      </c>
      <c r="AF131">
        <v>0</v>
      </c>
      <c r="AG131">
        <v>1</v>
      </c>
      <c r="AH131">
        <v>2</v>
      </c>
      <c r="AI131">
        <v>0</v>
      </c>
      <c r="AJ131">
        <v>0</v>
      </c>
      <c r="AK131">
        <v>1</v>
      </c>
      <c r="AL131">
        <v>0</v>
      </c>
      <c r="AM131">
        <v>0</v>
      </c>
      <c r="AN131">
        <v>2</v>
      </c>
      <c r="BC131" t="s">
        <v>127</v>
      </c>
      <c r="BD131">
        <v>8</v>
      </c>
      <c r="BE131">
        <v>232</v>
      </c>
      <c r="BF131">
        <v>230</v>
      </c>
      <c r="BG131">
        <v>278</v>
      </c>
      <c r="BI131" t="s">
        <v>106</v>
      </c>
      <c r="BJ131">
        <v>1</v>
      </c>
      <c r="BL131" t="s">
        <v>361</v>
      </c>
      <c r="BM131" s="4">
        <v>43283.057581018518</v>
      </c>
      <c r="BN131" s="4">
        <v>43283.06517361111</v>
      </c>
      <c r="BO131" s="4">
        <v>43283.06517361111</v>
      </c>
      <c r="BP131" t="s">
        <v>92</v>
      </c>
      <c r="BQ131" t="s">
        <v>93</v>
      </c>
      <c r="BR131" t="s">
        <v>94</v>
      </c>
    </row>
    <row r="132" spans="1:70" x14ac:dyDescent="0.3">
      <c r="A132" t="str">
        <f>"200075E0300"</f>
        <v>200075E0300</v>
      </c>
      <c r="B132" s="2" t="s">
        <v>362</v>
      </c>
      <c r="C132">
        <v>20</v>
      </c>
      <c r="D132" t="s">
        <v>88</v>
      </c>
      <c r="E132">
        <v>11</v>
      </c>
      <c r="F132" t="s">
        <v>348</v>
      </c>
      <c r="G132">
        <v>75</v>
      </c>
      <c r="H132">
        <v>3</v>
      </c>
      <c r="I132" t="s">
        <v>156</v>
      </c>
      <c r="J132">
        <v>0</v>
      </c>
      <c r="K132">
        <v>2</v>
      </c>
      <c r="L132">
        <v>5</v>
      </c>
      <c r="M132">
        <v>59</v>
      </c>
      <c r="N132">
        <v>226</v>
      </c>
      <c r="O132">
        <v>6</v>
      </c>
      <c r="P132">
        <v>226</v>
      </c>
      <c r="Q132">
        <v>1</v>
      </c>
      <c r="R132">
        <v>124</v>
      </c>
      <c r="S132">
        <v>4</v>
      </c>
      <c r="T132">
        <v>2</v>
      </c>
      <c r="U132">
        <v>4</v>
      </c>
      <c r="V132">
        <v>0</v>
      </c>
      <c r="W132">
        <v>52</v>
      </c>
      <c r="X132">
        <v>1</v>
      </c>
      <c r="Y132">
        <v>13</v>
      </c>
      <c r="Z132">
        <v>0</v>
      </c>
      <c r="AC132">
        <v>0</v>
      </c>
      <c r="AD132">
        <v>0</v>
      </c>
      <c r="AE132">
        <v>0</v>
      </c>
      <c r="AF132">
        <v>0</v>
      </c>
      <c r="AG132">
        <v>3</v>
      </c>
      <c r="AH132">
        <v>2</v>
      </c>
      <c r="AI132">
        <v>2</v>
      </c>
      <c r="AJ132">
        <v>0</v>
      </c>
      <c r="AK132">
        <v>1</v>
      </c>
      <c r="AL132">
        <v>0</v>
      </c>
      <c r="AM132">
        <v>0</v>
      </c>
      <c r="AN132">
        <v>0</v>
      </c>
      <c r="BC132">
        <v>0</v>
      </c>
      <c r="BD132">
        <v>17</v>
      </c>
      <c r="BE132">
        <v>226</v>
      </c>
      <c r="BF132">
        <v>226</v>
      </c>
      <c r="BG132">
        <v>263</v>
      </c>
      <c r="BJ132">
        <v>1</v>
      </c>
      <c r="BL132" t="s">
        <v>363</v>
      </c>
      <c r="BM132" s="4">
        <v>43283.054768518516</v>
      </c>
      <c r="BN132" s="4">
        <v>43283.05810185185</v>
      </c>
      <c r="BO132" s="4">
        <v>43283.05810185185</v>
      </c>
      <c r="BP132" t="s">
        <v>92</v>
      </c>
      <c r="BQ132" t="s">
        <v>93</v>
      </c>
      <c r="BR132" t="s">
        <v>94</v>
      </c>
    </row>
    <row r="133" spans="1:70" x14ac:dyDescent="0.3">
      <c r="A133" t="str">
        <f>"200076B0100"</f>
        <v>200076B0100</v>
      </c>
      <c r="B133" t="s">
        <v>364</v>
      </c>
      <c r="C133">
        <v>20</v>
      </c>
      <c r="D133" t="s">
        <v>88</v>
      </c>
      <c r="E133">
        <v>11</v>
      </c>
      <c r="F133" t="s">
        <v>348</v>
      </c>
      <c r="G133">
        <v>76</v>
      </c>
      <c r="H133">
        <v>1</v>
      </c>
      <c r="I133" t="s">
        <v>90</v>
      </c>
      <c r="J133">
        <v>0</v>
      </c>
      <c r="K133">
        <v>2</v>
      </c>
      <c r="L133">
        <v>5</v>
      </c>
      <c r="BG133">
        <v>543</v>
      </c>
      <c r="BI133" t="s">
        <v>365</v>
      </c>
      <c r="BJ133">
        <v>0</v>
      </c>
      <c r="BL133" t="s">
        <v>366</v>
      </c>
      <c r="BM133" s="4">
        <v>43283.207835648151</v>
      </c>
      <c r="BN133" s="4">
        <v>43283.22415509259</v>
      </c>
      <c r="BO133" s="4">
        <v>43283.22415509259</v>
      </c>
      <c r="BP133" t="s">
        <v>92</v>
      </c>
      <c r="BQ133" t="s">
        <v>93</v>
      </c>
      <c r="BR133" t="s">
        <v>94</v>
      </c>
    </row>
    <row r="134" spans="1:70" x14ac:dyDescent="0.3">
      <c r="A134" t="str">
        <f>"200076C0100"</f>
        <v>200076C0100</v>
      </c>
      <c r="B134" t="s">
        <v>367</v>
      </c>
      <c r="C134">
        <v>20</v>
      </c>
      <c r="D134" t="s">
        <v>88</v>
      </c>
      <c r="E134">
        <v>11</v>
      </c>
      <c r="F134" t="s">
        <v>348</v>
      </c>
      <c r="G134">
        <v>76</v>
      </c>
      <c r="H134">
        <v>1</v>
      </c>
      <c r="I134" t="s">
        <v>98</v>
      </c>
      <c r="J134">
        <v>0</v>
      </c>
      <c r="K134">
        <v>2</v>
      </c>
      <c r="L134">
        <v>5</v>
      </c>
      <c r="BG134">
        <v>542</v>
      </c>
      <c r="BI134" t="s">
        <v>365</v>
      </c>
      <c r="BJ134">
        <v>0</v>
      </c>
      <c r="BL134" t="s">
        <v>368</v>
      </c>
      <c r="BM134" s="4">
        <v>43283.195034722223</v>
      </c>
      <c r="BN134" s="4">
        <v>43283.210196759261</v>
      </c>
      <c r="BO134" s="4">
        <v>43283.210196759261</v>
      </c>
      <c r="BP134" t="s">
        <v>92</v>
      </c>
      <c r="BQ134" t="s">
        <v>93</v>
      </c>
      <c r="BR134" t="s">
        <v>94</v>
      </c>
    </row>
    <row r="135" spans="1:70" x14ac:dyDescent="0.3">
      <c r="A135" t="str">
        <f>"200077B0100"</f>
        <v>200077B0100</v>
      </c>
      <c r="B135" t="s">
        <v>369</v>
      </c>
      <c r="C135">
        <v>20</v>
      </c>
      <c r="D135" t="s">
        <v>88</v>
      </c>
      <c r="E135">
        <v>12</v>
      </c>
      <c r="F135" t="s">
        <v>370</v>
      </c>
      <c r="G135">
        <v>77</v>
      </c>
      <c r="H135">
        <v>1</v>
      </c>
      <c r="I135" t="s">
        <v>90</v>
      </c>
      <c r="J135">
        <v>0</v>
      </c>
      <c r="K135">
        <v>2</v>
      </c>
      <c r="L135">
        <v>5</v>
      </c>
      <c r="M135">
        <v>211</v>
      </c>
      <c r="N135">
        <v>504</v>
      </c>
      <c r="O135">
        <v>0</v>
      </c>
      <c r="P135">
        <v>504</v>
      </c>
      <c r="Q135">
        <v>17</v>
      </c>
      <c r="R135">
        <v>182</v>
      </c>
      <c r="S135">
        <v>0</v>
      </c>
      <c r="T135">
        <v>0</v>
      </c>
      <c r="U135">
        <v>9</v>
      </c>
      <c r="V135">
        <v>0</v>
      </c>
      <c r="W135">
        <v>153</v>
      </c>
      <c r="X135">
        <v>1</v>
      </c>
      <c r="Y135">
        <v>26</v>
      </c>
      <c r="Z135">
        <v>1</v>
      </c>
      <c r="AA135">
        <v>72</v>
      </c>
      <c r="AB135">
        <v>26</v>
      </c>
      <c r="AC135">
        <v>1</v>
      </c>
      <c r="AD135">
        <v>0</v>
      </c>
      <c r="AE135">
        <v>0</v>
      </c>
      <c r="AF135">
        <v>0</v>
      </c>
      <c r="AG135">
        <v>3</v>
      </c>
      <c r="AH135">
        <v>2</v>
      </c>
      <c r="AI135">
        <v>0</v>
      </c>
      <c r="AJ135">
        <v>0</v>
      </c>
      <c r="AK135">
        <v>1</v>
      </c>
      <c r="AL135">
        <v>0</v>
      </c>
      <c r="AM135">
        <v>0</v>
      </c>
      <c r="AN135">
        <v>0</v>
      </c>
      <c r="BC135">
        <v>0</v>
      </c>
      <c r="BD135">
        <v>10</v>
      </c>
      <c r="BE135">
        <v>504</v>
      </c>
      <c r="BF135">
        <v>504</v>
      </c>
      <c r="BG135">
        <v>693</v>
      </c>
      <c r="BJ135">
        <v>1</v>
      </c>
      <c r="BL135" t="s">
        <v>371</v>
      </c>
      <c r="BM135" s="4">
        <v>43283.228194444448</v>
      </c>
      <c r="BN135" s="4">
        <v>43283.251747685186</v>
      </c>
      <c r="BO135" s="4">
        <v>43283.251747685186</v>
      </c>
      <c r="BP135" t="s">
        <v>339</v>
      </c>
      <c r="BQ135" t="s">
        <v>340</v>
      </c>
      <c r="BR135" t="s">
        <v>94</v>
      </c>
    </row>
    <row r="136" spans="1:70" x14ac:dyDescent="0.3">
      <c r="A136" t="str">
        <f>"200077C0100"</f>
        <v>200077C0100</v>
      </c>
      <c r="B136" t="s">
        <v>372</v>
      </c>
      <c r="C136">
        <v>20</v>
      </c>
      <c r="D136" t="s">
        <v>88</v>
      </c>
      <c r="E136">
        <v>12</v>
      </c>
      <c r="F136" t="s">
        <v>370</v>
      </c>
      <c r="G136">
        <v>77</v>
      </c>
      <c r="H136">
        <v>1</v>
      </c>
      <c r="I136" t="s">
        <v>98</v>
      </c>
      <c r="J136">
        <v>0</v>
      </c>
      <c r="K136">
        <v>2</v>
      </c>
      <c r="L136">
        <v>5</v>
      </c>
      <c r="M136">
        <v>203</v>
      </c>
      <c r="N136">
        <v>511</v>
      </c>
      <c r="O136">
        <v>0</v>
      </c>
      <c r="P136">
        <v>511</v>
      </c>
      <c r="Q136">
        <v>22</v>
      </c>
      <c r="R136">
        <v>164</v>
      </c>
      <c r="S136">
        <v>0</v>
      </c>
      <c r="T136">
        <v>3</v>
      </c>
      <c r="U136">
        <v>14</v>
      </c>
      <c r="V136">
        <v>1</v>
      </c>
      <c r="W136">
        <v>155</v>
      </c>
      <c r="X136">
        <v>1</v>
      </c>
      <c r="Y136">
        <v>35</v>
      </c>
      <c r="Z136">
        <v>0</v>
      </c>
      <c r="AA136">
        <v>72</v>
      </c>
      <c r="AB136">
        <v>22</v>
      </c>
      <c r="AC136">
        <v>0</v>
      </c>
      <c r="AD136">
        <v>0</v>
      </c>
      <c r="AE136">
        <v>0</v>
      </c>
      <c r="AF136">
        <v>0</v>
      </c>
      <c r="AG136">
        <v>4</v>
      </c>
      <c r="AH136">
        <v>1</v>
      </c>
      <c r="AI136">
        <v>0</v>
      </c>
      <c r="AJ136">
        <v>0</v>
      </c>
      <c r="AK136">
        <v>0</v>
      </c>
      <c r="AL136">
        <v>1</v>
      </c>
      <c r="AM136">
        <v>0</v>
      </c>
      <c r="AN136">
        <v>0</v>
      </c>
      <c r="BC136">
        <v>0</v>
      </c>
      <c r="BD136">
        <v>16</v>
      </c>
      <c r="BE136">
        <v>511</v>
      </c>
      <c r="BF136">
        <v>511</v>
      </c>
      <c r="BG136">
        <v>692</v>
      </c>
      <c r="BJ136">
        <v>1</v>
      </c>
      <c r="BL136" t="s">
        <v>373</v>
      </c>
      <c r="BM136" s="4">
        <v>43283.235775462963</v>
      </c>
      <c r="BN136" s="4">
        <v>43283.27003472222</v>
      </c>
      <c r="BO136" s="4">
        <v>43283.27003472222</v>
      </c>
      <c r="BP136" t="s">
        <v>339</v>
      </c>
      <c r="BQ136" t="s">
        <v>340</v>
      </c>
      <c r="BR136" t="s">
        <v>94</v>
      </c>
    </row>
    <row r="137" spans="1:70" x14ac:dyDescent="0.3">
      <c r="A137" t="str">
        <f>"200077C0200"</f>
        <v>200077C0200</v>
      </c>
      <c r="B137" t="s">
        <v>374</v>
      </c>
      <c r="C137">
        <v>20</v>
      </c>
      <c r="D137" t="s">
        <v>88</v>
      </c>
      <c r="E137">
        <v>12</v>
      </c>
      <c r="F137" t="s">
        <v>370</v>
      </c>
      <c r="G137">
        <v>77</v>
      </c>
      <c r="H137">
        <v>2</v>
      </c>
      <c r="I137" t="s">
        <v>98</v>
      </c>
      <c r="J137">
        <v>0</v>
      </c>
      <c r="K137">
        <v>2</v>
      </c>
      <c r="L137">
        <v>5</v>
      </c>
      <c r="BG137">
        <v>692</v>
      </c>
      <c r="BI137" t="s">
        <v>122</v>
      </c>
      <c r="BJ137">
        <v>0</v>
      </c>
      <c r="BL137" t="s">
        <v>375</v>
      </c>
      <c r="BM137" s="4">
        <v>43283.540972222225</v>
      </c>
      <c r="BN137" s="4">
        <v>43283.545289351852</v>
      </c>
      <c r="BO137" s="4">
        <v>43283.545289351852</v>
      </c>
      <c r="BP137" t="s">
        <v>92</v>
      </c>
      <c r="BQ137" t="s">
        <v>93</v>
      </c>
      <c r="BR137" t="s">
        <v>94</v>
      </c>
    </row>
    <row r="138" spans="1:70" x14ac:dyDescent="0.3">
      <c r="A138" t="str">
        <f>"200078B0100"</f>
        <v>200078B0100</v>
      </c>
      <c r="B138" t="s">
        <v>376</v>
      </c>
      <c r="C138">
        <v>20</v>
      </c>
      <c r="D138" t="s">
        <v>88</v>
      </c>
      <c r="E138">
        <v>12</v>
      </c>
      <c r="F138" t="s">
        <v>370</v>
      </c>
      <c r="G138">
        <v>78</v>
      </c>
      <c r="H138">
        <v>1</v>
      </c>
      <c r="I138" t="s">
        <v>90</v>
      </c>
      <c r="J138">
        <v>0</v>
      </c>
      <c r="K138">
        <v>2</v>
      </c>
      <c r="L138">
        <v>5</v>
      </c>
      <c r="M138">
        <v>114</v>
      </c>
      <c r="N138">
        <v>381</v>
      </c>
      <c r="O138">
        <v>0</v>
      </c>
      <c r="P138">
        <v>381</v>
      </c>
      <c r="Q138">
        <v>12</v>
      </c>
      <c r="R138">
        <v>160</v>
      </c>
      <c r="S138">
        <v>3</v>
      </c>
      <c r="T138">
        <v>1</v>
      </c>
      <c r="U138">
        <v>4</v>
      </c>
      <c r="V138">
        <v>1</v>
      </c>
      <c r="W138">
        <v>79</v>
      </c>
      <c r="X138">
        <v>0</v>
      </c>
      <c r="Y138">
        <v>5</v>
      </c>
      <c r="Z138">
        <v>2</v>
      </c>
      <c r="AA138">
        <v>90</v>
      </c>
      <c r="AB138">
        <v>24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BC138">
        <v>0</v>
      </c>
      <c r="BD138">
        <v>15</v>
      </c>
      <c r="BE138">
        <v>381</v>
      </c>
      <c r="BF138">
        <v>397</v>
      </c>
      <c r="BG138">
        <v>473</v>
      </c>
      <c r="BJ138">
        <v>1</v>
      </c>
      <c r="BL138" t="s">
        <v>377</v>
      </c>
      <c r="BM138" s="4">
        <v>43283.276388888888</v>
      </c>
      <c r="BN138" s="4">
        <v>43283.310324074075</v>
      </c>
      <c r="BO138" s="4">
        <v>43283.310324074075</v>
      </c>
      <c r="BP138" t="s">
        <v>339</v>
      </c>
      <c r="BQ138" t="s">
        <v>340</v>
      </c>
      <c r="BR138" t="s">
        <v>94</v>
      </c>
    </row>
    <row r="139" spans="1:70" x14ac:dyDescent="0.3">
      <c r="A139" t="str">
        <f>"200078C0100"</f>
        <v>200078C0100</v>
      </c>
      <c r="B139" t="s">
        <v>378</v>
      </c>
      <c r="C139">
        <v>20</v>
      </c>
      <c r="D139" t="s">
        <v>88</v>
      </c>
      <c r="E139">
        <v>12</v>
      </c>
      <c r="F139" t="s">
        <v>370</v>
      </c>
      <c r="G139">
        <v>78</v>
      </c>
      <c r="H139">
        <v>1</v>
      </c>
      <c r="I139" t="s">
        <v>98</v>
      </c>
      <c r="J139">
        <v>0</v>
      </c>
      <c r="K139">
        <v>2</v>
      </c>
      <c r="L139">
        <v>5</v>
      </c>
      <c r="M139">
        <v>115</v>
      </c>
      <c r="N139">
        <v>379</v>
      </c>
      <c r="O139">
        <v>0</v>
      </c>
      <c r="P139">
        <v>379</v>
      </c>
      <c r="Q139">
        <v>8</v>
      </c>
      <c r="R139">
        <v>140</v>
      </c>
      <c r="S139">
        <v>0</v>
      </c>
      <c r="T139">
        <v>0</v>
      </c>
      <c r="U139">
        <v>4</v>
      </c>
      <c r="V139">
        <v>0</v>
      </c>
      <c r="W139">
        <v>82</v>
      </c>
      <c r="X139">
        <v>0</v>
      </c>
      <c r="Y139">
        <v>25</v>
      </c>
      <c r="Z139">
        <v>0</v>
      </c>
      <c r="AA139">
        <v>86</v>
      </c>
      <c r="AB139">
        <v>20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0</v>
      </c>
      <c r="AK139">
        <v>1</v>
      </c>
      <c r="AL139">
        <v>0</v>
      </c>
      <c r="AM139">
        <v>0</v>
      </c>
      <c r="AN139">
        <v>0</v>
      </c>
      <c r="BC139">
        <v>0</v>
      </c>
      <c r="BD139">
        <v>10</v>
      </c>
      <c r="BE139">
        <v>379</v>
      </c>
      <c r="BF139">
        <v>377</v>
      </c>
      <c r="BG139">
        <v>472</v>
      </c>
      <c r="BJ139">
        <v>1</v>
      </c>
      <c r="BL139" t="s">
        <v>379</v>
      </c>
      <c r="BM139" s="4">
        <v>43283.273993055554</v>
      </c>
      <c r="BN139" s="4">
        <v>43283.301712962966</v>
      </c>
      <c r="BO139" s="4">
        <v>43283.301712962966</v>
      </c>
      <c r="BP139" t="s">
        <v>339</v>
      </c>
      <c r="BQ139" t="s">
        <v>340</v>
      </c>
      <c r="BR139" t="s">
        <v>94</v>
      </c>
    </row>
    <row r="140" spans="1:70" x14ac:dyDescent="0.3">
      <c r="A140" t="str">
        <f>"200079B0100"</f>
        <v>200079B0100</v>
      </c>
      <c r="B140" t="s">
        <v>380</v>
      </c>
      <c r="C140">
        <v>20</v>
      </c>
      <c r="D140" t="s">
        <v>88</v>
      </c>
      <c r="E140">
        <v>12</v>
      </c>
      <c r="F140" t="s">
        <v>370</v>
      </c>
      <c r="G140">
        <v>79</v>
      </c>
      <c r="H140">
        <v>1</v>
      </c>
      <c r="I140" t="s">
        <v>90</v>
      </c>
      <c r="J140">
        <v>0</v>
      </c>
      <c r="K140">
        <v>2</v>
      </c>
      <c r="L140">
        <v>5</v>
      </c>
      <c r="BG140">
        <v>572</v>
      </c>
      <c r="BI140" t="s">
        <v>122</v>
      </c>
      <c r="BJ140">
        <v>0</v>
      </c>
      <c r="BL140" t="s">
        <v>381</v>
      </c>
      <c r="BM140" s="4">
        <v>43283.541666666664</v>
      </c>
      <c r="BN140" s="4">
        <v>43283.545624999999</v>
      </c>
      <c r="BO140" s="4">
        <v>43283.545624999999</v>
      </c>
      <c r="BP140" t="s">
        <v>92</v>
      </c>
      <c r="BQ140" t="s">
        <v>93</v>
      </c>
      <c r="BR140" t="s">
        <v>94</v>
      </c>
    </row>
    <row r="141" spans="1:70" x14ac:dyDescent="0.3">
      <c r="A141" t="str">
        <f>"200079C0100"</f>
        <v>200079C0100</v>
      </c>
      <c r="B141" t="s">
        <v>382</v>
      </c>
      <c r="C141">
        <v>20</v>
      </c>
      <c r="D141" t="s">
        <v>88</v>
      </c>
      <c r="E141">
        <v>12</v>
      </c>
      <c r="F141" t="s">
        <v>370</v>
      </c>
      <c r="G141">
        <v>79</v>
      </c>
      <c r="H141">
        <v>1</v>
      </c>
      <c r="I141" t="s">
        <v>98</v>
      </c>
      <c r="J141">
        <v>0</v>
      </c>
      <c r="K141">
        <v>2</v>
      </c>
      <c r="L141">
        <v>5</v>
      </c>
      <c r="M141">
        <v>179</v>
      </c>
      <c r="N141">
        <v>415</v>
      </c>
      <c r="O141">
        <v>0</v>
      </c>
      <c r="P141">
        <v>415</v>
      </c>
      <c r="Q141">
        <v>35</v>
      </c>
      <c r="R141">
        <v>112</v>
      </c>
      <c r="S141">
        <v>1</v>
      </c>
      <c r="T141">
        <v>2</v>
      </c>
      <c r="U141">
        <v>13</v>
      </c>
      <c r="V141">
        <v>4</v>
      </c>
      <c r="W141">
        <v>83</v>
      </c>
      <c r="X141">
        <v>0</v>
      </c>
      <c r="Y141">
        <v>69</v>
      </c>
      <c r="Z141">
        <v>3</v>
      </c>
      <c r="AA141">
        <v>54</v>
      </c>
      <c r="AB141">
        <v>9</v>
      </c>
      <c r="AC141">
        <v>1</v>
      </c>
      <c r="AD141">
        <v>1</v>
      </c>
      <c r="AE141">
        <v>0</v>
      </c>
      <c r="AF141">
        <v>1</v>
      </c>
      <c r="AG141">
        <v>1</v>
      </c>
      <c r="AH141">
        <v>0</v>
      </c>
      <c r="AI141">
        <v>0</v>
      </c>
      <c r="AJ141">
        <v>0</v>
      </c>
      <c r="AK141">
        <v>1</v>
      </c>
      <c r="AL141">
        <v>0</v>
      </c>
      <c r="AM141">
        <v>0</v>
      </c>
      <c r="AN141">
        <v>0</v>
      </c>
      <c r="BC141">
        <v>0</v>
      </c>
      <c r="BD141">
        <v>24</v>
      </c>
      <c r="BE141">
        <v>415</v>
      </c>
      <c r="BF141">
        <v>414</v>
      </c>
      <c r="BG141">
        <v>572</v>
      </c>
      <c r="BJ141">
        <v>1</v>
      </c>
      <c r="BL141" t="s">
        <v>383</v>
      </c>
      <c r="BM141" s="4">
        <v>43283.458194444444</v>
      </c>
      <c r="BN141" s="4">
        <v>43283.467129629629</v>
      </c>
      <c r="BO141" s="4">
        <v>43283.467129629629</v>
      </c>
      <c r="BP141" t="s">
        <v>339</v>
      </c>
      <c r="BQ141" t="s">
        <v>340</v>
      </c>
      <c r="BR141" t="s">
        <v>94</v>
      </c>
    </row>
    <row r="142" spans="1:70" x14ac:dyDescent="0.3">
      <c r="A142" t="str">
        <f>"200079C0200"</f>
        <v>200079C0200</v>
      </c>
      <c r="B142" t="s">
        <v>384</v>
      </c>
      <c r="C142">
        <v>20</v>
      </c>
      <c r="D142" t="s">
        <v>88</v>
      </c>
      <c r="E142">
        <v>12</v>
      </c>
      <c r="F142" t="s">
        <v>370</v>
      </c>
      <c r="G142">
        <v>79</v>
      </c>
      <c r="H142">
        <v>2</v>
      </c>
      <c r="I142" t="s">
        <v>98</v>
      </c>
      <c r="J142">
        <v>0</v>
      </c>
      <c r="K142">
        <v>2</v>
      </c>
      <c r="L142">
        <v>5</v>
      </c>
      <c r="BG142">
        <v>572</v>
      </c>
      <c r="BI142" t="s">
        <v>122</v>
      </c>
      <c r="BJ142">
        <v>0</v>
      </c>
      <c r="BL142" t="s">
        <v>385</v>
      </c>
      <c r="BM142" s="4">
        <v>43283.540277777778</v>
      </c>
      <c r="BN142" s="4">
        <v>43283.545474537037</v>
      </c>
      <c r="BO142" s="4">
        <v>43283.545474537037</v>
      </c>
      <c r="BP142" t="s">
        <v>92</v>
      </c>
      <c r="BQ142" t="s">
        <v>93</v>
      </c>
      <c r="BR142" t="s">
        <v>94</v>
      </c>
    </row>
    <row r="143" spans="1:70" x14ac:dyDescent="0.3">
      <c r="A143" t="str">
        <f>"200080B0100"</f>
        <v>200080B0100</v>
      </c>
      <c r="B143" t="s">
        <v>386</v>
      </c>
      <c r="C143">
        <v>20</v>
      </c>
      <c r="D143" t="s">
        <v>88</v>
      </c>
      <c r="E143">
        <v>12</v>
      </c>
      <c r="F143" t="s">
        <v>370</v>
      </c>
      <c r="G143">
        <v>80</v>
      </c>
      <c r="H143">
        <v>1</v>
      </c>
      <c r="I143" t="s">
        <v>90</v>
      </c>
      <c r="J143">
        <v>0</v>
      </c>
      <c r="K143">
        <v>2</v>
      </c>
      <c r="L143">
        <v>5</v>
      </c>
      <c r="M143">
        <v>207</v>
      </c>
      <c r="N143">
        <v>380</v>
      </c>
      <c r="O143">
        <v>0</v>
      </c>
      <c r="P143">
        <v>380</v>
      </c>
      <c r="Q143">
        <v>14</v>
      </c>
      <c r="R143">
        <v>139</v>
      </c>
      <c r="S143">
        <v>6</v>
      </c>
      <c r="T143">
        <v>1</v>
      </c>
      <c r="U143">
        <v>20</v>
      </c>
      <c r="V143">
        <v>4</v>
      </c>
      <c r="W143">
        <v>47</v>
      </c>
      <c r="X143">
        <v>3</v>
      </c>
      <c r="Y143">
        <v>66</v>
      </c>
      <c r="Z143">
        <v>0</v>
      </c>
      <c r="AA143">
        <v>55</v>
      </c>
      <c r="AB143">
        <v>11</v>
      </c>
      <c r="AC143">
        <v>0</v>
      </c>
      <c r="AD143">
        <v>0</v>
      </c>
      <c r="AE143">
        <v>0</v>
      </c>
      <c r="AF143">
        <v>0</v>
      </c>
      <c r="AG143">
        <v>10</v>
      </c>
      <c r="AH143">
        <v>1</v>
      </c>
      <c r="AI143">
        <v>0</v>
      </c>
      <c r="AJ143">
        <v>0</v>
      </c>
      <c r="AK143">
        <v>2</v>
      </c>
      <c r="AL143">
        <v>1</v>
      </c>
      <c r="AM143">
        <v>0</v>
      </c>
      <c r="AN143">
        <v>0</v>
      </c>
      <c r="BC143">
        <v>0</v>
      </c>
      <c r="BD143">
        <v>0</v>
      </c>
      <c r="BE143">
        <v>380</v>
      </c>
      <c r="BF143">
        <v>380</v>
      </c>
      <c r="BG143">
        <v>565</v>
      </c>
      <c r="BJ143">
        <v>1</v>
      </c>
      <c r="BL143" t="s">
        <v>387</v>
      </c>
      <c r="BM143" s="4">
        <v>43283.275891203702</v>
      </c>
      <c r="BN143" s="4">
        <v>43283.303599537037</v>
      </c>
      <c r="BO143" s="4">
        <v>43283.303599537037</v>
      </c>
      <c r="BP143" t="s">
        <v>339</v>
      </c>
      <c r="BQ143" t="s">
        <v>340</v>
      </c>
      <c r="BR143" t="s">
        <v>94</v>
      </c>
    </row>
    <row r="144" spans="1:70" x14ac:dyDescent="0.3">
      <c r="A144" t="str">
        <f>"200080C0100"</f>
        <v>200080C0100</v>
      </c>
      <c r="B144" t="s">
        <v>388</v>
      </c>
      <c r="C144">
        <v>20</v>
      </c>
      <c r="D144" t="s">
        <v>88</v>
      </c>
      <c r="E144">
        <v>12</v>
      </c>
      <c r="F144" t="s">
        <v>370</v>
      </c>
      <c r="G144">
        <v>80</v>
      </c>
      <c r="H144">
        <v>1</v>
      </c>
      <c r="I144" t="s">
        <v>98</v>
      </c>
      <c r="J144">
        <v>0</v>
      </c>
      <c r="K144">
        <v>2</v>
      </c>
      <c r="L144">
        <v>5</v>
      </c>
      <c r="M144">
        <v>222</v>
      </c>
      <c r="N144">
        <v>364</v>
      </c>
      <c r="O144">
        <v>0</v>
      </c>
      <c r="P144">
        <v>364</v>
      </c>
      <c r="Q144">
        <v>24</v>
      </c>
      <c r="R144">
        <v>118</v>
      </c>
      <c r="S144">
        <v>0</v>
      </c>
      <c r="T144">
        <v>5</v>
      </c>
      <c r="U144">
        <v>16</v>
      </c>
      <c r="V144">
        <v>4</v>
      </c>
      <c r="W144">
        <v>38</v>
      </c>
      <c r="X144">
        <v>3</v>
      </c>
      <c r="Y144">
        <v>57</v>
      </c>
      <c r="Z144">
        <v>4</v>
      </c>
      <c r="AA144">
        <v>66</v>
      </c>
      <c r="AB144">
        <v>18</v>
      </c>
      <c r="AC144">
        <v>0</v>
      </c>
      <c r="AD144">
        <v>0</v>
      </c>
      <c r="AE144">
        <v>0</v>
      </c>
      <c r="AF144">
        <v>0</v>
      </c>
      <c r="AG144">
        <v>1</v>
      </c>
      <c r="AH144">
        <v>7</v>
      </c>
      <c r="AI144">
        <v>0</v>
      </c>
      <c r="AJ144">
        <v>0</v>
      </c>
      <c r="AK144">
        <v>0</v>
      </c>
      <c r="AL144">
        <v>2</v>
      </c>
      <c r="AM144">
        <v>0</v>
      </c>
      <c r="AN144">
        <v>1</v>
      </c>
      <c r="BC144">
        <v>0</v>
      </c>
      <c r="BD144">
        <v>17</v>
      </c>
      <c r="BE144">
        <v>364</v>
      </c>
      <c r="BF144">
        <v>381</v>
      </c>
      <c r="BG144">
        <v>564</v>
      </c>
      <c r="BJ144">
        <v>1</v>
      </c>
      <c r="BL144" t="s">
        <v>389</v>
      </c>
      <c r="BM144" s="4">
        <v>43283.273518518516</v>
      </c>
      <c r="BN144" s="4">
        <v>43283.29965277778</v>
      </c>
      <c r="BO144" s="4">
        <v>43283.29965277778</v>
      </c>
      <c r="BP144" t="s">
        <v>339</v>
      </c>
      <c r="BQ144" t="s">
        <v>340</v>
      </c>
      <c r="BR144" t="s">
        <v>94</v>
      </c>
    </row>
    <row r="145" spans="1:70" x14ac:dyDescent="0.3">
      <c r="A145" t="str">
        <f>"200081B0100"</f>
        <v>200081B0100</v>
      </c>
      <c r="B145" t="s">
        <v>390</v>
      </c>
      <c r="C145">
        <v>20</v>
      </c>
      <c r="D145" t="s">
        <v>88</v>
      </c>
      <c r="E145">
        <v>12</v>
      </c>
      <c r="F145" t="s">
        <v>370</v>
      </c>
      <c r="G145">
        <v>81</v>
      </c>
      <c r="H145">
        <v>1</v>
      </c>
      <c r="I145" t="s">
        <v>90</v>
      </c>
      <c r="J145">
        <v>0</v>
      </c>
      <c r="K145">
        <v>2</v>
      </c>
      <c r="L145">
        <v>5</v>
      </c>
      <c r="BG145">
        <v>134</v>
      </c>
      <c r="BI145" t="s">
        <v>122</v>
      </c>
      <c r="BJ145">
        <v>0</v>
      </c>
      <c r="BL145" t="s">
        <v>391</v>
      </c>
      <c r="BM145" s="4">
        <v>43283.538194444445</v>
      </c>
      <c r="BN145" s="4">
        <v>43283.543425925927</v>
      </c>
      <c r="BO145" s="4">
        <v>43283.543425925927</v>
      </c>
      <c r="BP145" t="s">
        <v>92</v>
      </c>
      <c r="BQ145" t="s">
        <v>93</v>
      </c>
      <c r="BR145" t="s">
        <v>94</v>
      </c>
    </row>
    <row r="146" spans="1:70" x14ac:dyDescent="0.3">
      <c r="A146" t="str">
        <f>"200082B0100"</f>
        <v>200082B0100</v>
      </c>
      <c r="B146" t="s">
        <v>392</v>
      </c>
      <c r="C146">
        <v>20</v>
      </c>
      <c r="D146" t="s">
        <v>88</v>
      </c>
      <c r="E146">
        <v>12</v>
      </c>
      <c r="F146" t="s">
        <v>370</v>
      </c>
      <c r="G146">
        <v>82</v>
      </c>
      <c r="H146">
        <v>1</v>
      </c>
      <c r="I146" t="s">
        <v>90</v>
      </c>
      <c r="J146">
        <v>0</v>
      </c>
      <c r="K146">
        <v>2</v>
      </c>
      <c r="L146">
        <v>5</v>
      </c>
      <c r="BG146">
        <v>503</v>
      </c>
      <c r="BI146" t="s">
        <v>122</v>
      </c>
      <c r="BJ146">
        <v>0</v>
      </c>
      <c r="BL146" t="s">
        <v>393</v>
      </c>
      <c r="BM146" s="4">
        <v>43283.538194444445</v>
      </c>
      <c r="BN146" s="4">
        <v>43283.543796296297</v>
      </c>
      <c r="BO146" s="4">
        <v>43283.543796296297</v>
      </c>
      <c r="BP146" t="s">
        <v>92</v>
      </c>
      <c r="BQ146" t="s">
        <v>93</v>
      </c>
      <c r="BR146" t="s">
        <v>94</v>
      </c>
    </row>
    <row r="147" spans="1:70" x14ac:dyDescent="0.3">
      <c r="A147" t="str">
        <f>"200082C0100"</f>
        <v>200082C0100</v>
      </c>
      <c r="B147" t="s">
        <v>394</v>
      </c>
      <c r="C147">
        <v>20</v>
      </c>
      <c r="D147" t="s">
        <v>88</v>
      </c>
      <c r="E147">
        <v>12</v>
      </c>
      <c r="F147" t="s">
        <v>370</v>
      </c>
      <c r="G147">
        <v>82</v>
      </c>
      <c r="H147">
        <v>1</v>
      </c>
      <c r="I147" t="s">
        <v>98</v>
      </c>
      <c r="J147">
        <v>0</v>
      </c>
      <c r="K147">
        <v>2</v>
      </c>
      <c r="L147">
        <v>5</v>
      </c>
      <c r="M147">
        <v>196</v>
      </c>
      <c r="N147">
        <v>329</v>
      </c>
      <c r="O147">
        <v>0</v>
      </c>
      <c r="P147">
        <v>329</v>
      </c>
      <c r="Q147">
        <v>7</v>
      </c>
      <c r="R147">
        <v>95</v>
      </c>
      <c r="S147">
        <v>2</v>
      </c>
      <c r="T147">
        <v>7</v>
      </c>
      <c r="U147">
        <v>19</v>
      </c>
      <c r="V147">
        <v>0</v>
      </c>
      <c r="W147">
        <v>26</v>
      </c>
      <c r="X147">
        <v>0</v>
      </c>
      <c r="Y147">
        <v>59</v>
      </c>
      <c r="Z147">
        <v>4</v>
      </c>
      <c r="AA147">
        <v>89</v>
      </c>
      <c r="AB147">
        <v>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2</v>
      </c>
      <c r="AL147">
        <v>0</v>
      </c>
      <c r="AM147">
        <v>0</v>
      </c>
      <c r="AN147">
        <v>0</v>
      </c>
      <c r="BC147">
        <v>0</v>
      </c>
      <c r="BD147">
        <v>15</v>
      </c>
      <c r="BE147">
        <v>329</v>
      </c>
      <c r="BF147">
        <v>329</v>
      </c>
      <c r="BG147">
        <v>503</v>
      </c>
      <c r="BJ147">
        <v>1</v>
      </c>
      <c r="BL147" t="s">
        <v>395</v>
      </c>
      <c r="BM147" s="4">
        <v>43283.456759259258</v>
      </c>
      <c r="BN147" s="4">
        <v>43283.46162037037</v>
      </c>
      <c r="BO147" s="4">
        <v>43283.46162037037</v>
      </c>
      <c r="BP147" t="s">
        <v>339</v>
      </c>
      <c r="BQ147" t="s">
        <v>340</v>
      </c>
      <c r="BR147" t="s">
        <v>94</v>
      </c>
    </row>
    <row r="148" spans="1:70" x14ac:dyDescent="0.3">
      <c r="A148" t="str">
        <f>"200083B0100"</f>
        <v>200083B0100</v>
      </c>
      <c r="B148" t="s">
        <v>396</v>
      </c>
      <c r="C148">
        <v>20</v>
      </c>
      <c r="D148" t="s">
        <v>88</v>
      </c>
      <c r="E148">
        <v>12</v>
      </c>
      <c r="F148" t="s">
        <v>370</v>
      </c>
      <c r="G148">
        <v>83</v>
      </c>
      <c r="H148">
        <v>1</v>
      </c>
      <c r="I148" t="s">
        <v>90</v>
      </c>
      <c r="J148">
        <v>0</v>
      </c>
      <c r="K148">
        <v>2</v>
      </c>
      <c r="L148">
        <v>5</v>
      </c>
      <c r="M148">
        <v>146</v>
      </c>
      <c r="N148">
        <v>320</v>
      </c>
      <c r="O148">
        <v>0</v>
      </c>
      <c r="P148">
        <v>320</v>
      </c>
      <c r="Q148">
        <v>9</v>
      </c>
      <c r="R148">
        <v>83</v>
      </c>
      <c r="S148">
        <v>3</v>
      </c>
      <c r="T148">
        <v>4</v>
      </c>
      <c r="U148">
        <v>7</v>
      </c>
      <c r="V148">
        <v>1</v>
      </c>
      <c r="W148">
        <v>28</v>
      </c>
      <c r="X148">
        <v>5</v>
      </c>
      <c r="Y148">
        <v>43</v>
      </c>
      <c r="Z148">
        <v>3</v>
      </c>
      <c r="AA148">
        <v>46</v>
      </c>
      <c r="AB148">
        <v>12</v>
      </c>
      <c r="AC148">
        <v>0</v>
      </c>
      <c r="AD148">
        <v>0</v>
      </c>
      <c r="AE148">
        <v>0</v>
      </c>
      <c r="AF148">
        <v>0</v>
      </c>
      <c r="AG148">
        <v>1</v>
      </c>
      <c r="AH148">
        <v>1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BC148">
        <v>0</v>
      </c>
      <c r="BD148">
        <v>14</v>
      </c>
      <c r="BE148">
        <v>320</v>
      </c>
      <c r="BF148">
        <v>260</v>
      </c>
      <c r="BG148">
        <v>444</v>
      </c>
      <c r="BJ148">
        <v>1</v>
      </c>
      <c r="BL148" t="s">
        <v>397</v>
      </c>
      <c r="BM148" s="4">
        <v>43283.457557870373</v>
      </c>
      <c r="BN148" s="4">
        <v>43283.46947916667</v>
      </c>
      <c r="BO148" s="4">
        <v>43283.46947916667</v>
      </c>
      <c r="BP148" t="s">
        <v>339</v>
      </c>
      <c r="BQ148" t="s">
        <v>340</v>
      </c>
      <c r="BR148" t="s">
        <v>94</v>
      </c>
    </row>
    <row r="149" spans="1:70" x14ac:dyDescent="0.3">
      <c r="A149" t="str">
        <f>"200083E0100"</f>
        <v>200083E0100</v>
      </c>
      <c r="B149" s="2" t="s">
        <v>398</v>
      </c>
      <c r="C149">
        <v>20</v>
      </c>
      <c r="D149" t="s">
        <v>88</v>
      </c>
      <c r="E149">
        <v>12</v>
      </c>
      <c r="F149" t="s">
        <v>370</v>
      </c>
      <c r="G149">
        <v>83</v>
      </c>
      <c r="H149">
        <v>1</v>
      </c>
      <c r="I149" t="s">
        <v>156</v>
      </c>
      <c r="J149">
        <v>0</v>
      </c>
      <c r="K149">
        <v>2</v>
      </c>
      <c r="L149">
        <v>5</v>
      </c>
      <c r="M149">
        <v>53</v>
      </c>
      <c r="N149">
        <v>136</v>
      </c>
      <c r="O149">
        <v>0</v>
      </c>
      <c r="P149">
        <v>136</v>
      </c>
      <c r="Q149">
        <v>9</v>
      </c>
      <c r="R149">
        <v>28</v>
      </c>
      <c r="S149">
        <v>1</v>
      </c>
      <c r="T149">
        <v>0</v>
      </c>
      <c r="U149">
        <v>4</v>
      </c>
      <c r="V149">
        <v>1</v>
      </c>
      <c r="W149">
        <v>19</v>
      </c>
      <c r="X149">
        <v>1</v>
      </c>
      <c r="Y149">
        <v>15</v>
      </c>
      <c r="Z149">
        <v>0</v>
      </c>
      <c r="AA149">
        <v>43</v>
      </c>
      <c r="AB149">
        <v>8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1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BC149" t="s">
        <v>105</v>
      </c>
      <c r="BD149">
        <v>5</v>
      </c>
      <c r="BE149" t="s">
        <v>105</v>
      </c>
      <c r="BF149">
        <v>136</v>
      </c>
      <c r="BG149">
        <v>167</v>
      </c>
      <c r="BI149" t="s">
        <v>106</v>
      </c>
      <c r="BJ149">
        <v>1</v>
      </c>
      <c r="BL149" t="s">
        <v>399</v>
      </c>
      <c r="BM149" s="4">
        <v>43283.45721064815</v>
      </c>
      <c r="BN149" s="4">
        <v>43283.467326388891</v>
      </c>
      <c r="BO149" s="4">
        <v>43283.467326388891</v>
      </c>
      <c r="BP149" t="s">
        <v>339</v>
      </c>
      <c r="BQ149" t="s">
        <v>340</v>
      </c>
      <c r="BR149" t="s">
        <v>94</v>
      </c>
    </row>
    <row r="150" spans="1:70" x14ac:dyDescent="0.3">
      <c r="A150" t="str">
        <f>"200084B0100"</f>
        <v>200084B0100</v>
      </c>
      <c r="B150" t="s">
        <v>400</v>
      </c>
      <c r="C150">
        <v>20</v>
      </c>
      <c r="D150" t="s">
        <v>88</v>
      </c>
      <c r="E150">
        <v>12</v>
      </c>
      <c r="F150" t="s">
        <v>370</v>
      </c>
      <c r="G150">
        <v>84</v>
      </c>
      <c r="H150">
        <v>1</v>
      </c>
      <c r="I150" t="s">
        <v>90</v>
      </c>
      <c r="J150">
        <v>0</v>
      </c>
      <c r="K150">
        <v>2</v>
      </c>
      <c r="L150">
        <v>5</v>
      </c>
      <c r="BG150">
        <v>209</v>
      </c>
      <c r="BI150" t="s">
        <v>122</v>
      </c>
      <c r="BJ150">
        <v>0</v>
      </c>
      <c r="BL150" s="2" t="s">
        <v>401</v>
      </c>
      <c r="BM150" s="4">
        <v>43283.537499999999</v>
      </c>
      <c r="BN150" s="4">
        <v>43283.542939814812</v>
      </c>
      <c r="BO150" s="4">
        <v>43283.542939814812</v>
      </c>
      <c r="BP150" t="s">
        <v>92</v>
      </c>
      <c r="BQ150" t="s">
        <v>93</v>
      </c>
      <c r="BR150" t="s">
        <v>94</v>
      </c>
    </row>
    <row r="151" spans="1:70" x14ac:dyDescent="0.3">
      <c r="A151" t="str">
        <f>"200084E0100"</f>
        <v>200084E0100</v>
      </c>
      <c r="B151" s="2" t="s">
        <v>402</v>
      </c>
      <c r="C151">
        <v>20</v>
      </c>
      <c r="D151" t="s">
        <v>88</v>
      </c>
      <c r="E151">
        <v>12</v>
      </c>
      <c r="F151" t="s">
        <v>370</v>
      </c>
      <c r="G151">
        <v>84</v>
      </c>
      <c r="H151">
        <v>1</v>
      </c>
      <c r="I151" t="s">
        <v>156</v>
      </c>
      <c r="J151">
        <v>0</v>
      </c>
      <c r="K151">
        <v>2</v>
      </c>
      <c r="L151">
        <v>5</v>
      </c>
      <c r="M151">
        <v>140</v>
      </c>
      <c r="N151">
        <v>340</v>
      </c>
      <c r="O151">
        <v>0</v>
      </c>
      <c r="P151">
        <v>340</v>
      </c>
      <c r="Q151">
        <v>4</v>
      </c>
      <c r="R151">
        <v>133</v>
      </c>
      <c r="S151">
        <v>3</v>
      </c>
      <c r="T151">
        <v>2</v>
      </c>
      <c r="U151">
        <v>8</v>
      </c>
      <c r="V151">
        <v>0</v>
      </c>
      <c r="W151">
        <v>46</v>
      </c>
      <c r="X151">
        <v>0</v>
      </c>
      <c r="Y151">
        <v>42</v>
      </c>
      <c r="Z151">
        <v>3</v>
      </c>
      <c r="AA151">
        <v>68</v>
      </c>
      <c r="AB151">
        <v>9</v>
      </c>
      <c r="AC151">
        <v>0</v>
      </c>
      <c r="AD151">
        <v>1</v>
      </c>
      <c r="AE151">
        <v>0</v>
      </c>
      <c r="AF151">
        <v>0</v>
      </c>
      <c r="AG151">
        <v>4</v>
      </c>
      <c r="AH151">
        <v>2</v>
      </c>
      <c r="AI151">
        <v>0</v>
      </c>
      <c r="AJ151">
        <v>0</v>
      </c>
      <c r="AK151">
        <v>1</v>
      </c>
      <c r="AL151">
        <v>2</v>
      </c>
      <c r="AM151">
        <v>0</v>
      </c>
      <c r="AN151">
        <v>1</v>
      </c>
      <c r="BC151">
        <v>0</v>
      </c>
      <c r="BD151">
        <v>11</v>
      </c>
      <c r="BE151">
        <v>340</v>
      </c>
      <c r="BF151">
        <v>340</v>
      </c>
      <c r="BG151">
        <v>458</v>
      </c>
      <c r="BJ151">
        <v>1</v>
      </c>
      <c r="BL151" t="s">
        <v>403</v>
      </c>
      <c r="BM151" s="4">
        <v>43283.272789351853</v>
      </c>
      <c r="BN151" s="4">
        <v>43283.298437500001</v>
      </c>
      <c r="BO151" s="4">
        <v>43283.298437500001</v>
      </c>
      <c r="BP151" t="s">
        <v>339</v>
      </c>
      <c r="BQ151" t="s">
        <v>340</v>
      </c>
      <c r="BR151" t="s">
        <v>94</v>
      </c>
    </row>
    <row r="152" spans="1:70" x14ac:dyDescent="0.3">
      <c r="A152" t="str">
        <f>"200084E0101"</f>
        <v>200084E0101</v>
      </c>
      <c r="B152" s="2" t="s">
        <v>404</v>
      </c>
      <c r="C152">
        <v>20</v>
      </c>
      <c r="D152" t="s">
        <v>88</v>
      </c>
      <c r="E152">
        <v>12</v>
      </c>
      <c r="F152" t="s">
        <v>370</v>
      </c>
      <c r="G152">
        <v>84</v>
      </c>
      <c r="H152">
        <v>1</v>
      </c>
      <c r="I152" t="s">
        <v>156</v>
      </c>
      <c r="J152">
        <v>1</v>
      </c>
      <c r="K152">
        <v>2</v>
      </c>
      <c r="L152">
        <v>5</v>
      </c>
      <c r="M152">
        <v>151</v>
      </c>
      <c r="N152">
        <v>329</v>
      </c>
      <c r="O152">
        <v>0</v>
      </c>
      <c r="P152">
        <v>329</v>
      </c>
      <c r="Q152">
        <v>8</v>
      </c>
      <c r="R152">
        <v>102</v>
      </c>
      <c r="S152">
        <v>2</v>
      </c>
      <c r="T152">
        <v>3</v>
      </c>
      <c r="U152">
        <v>14</v>
      </c>
      <c r="V152">
        <v>4</v>
      </c>
      <c r="W152">
        <v>51</v>
      </c>
      <c r="X152">
        <v>4</v>
      </c>
      <c r="Y152">
        <v>50</v>
      </c>
      <c r="Z152">
        <v>0</v>
      </c>
      <c r="AA152">
        <v>53</v>
      </c>
      <c r="AB152">
        <v>17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1</v>
      </c>
      <c r="AI152">
        <v>1</v>
      </c>
      <c r="AJ152">
        <v>0</v>
      </c>
      <c r="AK152">
        <v>3</v>
      </c>
      <c r="AL152">
        <v>0</v>
      </c>
      <c r="AM152">
        <v>0</v>
      </c>
      <c r="AN152">
        <v>0</v>
      </c>
      <c r="BC152">
        <v>0</v>
      </c>
      <c r="BD152">
        <v>16</v>
      </c>
      <c r="BE152">
        <v>329</v>
      </c>
      <c r="BF152">
        <v>329</v>
      </c>
      <c r="BG152">
        <v>458</v>
      </c>
      <c r="BJ152">
        <v>1</v>
      </c>
      <c r="BL152" t="s">
        <v>405</v>
      </c>
      <c r="BM152" s="4">
        <v>43283.274745370371</v>
      </c>
      <c r="BN152" s="4">
        <v>43283.300243055557</v>
      </c>
      <c r="BO152" s="4">
        <v>43283.300243055557</v>
      </c>
      <c r="BP152" t="s">
        <v>339</v>
      </c>
      <c r="BQ152" t="s">
        <v>340</v>
      </c>
      <c r="BR152" t="s">
        <v>94</v>
      </c>
    </row>
    <row r="153" spans="1:70" x14ac:dyDescent="0.3">
      <c r="A153" t="str">
        <f>"200085B0100"</f>
        <v>200085B0100</v>
      </c>
      <c r="B153" t="s">
        <v>406</v>
      </c>
      <c r="C153">
        <v>20</v>
      </c>
      <c r="D153" t="s">
        <v>88</v>
      </c>
      <c r="E153">
        <v>12</v>
      </c>
      <c r="F153" t="s">
        <v>370</v>
      </c>
      <c r="G153">
        <v>85</v>
      </c>
      <c r="H153">
        <v>1</v>
      </c>
      <c r="I153" t="s">
        <v>90</v>
      </c>
      <c r="J153">
        <v>0</v>
      </c>
      <c r="K153">
        <v>2</v>
      </c>
      <c r="L153">
        <v>5</v>
      </c>
      <c r="BG153">
        <v>431</v>
      </c>
      <c r="BI153" t="s">
        <v>407</v>
      </c>
      <c r="BJ153">
        <v>0</v>
      </c>
      <c r="BL153" t="s">
        <v>408</v>
      </c>
      <c r="BM153" s="4">
        <v>43283.272060185183</v>
      </c>
      <c r="BN153" s="4">
        <v>43283.309317129628</v>
      </c>
      <c r="BO153" s="4">
        <v>43283.309317129628</v>
      </c>
      <c r="BP153" t="s">
        <v>339</v>
      </c>
      <c r="BQ153" t="s">
        <v>340</v>
      </c>
      <c r="BR153" t="s">
        <v>94</v>
      </c>
    </row>
    <row r="154" spans="1:70" x14ac:dyDescent="0.3">
      <c r="A154" t="str">
        <f>"200086B0100"</f>
        <v>200086B0100</v>
      </c>
      <c r="B154" t="s">
        <v>409</v>
      </c>
      <c r="C154">
        <v>20</v>
      </c>
      <c r="D154" t="s">
        <v>88</v>
      </c>
      <c r="E154">
        <v>12</v>
      </c>
      <c r="F154" t="s">
        <v>370</v>
      </c>
      <c r="G154">
        <v>86</v>
      </c>
      <c r="H154">
        <v>1</v>
      </c>
      <c r="I154" t="s">
        <v>90</v>
      </c>
      <c r="J154">
        <v>0</v>
      </c>
      <c r="K154">
        <v>2</v>
      </c>
      <c r="L154">
        <v>5</v>
      </c>
      <c r="M154">
        <v>149</v>
      </c>
      <c r="N154">
        <v>390</v>
      </c>
      <c r="O154">
        <v>0</v>
      </c>
      <c r="P154">
        <v>390</v>
      </c>
      <c r="Q154">
        <v>8</v>
      </c>
      <c r="R154">
        <v>129</v>
      </c>
      <c r="S154">
        <v>7</v>
      </c>
      <c r="T154">
        <v>1</v>
      </c>
      <c r="U154">
        <v>10</v>
      </c>
      <c r="V154">
        <v>5</v>
      </c>
      <c r="W154">
        <v>66</v>
      </c>
      <c r="X154">
        <v>2</v>
      </c>
      <c r="Y154">
        <v>102</v>
      </c>
      <c r="Z154">
        <v>3</v>
      </c>
      <c r="AA154">
        <v>38</v>
      </c>
      <c r="AB154">
        <v>7</v>
      </c>
      <c r="AC154">
        <v>0</v>
      </c>
      <c r="AD154">
        <v>0</v>
      </c>
      <c r="AE154">
        <v>0</v>
      </c>
      <c r="AF154">
        <v>0</v>
      </c>
      <c r="AG154">
        <v>3</v>
      </c>
      <c r="AH154">
        <v>0</v>
      </c>
      <c r="AI154">
        <v>0</v>
      </c>
      <c r="AJ154">
        <v>0</v>
      </c>
      <c r="AK154">
        <v>1</v>
      </c>
      <c r="AL154">
        <v>0</v>
      </c>
      <c r="AM154">
        <v>0</v>
      </c>
      <c r="AN154">
        <v>0</v>
      </c>
      <c r="BC154">
        <v>0</v>
      </c>
      <c r="BD154">
        <v>8</v>
      </c>
      <c r="BE154">
        <v>390</v>
      </c>
      <c r="BF154">
        <v>390</v>
      </c>
      <c r="BG154">
        <v>517</v>
      </c>
      <c r="BJ154">
        <v>1</v>
      </c>
      <c r="BL154" t="s">
        <v>410</v>
      </c>
      <c r="BM154" s="4">
        <v>43283.27542824074</v>
      </c>
      <c r="BN154" s="4">
        <v>43283.302222222221</v>
      </c>
      <c r="BO154" s="4">
        <v>43283.302222222221</v>
      </c>
      <c r="BP154" t="s">
        <v>339</v>
      </c>
      <c r="BQ154" t="s">
        <v>340</v>
      </c>
      <c r="BR154" t="s">
        <v>94</v>
      </c>
    </row>
    <row r="155" spans="1:70" x14ac:dyDescent="0.3">
      <c r="A155" t="str">
        <f>"200086C0100"</f>
        <v>200086C0100</v>
      </c>
      <c r="B155" t="s">
        <v>411</v>
      </c>
      <c r="C155">
        <v>20</v>
      </c>
      <c r="D155" t="s">
        <v>88</v>
      </c>
      <c r="E155">
        <v>12</v>
      </c>
      <c r="F155" t="s">
        <v>370</v>
      </c>
      <c r="G155">
        <v>86</v>
      </c>
      <c r="H155">
        <v>1</v>
      </c>
      <c r="I155" t="s">
        <v>98</v>
      </c>
      <c r="J155">
        <v>0</v>
      </c>
      <c r="K155">
        <v>2</v>
      </c>
      <c r="L155">
        <v>5</v>
      </c>
      <c r="BG155">
        <v>517</v>
      </c>
      <c r="BI155" t="s">
        <v>122</v>
      </c>
      <c r="BJ155">
        <v>0</v>
      </c>
      <c r="BL155" t="s">
        <v>412</v>
      </c>
      <c r="BM155" s="4">
        <v>43283.536805555559</v>
      </c>
      <c r="BN155" s="4">
        <v>43283.542719907404</v>
      </c>
      <c r="BO155" s="4">
        <v>43283.542719907404</v>
      </c>
      <c r="BP155" t="s">
        <v>92</v>
      </c>
      <c r="BQ155" t="s">
        <v>93</v>
      </c>
      <c r="BR155" t="s">
        <v>94</v>
      </c>
    </row>
    <row r="156" spans="1:70" x14ac:dyDescent="0.3">
      <c r="A156" t="str">
        <f>"200097B0100"</f>
        <v>200097B0100</v>
      </c>
      <c r="B156" t="s">
        <v>413</v>
      </c>
      <c r="C156">
        <v>20</v>
      </c>
      <c r="D156" t="s">
        <v>88</v>
      </c>
      <c r="E156">
        <v>15</v>
      </c>
      <c r="F156" t="s">
        <v>414</v>
      </c>
      <c r="G156">
        <v>97</v>
      </c>
      <c r="H156">
        <v>1</v>
      </c>
      <c r="I156" t="s">
        <v>90</v>
      </c>
      <c r="J156">
        <v>0</v>
      </c>
      <c r="K156">
        <v>1</v>
      </c>
      <c r="L156">
        <v>5</v>
      </c>
      <c r="M156" t="s">
        <v>127</v>
      </c>
      <c r="N156">
        <v>0</v>
      </c>
      <c r="O156">
        <v>0</v>
      </c>
      <c r="P156">
        <v>0</v>
      </c>
      <c r="Q156">
        <v>5</v>
      </c>
      <c r="R156">
        <v>44</v>
      </c>
      <c r="S156">
        <v>1</v>
      </c>
      <c r="T156">
        <v>48</v>
      </c>
      <c r="U156">
        <v>23</v>
      </c>
      <c r="V156">
        <v>159</v>
      </c>
      <c r="W156">
        <v>4</v>
      </c>
      <c r="Y156">
        <v>17</v>
      </c>
      <c r="Z156">
        <v>0</v>
      </c>
      <c r="AC156">
        <v>0</v>
      </c>
      <c r="AD156">
        <v>0</v>
      </c>
      <c r="AE156">
        <v>2</v>
      </c>
      <c r="AF156">
        <v>3</v>
      </c>
      <c r="AK156">
        <v>2</v>
      </c>
      <c r="AL156">
        <v>0</v>
      </c>
      <c r="AM156">
        <v>0</v>
      </c>
      <c r="AN156">
        <v>0</v>
      </c>
      <c r="BC156" t="s">
        <v>105</v>
      </c>
      <c r="BD156">
        <v>33</v>
      </c>
      <c r="BE156">
        <v>341</v>
      </c>
      <c r="BF156">
        <v>341</v>
      </c>
      <c r="BG156">
        <v>470</v>
      </c>
      <c r="BI156" t="s">
        <v>106</v>
      </c>
      <c r="BJ156">
        <v>1</v>
      </c>
      <c r="BL156" t="s">
        <v>415</v>
      </c>
      <c r="BM156" s="4">
        <v>43283.154166666667</v>
      </c>
      <c r="BN156" s="4">
        <v>43283.166481481479</v>
      </c>
      <c r="BO156" s="4">
        <v>43283.166481481479</v>
      </c>
      <c r="BP156" t="s">
        <v>92</v>
      </c>
      <c r="BQ156" t="s">
        <v>93</v>
      </c>
      <c r="BR156" t="s">
        <v>94</v>
      </c>
    </row>
    <row r="157" spans="1:70" x14ac:dyDescent="0.3">
      <c r="A157" t="str">
        <f>"200097C0100"</f>
        <v>200097C0100</v>
      </c>
      <c r="B157" t="s">
        <v>416</v>
      </c>
      <c r="C157">
        <v>20</v>
      </c>
      <c r="D157" t="s">
        <v>88</v>
      </c>
      <c r="E157">
        <v>15</v>
      </c>
      <c r="F157" t="s">
        <v>414</v>
      </c>
      <c r="G157">
        <v>97</v>
      </c>
      <c r="H157">
        <v>1</v>
      </c>
      <c r="I157" t="s">
        <v>98</v>
      </c>
      <c r="J157">
        <v>0</v>
      </c>
      <c r="K157">
        <v>1</v>
      </c>
      <c r="L157">
        <v>5</v>
      </c>
      <c r="M157">
        <v>0</v>
      </c>
      <c r="N157">
        <v>307</v>
      </c>
      <c r="O157">
        <v>1</v>
      </c>
      <c r="P157">
        <v>308</v>
      </c>
      <c r="Q157">
        <v>1</v>
      </c>
      <c r="R157">
        <v>29</v>
      </c>
      <c r="S157">
        <v>3</v>
      </c>
      <c r="T157">
        <v>45</v>
      </c>
      <c r="U157">
        <v>31</v>
      </c>
      <c r="V157">
        <v>168</v>
      </c>
      <c r="W157">
        <v>0</v>
      </c>
      <c r="Y157">
        <v>7</v>
      </c>
      <c r="Z157">
        <v>0</v>
      </c>
      <c r="AC157" t="s">
        <v>105</v>
      </c>
      <c r="AD157" t="s">
        <v>105</v>
      </c>
      <c r="AE157" t="s">
        <v>105</v>
      </c>
      <c r="AF157" t="s">
        <v>105</v>
      </c>
      <c r="AK157" t="s">
        <v>105</v>
      </c>
      <c r="AL157" t="s">
        <v>105</v>
      </c>
      <c r="AM157" t="s">
        <v>105</v>
      </c>
      <c r="AN157" t="s">
        <v>105</v>
      </c>
      <c r="BC157" t="s">
        <v>105</v>
      </c>
      <c r="BD157">
        <v>17</v>
      </c>
      <c r="BE157">
        <v>308</v>
      </c>
      <c r="BF157">
        <v>301</v>
      </c>
      <c r="BG157">
        <v>469</v>
      </c>
      <c r="BI157" t="s">
        <v>106</v>
      </c>
      <c r="BJ157">
        <v>1</v>
      </c>
      <c r="BL157" t="s">
        <v>417</v>
      </c>
      <c r="BM157" s="4">
        <v>43283.163194444445</v>
      </c>
      <c r="BN157" s="4">
        <v>43283.175312500003</v>
      </c>
      <c r="BO157" s="4">
        <v>43283.175312500003</v>
      </c>
      <c r="BP157" t="s">
        <v>92</v>
      </c>
      <c r="BQ157" t="s">
        <v>93</v>
      </c>
      <c r="BR157" t="s">
        <v>254</v>
      </c>
    </row>
    <row r="158" spans="1:70" x14ac:dyDescent="0.3">
      <c r="A158" t="str">
        <f>"200098B0100"</f>
        <v>200098B0100</v>
      </c>
      <c r="B158" t="s">
        <v>418</v>
      </c>
      <c r="C158">
        <v>20</v>
      </c>
      <c r="D158" t="s">
        <v>88</v>
      </c>
      <c r="E158">
        <v>15</v>
      </c>
      <c r="F158" t="s">
        <v>414</v>
      </c>
      <c r="G158">
        <v>98</v>
      </c>
      <c r="H158">
        <v>1</v>
      </c>
      <c r="I158" t="s">
        <v>90</v>
      </c>
      <c r="J158">
        <v>0</v>
      </c>
      <c r="K158">
        <v>1</v>
      </c>
      <c r="L158">
        <v>5</v>
      </c>
      <c r="M158">
        <v>267</v>
      </c>
      <c r="N158">
        <v>482</v>
      </c>
      <c r="O158">
        <v>4</v>
      </c>
      <c r="P158">
        <v>482</v>
      </c>
      <c r="Q158">
        <v>2</v>
      </c>
      <c r="R158">
        <v>35</v>
      </c>
      <c r="S158">
        <v>2</v>
      </c>
      <c r="T158">
        <v>61</v>
      </c>
      <c r="U158">
        <v>28</v>
      </c>
      <c r="V158">
        <v>312</v>
      </c>
      <c r="W158">
        <v>2</v>
      </c>
      <c r="Y158">
        <v>13</v>
      </c>
      <c r="Z158">
        <v>2</v>
      </c>
      <c r="AC158">
        <v>2</v>
      </c>
      <c r="AD158">
        <v>0</v>
      </c>
      <c r="AE158">
        <v>0</v>
      </c>
      <c r="AF158">
        <v>1</v>
      </c>
      <c r="AK158">
        <v>0</v>
      </c>
      <c r="AL158">
        <v>0</v>
      </c>
      <c r="AM158">
        <v>0</v>
      </c>
      <c r="AN158">
        <v>0</v>
      </c>
      <c r="BC158">
        <v>0</v>
      </c>
      <c r="BD158">
        <v>28</v>
      </c>
      <c r="BE158">
        <v>482</v>
      </c>
      <c r="BF158">
        <v>488</v>
      </c>
      <c r="BG158">
        <v>726</v>
      </c>
      <c r="BJ158">
        <v>1</v>
      </c>
      <c r="BL158" t="s">
        <v>419</v>
      </c>
      <c r="BM158" s="4">
        <v>43283.146527777775</v>
      </c>
      <c r="BN158" s="4">
        <v>43283.15552083333</v>
      </c>
      <c r="BO158" s="4">
        <v>43283.15552083333</v>
      </c>
      <c r="BP158" t="s">
        <v>92</v>
      </c>
      <c r="BQ158" t="s">
        <v>93</v>
      </c>
      <c r="BR158" t="s">
        <v>94</v>
      </c>
    </row>
    <row r="159" spans="1:70" x14ac:dyDescent="0.3">
      <c r="A159" t="str">
        <f>"200098C0100"</f>
        <v>200098C0100</v>
      </c>
      <c r="B159" t="s">
        <v>420</v>
      </c>
      <c r="C159">
        <v>20</v>
      </c>
      <c r="D159" t="s">
        <v>88</v>
      </c>
      <c r="E159">
        <v>15</v>
      </c>
      <c r="F159" t="s">
        <v>414</v>
      </c>
      <c r="G159">
        <v>98</v>
      </c>
      <c r="H159">
        <v>1</v>
      </c>
      <c r="I159" t="s">
        <v>98</v>
      </c>
      <c r="J159">
        <v>0</v>
      </c>
      <c r="K159">
        <v>1</v>
      </c>
      <c r="L159">
        <v>5</v>
      </c>
      <c r="BG159">
        <v>725</v>
      </c>
      <c r="BI159" t="s">
        <v>122</v>
      </c>
      <c r="BJ159">
        <v>0</v>
      </c>
      <c r="BL159" t="s">
        <v>421</v>
      </c>
      <c r="BM159" s="4">
        <v>43283.210416666669</v>
      </c>
      <c r="BN159" s="4">
        <v>43283.229027777779</v>
      </c>
      <c r="BO159" s="4">
        <v>43283.229027777779</v>
      </c>
      <c r="BP159" t="s">
        <v>92</v>
      </c>
      <c r="BQ159" t="s">
        <v>93</v>
      </c>
      <c r="BR159" t="s">
        <v>94</v>
      </c>
    </row>
    <row r="160" spans="1:70" x14ac:dyDescent="0.3">
      <c r="A160" t="str">
        <f>"200099B0100"</f>
        <v>200099B0100</v>
      </c>
      <c r="B160" t="s">
        <v>422</v>
      </c>
      <c r="C160">
        <v>20</v>
      </c>
      <c r="D160" t="s">
        <v>88</v>
      </c>
      <c r="E160">
        <v>15</v>
      </c>
      <c r="F160" t="s">
        <v>414</v>
      </c>
      <c r="G160">
        <v>99</v>
      </c>
      <c r="H160">
        <v>1</v>
      </c>
      <c r="I160" t="s">
        <v>90</v>
      </c>
      <c r="J160">
        <v>0</v>
      </c>
      <c r="K160">
        <v>1</v>
      </c>
      <c r="L160">
        <v>5</v>
      </c>
      <c r="M160">
        <v>166</v>
      </c>
      <c r="N160">
        <v>337</v>
      </c>
      <c r="O160">
        <v>0</v>
      </c>
      <c r="P160">
        <v>337</v>
      </c>
      <c r="Q160">
        <v>3</v>
      </c>
      <c r="R160">
        <v>31</v>
      </c>
      <c r="S160">
        <v>1</v>
      </c>
      <c r="T160">
        <v>96</v>
      </c>
      <c r="U160">
        <v>28</v>
      </c>
      <c r="V160">
        <v>145</v>
      </c>
      <c r="W160">
        <v>0</v>
      </c>
      <c r="Y160">
        <v>17</v>
      </c>
      <c r="Z160">
        <v>1</v>
      </c>
      <c r="AC160">
        <v>2</v>
      </c>
      <c r="AD160">
        <v>0</v>
      </c>
      <c r="AE160">
        <v>0</v>
      </c>
      <c r="AF160">
        <v>0</v>
      </c>
      <c r="AK160">
        <v>0</v>
      </c>
      <c r="AL160">
        <v>0</v>
      </c>
      <c r="AM160">
        <v>0</v>
      </c>
      <c r="AN160">
        <v>0</v>
      </c>
      <c r="BC160">
        <v>0</v>
      </c>
      <c r="BD160">
        <v>13</v>
      </c>
      <c r="BE160">
        <v>337</v>
      </c>
      <c r="BF160">
        <v>337</v>
      </c>
      <c r="BG160">
        <v>481</v>
      </c>
      <c r="BJ160">
        <v>1</v>
      </c>
      <c r="BL160" t="s">
        <v>423</v>
      </c>
      <c r="BM160" s="4">
        <v>43283.143750000003</v>
      </c>
      <c r="BN160" s="4">
        <v>43283.14770833333</v>
      </c>
      <c r="BO160" s="4">
        <v>43283.14770833333</v>
      </c>
      <c r="BP160" t="s">
        <v>92</v>
      </c>
      <c r="BQ160" t="s">
        <v>93</v>
      </c>
      <c r="BR160" t="s">
        <v>94</v>
      </c>
    </row>
    <row r="161" spans="1:70" x14ac:dyDescent="0.3">
      <c r="A161" t="str">
        <f>"200099C0100"</f>
        <v>200099C0100</v>
      </c>
      <c r="B161" t="s">
        <v>424</v>
      </c>
      <c r="C161">
        <v>20</v>
      </c>
      <c r="D161" t="s">
        <v>88</v>
      </c>
      <c r="E161">
        <v>15</v>
      </c>
      <c r="F161" t="s">
        <v>414</v>
      </c>
      <c r="G161">
        <v>99</v>
      </c>
      <c r="H161">
        <v>1</v>
      </c>
      <c r="I161" t="s">
        <v>98</v>
      </c>
      <c r="J161">
        <v>0</v>
      </c>
      <c r="K161">
        <v>1</v>
      </c>
      <c r="L161">
        <v>5</v>
      </c>
      <c r="BG161">
        <v>481</v>
      </c>
      <c r="BI161" t="s">
        <v>122</v>
      </c>
      <c r="BJ161">
        <v>0</v>
      </c>
      <c r="BL161" t="s">
        <v>425</v>
      </c>
      <c r="BM161" s="4">
        <v>43283.234722222223</v>
      </c>
      <c r="BN161" s="4">
        <v>43283.254884259259</v>
      </c>
      <c r="BO161" s="4">
        <v>43283.254884259259</v>
      </c>
      <c r="BP161" t="s">
        <v>92</v>
      </c>
      <c r="BQ161" t="s">
        <v>93</v>
      </c>
      <c r="BR161" t="s">
        <v>94</v>
      </c>
    </row>
    <row r="162" spans="1:70" x14ac:dyDescent="0.3">
      <c r="A162" t="str">
        <f>"200100B0100"</f>
        <v>200100B0100</v>
      </c>
      <c r="B162" t="s">
        <v>426</v>
      </c>
      <c r="C162">
        <v>20</v>
      </c>
      <c r="D162" t="s">
        <v>88</v>
      </c>
      <c r="E162">
        <v>15</v>
      </c>
      <c r="F162" t="s">
        <v>414</v>
      </c>
      <c r="G162">
        <v>100</v>
      </c>
      <c r="H162">
        <v>1</v>
      </c>
      <c r="I162" t="s">
        <v>90</v>
      </c>
      <c r="J162">
        <v>0</v>
      </c>
      <c r="K162">
        <v>1</v>
      </c>
      <c r="L162">
        <v>5</v>
      </c>
      <c r="M162">
        <v>203</v>
      </c>
      <c r="N162">
        <v>401</v>
      </c>
      <c r="O162">
        <v>0</v>
      </c>
      <c r="P162">
        <v>401</v>
      </c>
      <c r="Q162">
        <v>1</v>
      </c>
      <c r="R162">
        <v>63</v>
      </c>
      <c r="S162">
        <v>1</v>
      </c>
      <c r="T162">
        <v>65</v>
      </c>
      <c r="U162">
        <v>44</v>
      </c>
      <c r="V162">
        <v>190</v>
      </c>
      <c r="W162">
        <v>1</v>
      </c>
      <c r="Y162">
        <v>12</v>
      </c>
      <c r="Z162">
        <v>1</v>
      </c>
      <c r="AC162">
        <v>0</v>
      </c>
      <c r="AD162">
        <v>0</v>
      </c>
      <c r="AE162">
        <v>0</v>
      </c>
      <c r="AF162">
        <v>0</v>
      </c>
      <c r="AK162">
        <v>0</v>
      </c>
      <c r="AL162">
        <v>2</v>
      </c>
      <c r="AM162">
        <v>0</v>
      </c>
      <c r="AN162">
        <v>0</v>
      </c>
      <c r="BC162">
        <v>0</v>
      </c>
      <c r="BD162">
        <v>21</v>
      </c>
      <c r="BE162">
        <v>401</v>
      </c>
      <c r="BF162">
        <v>401</v>
      </c>
      <c r="BG162">
        <v>581</v>
      </c>
      <c r="BJ162">
        <v>1</v>
      </c>
      <c r="BL162" t="s">
        <v>427</v>
      </c>
      <c r="BM162" s="4">
        <v>43283.175000000003</v>
      </c>
      <c r="BN162" s="4">
        <v>43283.193437499998</v>
      </c>
      <c r="BO162" s="4">
        <v>43283.193437499998</v>
      </c>
      <c r="BP162" t="s">
        <v>92</v>
      </c>
      <c r="BQ162" t="s">
        <v>93</v>
      </c>
      <c r="BR162" t="s">
        <v>94</v>
      </c>
    </row>
    <row r="163" spans="1:70" x14ac:dyDescent="0.3">
      <c r="A163" t="str">
        <f>"200100C0100"</f>
        <v>200100C0100</v>
      </c>
      <c r="B163" t="s">
        <v>428</v>
      </c>
      <c r="C163">
        <v>20</v>
      </c>
      <c r="D163" t="s">
        <v>88</v>
      </c>
      <c r="E163">
        <v>15</v>
      </c>
      <c r="F163" t="s">
        <v>414</v>
      </c>
      <c r="G163">
        <v>100</v>
      </c>
      <c r="H163">
        <v>1</v>
      </c>
      <c r="I163" t="s">
        <v>98</v>
      </c>
      <c r="J163">
        <v>0</v>
      </c>
      <c r="K163">
        <v>1</v>
      </c>
      <c r="L163">
        <v>5</v>
      </c>
      <c r="BG163">
        <v>580</v>
      </c>
      <c r="BI163" t="s">
        <v>122</v>
      </c>
      <c r="BJ163">
        <v>0</v>
      </c>
      <c r="BL163" t="s">
        <v>429</v>
      </c>
      <c r="BM163" s="4">
        <v>43283.212500000001</v>
      </c>
      <c r="BN163" s="4">
        <v>43283.230011574073</v>
      </c>
      <c r="BO163" s="4">
        <v>43283.230011574073</v>
      </c>
      <c r="BP163" t="s">
        <v>92</v>
      </c>
      <c r="BQ163" t="s">
        <v>93</v>
      </c>
      <c r="BR163" t="s">
        <v>94</v>
      </c>
    </row>
    <row r="164" spans="1:70" x14ac:dyDescent="0.3">
      <c r="A164" t="str">
        <f>"200101B0100"</f>
        <v>200101B0100</v>
      </c>
      <c r="B164" t="s">
        <v>430</v>
      </c>
      <c r="C164">
        <v>20</v>
      </c>
      <c r="D164" t="s">
        <v>88</v>
      </c>
      <c r="E164">
        <v>15</v>
      </c>
      <c r="F164" t="s">
        <v>414</v>
      </c>
      <c r="G164">
        <v>101</v>
      </c>
      <c r="H164">
        <v>1</v>
      </c>
      <c r="I164" t="s">
        <v>90</v>
      </c>
      <c r="J164">
        <v>0</v>
      </c>
      <c r="K164">
        <v>1</v>
      </c>
      <c r="L164">
        <v>5</v>
      </c>
      <c r="M164">
        <v>165</v>
      </c>
      <c r="N164">
        <v>400</v>
      </c>
      <c r="O164">
        <v>0</v>
      </c>
      <c r="P164">
        <v>0</v>
      </c>
      <c r="Q164" t="s">
        <v>105</v>
      </c>
      <c r="R164">
        <v>65</v>
      </c>
      <c r="S164">
        <v>2</v>
      </c>
      <c r="T164">
        <v>90</v>
      </c>
      <c r="U164">
        <v>18</v>
      </c>
      <c r="V164">
        <v>199</v>
      </c>
      <c r="W164">
        <v>3</v>
      </c>
      <c r="Y164">
        <v>7</v>
      </c>
      <c r="Z164" t="s">
        <v>105</v>
      </c>
      <c r="AC164" t="s">
        <v>105</v>
      </c>
      <c r="AD164" t="s">
        <v>105</v>
      </c>
      <c r="AE164">
        <v>1</v>
      </c>
      <c r="AF164" t="s">
        <v>105</v>
      </c>
      <c r="AK164">
        <v>2</v>
      </c>
      <c r="AL164" t="s">
        <v>105</v>
      </c>
      <c r="AM164" t="s">
        <v>105</v>
      </c>
      <c r="AN164" t="s">
        <v>105</v>
      </c>
      <c r="BC164" t="s">
        <v>105</v>
      </c>
      <c r="BD164">
        <v>13</v>
      </c>
      <c r="BE164">
        <v>400</v>
      </c>
      <c r="BF164">
        <v>400</v>
      </c>
      <c r="BG164">
        <v>543</v>
      </c>
      <c r="BI164" t="s">
        <v>106</v>
      </c>
      <c r="BJ164">
        <v>1</v>
      </c>
      <c r="BL164" t="s">
        <v>431</v>
      </c>
      <c r="BM164" s="4">
        <v>43283.173611111109</v>
      </c>
      <c r="BN164" s="4">
        <v>43283.192013888889</v>
      </c>
      <c r="BO164" s="4">
        <v>43283.192013888889</v>
      </c>
      <c r="BP164" t="s">
        <v>92</v>
      </c>
      <c r="BQ164" t="s">
        <v>93</v>
      </c>
      <c r="BR164" t="s">
        <v>94</v>
      </c>
    </row>
    <row r="165" spans="1:70" x14ac:dyDescent="0.3">
      <c r="A165" t="str">
        <f>"200101C0100"</f>
        <v>200101C0100</v>
      </c>
      <c r="B165" t="s">
        <v>432</v>
      </c>
      <c r="C165">
        <v>20</v>
      </c>
      <c r="D165" t="s">
        <v>88</v>
      </c>
      <c r="E165">
        <v>15</v>
      </c>
      <c r="F165" t="s">
        <v>414</v>
      </c>
      <c r="G165">
        <v>101</v>
      </c>
      <c r="H165">
        <v>1</v>
      </c>
      <c r="I165" t="s">
        <v>98</v>
      </c>
      <c r="J165">
        <v>0</v>
      </c>
      <c r="K165">
        <v>1</v>
      </c>
      <c r="L165">
        <v>5</v>
      </c>
      <c r="M165">
        <v>155</v>
      </c>
      <c r="N165">
        <v>0</v>
      </c>
      <c r="O165">
        <v>1</v>
      </c>
      <c r="P165">
        <v>387</v>
      </c>
      <c r="Q165">
        <v>4</v>
      </c>
      <c r="R165">
        <v>55</v>
      </c>
      <c r="S165">
        <v>3</v>
      </c>
      <c r="T165">
        <v>95</v>
      </c>
      <c r="U165">
        <v>38</v>
      </c>
      <c r="V165">
        <v>159</v>
      </c>
      <c r="W165">
        <v>0</v>
      </c>
      <c r="Y165">
        <v>16</v>
      </c>
      <c r="Z165">
        <v>0</v>
      </c>
      <c r="AC165">
        <v>0</v>
      </c>
      <c r="AD165">
        <v>0</v>
      </c>
      <c r="AE165">
        <v>0</v>
      </c>
      <c r="AF165">
        <v>0</v>
      </c>
      <c r="AK165">
        <v>1</v>
      </c>
      <c r="AL165">
        <v>0</v>
      </c>
      <c r="AM165">
        <v>0</v>
      </c>
      <c r="AN165">
        <v>0</v>
      </c>
      <c r="BC165">
        <v>0</v>
      </c>
      <c r="BD165">
        <v>16</v>
      </c>
      <c r="BE165">
        <v>387</v>
      </c>
      <c r="BF165">
        <v>387</v>
      </c>
      <c r="BG165">
        <v>543</v>
      </c>
      <c r="BJ165">
        <v>1</v>
      </c>
      <c r="BL165" t="s">
        <v>433</v>
      </c>
      <c r="BM165" s="4">
        <v>43283.176388888889</v>
      </c>
      <c r="BN165" s="4">
        <v>43283.1953125</v>
      </c>
      <c r="BO165" s="4">
        <v>43283.1953125</v>
      </c>
      <c r="BP165" t="s">
        <v>92</v>
      </c>
      <c r="BQ165" t="s">
        <v>93</v>
      </c>
      <c r="BR165" t="s">
        <v>94</v>
      </c>
    </row>
    <row r="166" spans="1:70" x14ac:dyDescent="0.3">
      <c r="A166" t="str">
        <f>"200102B0100"</f>
        <v>200102B0100</v>
      </c>
      <c r="B166" t="s">
        <v>434</v>
      </c>
      <c r="C166">
        <v>20</v>
      </c>
      <c r="D166" t="s">
        <v>88</v>
      </c>
      <c r="E166">
        <v>15</v>
      </c>
      <c r="F166" t="s">
        <v>414</v>
      </c>
      <c r="G166">
        <v>102</v>
      </c>
      <c r="H166">
        <v>1</v>
      </c>
      <c r="I166" t="s">
        <v>90</v>
      </c>
      <c r="J166">
        <v>0</v>
      </c>
      <c r="K166">
        <v>1</v>
      </c>
      <c r="L166">
        <v>5</v>
      </c>
      <c r="BG166">
        <v>650</v>
      </c>
      <c r="BI166" t="s">
        <v>122</v>
      </c>
      <c r="BJ166">
        <v>0</v>
      </c>
      <c r="BL166" t="s">
        <v>435</v>
      </c>
      <c r="BM166" s="4">
        <v>43283.236111111109</v>
      </c>
      <c r="BN166" s="4">
        <v>43283.255312499998</v>
      </c>
      <c r="BO166" s="4">
        <v>43283.255312499998</v>
      </c>
      <c r="BP166" t="s">
        <v>92</v>
      </c>
      <c r="BQ166" t="s">
        <v>93</v>
      </c>
      <c r="BR166" t="s">
        <v>94</v>
      </c>
    </row>
    <row r="167" spans="1:70" x14ac:dyDescent="0.3">
      <c r="A167" t="str">
        <f>"200102C0100"</f>
        <v>200102C0100</v>
      </c>
      <c r="B167" t="s">
        <v>436</v>
      </c>
      <c r="C167">
        <v>20</v>
      </c>
      <c r="D167" t="s">
        <v>88</v>
      </c>
      <c r="E167">
        <v>15</v>
      </c>
      <c r="F167" t="s">
        <v>414</v>
      </c>
      <c r="G167">
        <v>102</v>
      </c>
      <c r="H167">
        <v>1</v>
      </c>
      <c r="I167" t="s">
        <v>98</v>
      </c>
      <c r="J167">
        <v>0</v>
      </c>
      <c r="K167">
        <v>1</v>
      </c>
      <c r="L167">
        <v>5</v>
      </c>
      <c r="M167">
        <v>197</v>
      </c>
      <c r="N167">
        <v>475</v>
      </c>
      <c r="O167">
        <v>2</v>
      </c>
      <c r="P167">
        <v>462</v>
      </c>
      <c r="Q167">
        <v>5</v>
      </c>
      <c r="R167">
        <v>28</v>
      </c>
      <c r="S167">
        <v>0</v>
      </c>
      <c r="T167">
        <v>145</v>
      </c>
      <c r="U167">
        <v>23</v>
      </c>
      <c r="V167">
        <v>205</v>
      </c>
      <c r="W167">
        <v>0</v>
      </c>
      <c r="Y167">
        <v>19</v>
      </c>
      <c r="Z167">
        <v>1</v>
      </c>
      <c r="AC167">
        <v>0</v>
      </c>
      <c r="AD167">
        <v>0</v>
      </c>
      <c r="AE167">
        <v>0</v>
      </c>
      <c r="AF167">
        <v>1</v>
      </c>
      <c r="AK167">
        <v>0</v>
      </c>
      <c r="AL167">
        <v>0</v>
      </c>
      <c r="AM167">
        <v>1</v>
      </c>
      <c r="AN167">
        <v>1</v>
      </c>
      <c r="BC167">
        <v>0</v>
      </c>
      <c r="BD167">
        <v>33</v>
      </c>
      <c r="BE167">
        <v>462</v>
      </c>
      <c r="BF167">
        <v>462</v>
      </c>
      <c r="BG167">
        <v>650</v>
      </c>
      <c r="BJ167">
        <v>1</v>
      </c>
      <c r="BL167" t="s">
        <v>437</v>
      </c>
      <c r="BM167" s="4">
        <v>43283.181944444441</v>
      </c>
      <c r="BN167" s="4">
        <v>43283.199664351851</v>
      </c>
      <c r="BO167" s="4">
        <v>43283.199664351851</v>
      </c>
      <c r="BP167" t="s">
        <v>92</v>
      </c>
      <c r="BQ167" t="s">
        <v>93</v>
      </c>
      <c r="BR167" t="s">
        <v>94</v>
      </c>
    </row>
    <row r="168" spans="1:70" x14ac:dyDescent="0.3">
      <c r="A168" t="str">
        <f>"200103B0100"</f>
        <v>200103B0100</v>
      </c>
      <c r="B168" t="s">
        <v>438</v>
      </c>
      <c r="C168">
        <v>20</v>
      </c>
      <c r="D168" t="s">
        <v>88</v>
      </c>
      <c r="E168">
        <v>15</v>
      </c>
      <c r="F168" t="s">
        <v>414</v>
      </c>
      <c r="G168">
        <v>103</v>
      </c>
      <c r="H168">
        <v>1</v>
      </c>
      <c r="I168" t="s">
        <v>90</v>
      </c>
      <c r="J168">
        <v>0</v>
      </c>
      <c r="K168">
        <v>1</v>
      </c>
      <c r="L168">
        <v>5</v>
      </c>
      <c r="M168">
        <v>178</v>
      </c>
      <c r="N168">
        <v>405</v>
      </c>
      <c r="O168">
        <v>0</v>
      </c>
      <c r="P168">
        <v>405</v>
      </c>
      <c r="Q168">
        <v>0</v>
      </c>
      <c r="R168">
        <v>40</v>
      </c>
      <c r="S168">
        <v>0</v>
      </c>
      <c r="T168">
        <v>119</v>
      </c>
      <c r="U168">
        <v>21</v>
      </c>
      <c r="V168">
        <v>172</v>
      </c>
      <c r="W168">
        <v>0</v>
      </c>
      <c r="Y168">
        <v>22</v>
      </c>
      <c r="Z168">
        <v>0</v>
      </c>
      <c r="AC168">
        <v>7</v>
      </c>
      <c r="AD168">
        <v>0</v>
      </c>
      <c r="AE168">
        <v>0</v>
      </c>
      <c r="AF168">
        <v>0</v>
      </c>
      <c r="AK168">
        <v>0</v>
      </c>
      <c r="AL168">
        <v>0</v>
      </c>
      <c r="AM168">
        <v>0</v>
      </c>
      <c r="AN168">
        <v>0</v>
      </c>
      <c r="BC168">
        <v>0</v>
      </c>
      <c r="BD168">
        <v>21</v>
      </c>
      <c r="BE168">
        <v>402</v>
      </c>
      <c r="BF168">
        <v>402</v>
      </c>
      <c r="BG168">
        <v>561</v>
      </c>
      <c r="BJ168">
        <v>1</v>
      </c>
      <c r="BL168" t="s">
        <v>439</v>
      </c>
      <c r="BM168" s="4">
        <v>43283.109027777777</v>
      </c>
      <c r="BN168" s="4">
        <v>43283.114120370374</v>
      </c>
      <c r="BO168" s="4">
        <v>43283.114120370374</v>
      </c>
      <c r="BP168" t="s">
        <v>92</v>
      </c>
      <c r="BQ168" t="s">
        <v>93</v>
      </c>
      <c r="BR168" t="s">
        <v>94</v>
      </c>
    </row>
    <row r="169" spans="1:70" x14ac:dyDescent="0.3">
      <c r="A169" t="str">
        <f>"200103C0100"</f>
        <v>200103C0100</v>
      </c>
      <c r="B169" t="s">
        <v>440</v>
      </c>
      <c r="C169">
        <v>20</v>
      </c>
      <c r="D169" t="s">
        <v>88</v>
      </c>
      <c r="E169">
        <v>15</v>
      </c>
      <c r="F169" t="s">
        <v>414</v>
      </c>
      <c r="G169">
        <v>103</v>
      </c>
      <c r="H169">
        <v>1</v>
      </c>
      <c r="I169" t="s">
        <v>98</v>
      </c>
      <c r="J169">
        <v>0</v>
      </c>
      <c r="K169">
        <v>1</v>
      </c>
      <c r="L169">
        <v>5</v>
      </c>
      <c r="M169">
        <v>198</v>
      </c>
      <c r="N169">
        <v>385</v>
      </c>
      <c r="O169">
        <v>3</v>
      </c>
      <c r="P169">
        <v>386</v>
      </c>
      <c r="Q169">
        <v>1</v>
      </c>
      <c r="R169">
        <v>20</v>
      </c>
      <c r="S169">
        <v>1</v>
      </c>
      <c r="T169">
        <v>124</v>
      </c>
      <c r="U169">
        <v>10</v>
      </c>
      <c r="V169">
        <v>187</v>
      </c>
      <c r="W169">
        <v>0</v>
      </c>
      <c r="Y169">
        <v>5</v>
      </c>
      <c r="Z169">
        <v>1</v>
      </c>
      <c r="AC169">
        <v>0</v>
      </c>
      <c r="AD169">
        <v>0</v>
      </c>
      <c r="AE169">
        <v>1</v>
      </c>
      <c r="AF169">
        <v>0</v>
      </c>
      <c r="AK169">
        <v>0</v>
      </c>
      <c r="AL169">
        <v>1</v>
      </c>
      <c r="AM169">
        <v>1</v>
      </c>
      <c r="AN169">
        <v>0</v>
      </c>
      <c r="BC169" t="s">
        <v>105</v>
      </c>
      <c r="BD169">
        <v>34</v>
      </c>
      <c r="BE169">
        <v>386</v>
      </c>
      <c r="BF169">
        <v>386</v>
      </c>
      <c r="BG169">
        <v>561</v>
      </c>
      <c r="BI169" t="s">
        <v>106</v>
      </c>
      <c r="BJ169">
        <v>1</v>
      </c>
      <c r="BL169" t="s">
        <v>441</v>
      </c>
      <c r="BM169" s="4">
        <v>43283.09375</v>
      </c>
      <c r="BN169" s="4">
        <v>43283.104143518518</v>
      </c>
      <c r="BO169" s="4">
        <v>43283.104143518518</v>
      </c>
      <c r="BP169" t="s">
        <v>92</v>
      </c>
      <c r="BQ169" t="s">
        <v>93</v>
      </c>
      <c r="BR169" t="s">
        <v>254</v>
      </c>
    </row>
    <row r="170" spans="1:70" x14ac:dyDescent="0.3">
      <c r="A170" t="str">
        <f>"200104B0100"</f>
        <v>200104B0100</v>
      </c>
      <c r="B170" t="s">
        <v>442</v>
      </c>
      <c r="C170">
        <v>20</v>
      </c>
      <c r="D170" t="s">
        <v>88</v>
      </c>
      <c r="E170">
        <v>16</v>
      </c>
      <c r="F170" t="s">
        <v>443</v>
      </c>
      <c r="G170">
        <v>104</v>
      </c>
      <c r="H170">
        <v>1</v>
      </c>
      <c r="I170" t="s">
        <v>90</v>
      </c>
      <c r="J170">
        <v>0</v>
      </c>
      <c r="K170">
        <v>1</v>
      </c>
      <c r="L170">
        <v>5</v>
      </c>
      <c r="M170" t="s">
        <v>127</v>
      </c>
      <c r="N170" t="s">
        <v>127</v>
      </c>
      <c r="O170" t="s">
        <v>127</v>
      </c>
      <c r="P170" t="s">
        <v>127</v>
      </c>
      <c r="Q170">
        <v>5</v>
      </c>
      <c r="R170">
        <v>30</v>
      </c>
      <c r="S170">
        <v>142</v>
      </c>
      <c r="T170">
        <v>48</v>
      </c>
      <c r="U170">
        <v>7</v>
      </c>
      <c r="V170">
        <v>2</v>
      </c>
      <c r="W170">
        <v>43</v>
      </c>
      <c r="X170">
        <v>25</v>
      </c>
      <c r="Y170">
        <v>30</v>
      </c>
      <c r="Z170">
        <v>1</v>
      </c>
      <c r="AB170">
        <v>2</v>
      </c>
      <c r="AC170">
        <v>2</v>
      </c>
      <c r="AD170">
        <v>3</v>
      </c>
      <c r="AE170">
        <v>0</v>
      </c>
      <c r="AF170">
        <v>1</v>
      </c>
      <c r="AK170">
        <v>0</v>
      </c>
      <c r="AL170">
        <v>1</v>
      </c>
      <c r="AM170">
        <v>0</v>
      </c>
      <c r="AN170">
        <v>0</v>
      </c>
      <c r="BC170">
        <v>0</v>
      </c>
      <c r="BD170">
        <v>20</v>
      </c>
      <c r="BE170">
        <v>360</v>
      </c>
      <c r="BF170">
        <v>362</v>
      </c>
      <c r="BG170">
        <v>503</v>
      </c>
      <c r="BJ170">
        <v>1</v>
      </c>
      <c r="BL170" t="s">
        <v>444</v>
      </c>
      <c r="BM170" s="4">
        <v>43283.086111111108</v>
      </c>
      <c r="BN170" s="4">
        <v>43283.125636574077</v>
      </c>
      <c r="BO170" s="4">
        <v>43283.125636574077</v>
      </c>
      <c r="BP170" t="s">
        <v>92</v>
      </c>
      <c r="BQ170" t="s">
        <v>93</v>
      </c>
      <c r="BR170" t="s">
        <v>94</v>
      </c>
    </row>
    <row r="171" spans="1:70" x14ac:dyDescent="0.3">
      <c r="A171" t="str">
        <f>"200104C0100"</f>
        <v>200104C0100</v>
      </c>
      <c r="B171" t="s">
        <v>445</v>
      </c>
      <c r="C171">
        <v>20</v>
      </c>
      <c r="D171" t="s">
        <v>88</v>
      </c>
      <c r="E171">
        <v>16</v>
      </c>
      <c r="F171" t="s">
        <v>443</v>
      </c>
      <c r="G171">
        <v>104</v>
      </c>
      <c r="H171">
        <v>1</v>
      </c>
      <c r="I171" t="s">
        <v>98</v>
      </c>
      <c r="J171">
        <v>0</v>
      </c>
      <c r="K171">
        <v>1</v>
      </c>
      <c r="L171">
        <v>5</v>
      </c>
      <c r="M171">
        <v>145</v>
      </c>
      <c r="N171">
        <v>380</v>
      </c>
      <c r="O171">
        <v>0</v>
      </c>
      <c r="P171">
        <v>380</v>
      </c>
      <c r="Q171">
        <v>5</v>
      </c>
      <c r="R171">
        <v>43</v>
      </c>
      <c r="S171">
        <v>141</v>
      </c>
      <c r="T171">
        <v>41</v>
      </c>
      <c r="U171">
        <v>3</v>
      </c>
      <c r="V171">
        <v>2</v>
      </c>
      <c r="W171">
        <v>62</v>
      </c>
      <c r="X171">
        <v>27</v>
      </c>
      <c r="Y171">
        <v>17</v>
      </c>
      <c r="Z171">
        <v>1</v>
      </c>
      <c r="AB171">
        <v>3</v>
      </c>
      <c r="AC171">
        <v>3</v>
      </c>
      <c r="AD171">
        <v>0</v>
      </c>
      <c r="AE171">
        <v>0</v>
      </c>
      <c r="AF171">
        <v>3</v>
      </c>
      <c r="AK171">
        <v>2</v>
      </c>
      <c r="AL171">
        <v>0</v>
      </c>
      <c r="AM171">
        <v>0</v>
      </c>
      <c r="AN171">
        <v>0</v>
      </c>
      <c r="BC171">
        <v>1</v>
      </c>
      <c r="BD171">
        <v>26</v>
      </c>
      <c r="BE171">
        <v>380</v>
      </c>
      <c r="BF171">
        <v>380</v>
      </c>
      <c r="BG171">
        <v>503</v>
      </c>
      <c r="BJ171">
        <v>1</v>
      </c>
      <c r="BL171" t="s">
        <v>446</v>
      </c>
      <c r="BM171" s="4">
        <v>43283.109722222223</v>
      </c>
      <c r="BN171" s="4">
        <v>43283.122256944444</v>
      </c>
      <c r="BO171" s="4">
        <v>43283.122256944444</v>
      </c>
      <c r="BP171" t="s">
        <v>92</v>
      </c>
      <c r="BQ171" t="s">
        <v>93</v>
      </c>
      <c r="BR171" t="s">
        <v>94</v>
      </c>
    </row>
    <row r="172" spans="1:70" x14ac:dyDescent="0.3">
      <c r="A172" t="str">
        <f>"200105B0100"</f>
        <v>200105B0100</v>
      </c>
      <c r="B172" t="s">
        <v>447</v>
      </c>
      <c r="C172">
        <v>20</v>
      </c>
      <c r="D172" t="s">
        <v>88</v>
      </c>
      <c r="E172">
        <v>16</v>
      </c>
      <c r="F172" t="s">
        <v>443</v>
      </c>
      <c r="G172">
        <v>105</v>
      </c>
      <c r="H172">
        <v>1</v>
      </c>
      <c r="I172" t="s">
        <v>90</v>
      </c>
      <c r="J172">
        <v>0</v>
      </c>
      <c r="K172">
        <v>2</v>
      </c>
      <c r="L172">
        <v>5</v>
      </c>
      <c r="M172">
        <v>217</v>
      </c>
      <c r="N172">
        <v>410</v>
      </c>
      <c r="O172">
        <v>3</v>
      </c>
      <c r="P172">
        <v>410</v>
      </c>
      <c r="Q172">
        <v>3</v>
      </c>
      <c r="R172">
        <v>18</v>
      </c>
      <c r="S172">
        <v>150</v>
      </c>
      <c r="T172">
        <v>39</v>
      </c>
      <c r="U172">
        <v>5</v>
      </c>
      <c r="V172">
        <v>2</v>
      </c>
      <c r="W172">
        <v>76</v>
      </c>
      <c r="X172">
        <v>42</v>
      </c>
      <c r="Y172">
        <v>25</v>
      </c>
      <c r="Z172">
        <v>1</v>
      </c>
      <c r="AB172">
        <v>2</v>
      </c>
      <c r="AC172">
        <v>4</v>
      </c>
      <c r="AD172">
        <v>2</v>
      </c>
      <c r="AE172">
        <v>0</v>
      </c>
      <c r="AF172">
        <v>0</v>
      </c>
      <c r="AK172">
        <v>0</v>
      </c>
      <c r="AL172">
        <v>0</v>
      </c>
      <c r="AM172">
        <v>0</v>
      </c>
      <c r="AN172">
        <v>0</v>
      </c>
      <c r="BC172">
        <v>3</v>
      </c>
      <c r="BD172">
        <v>38</v>
      </c>
      <c r="BE172">
        <v>410</v>
      </c>
      <c r="BF172">
        <v>410</v>
      </c>
      <c r="BG172">
        <v>605</v>
      </c>
      <c r="BJ172">
        <v>1</v>
      </c>
      <c r="BL172" t="s">
        <v>448</v>
      </c>
      <c r="BM172" s="4">
        <v>43283.094444444447</v>
      </c>
      <c r="BN172" s="4">
        <v>43283.108217592591</v>
      </c>
      <c r="BO172" s="4">
        <v>43283.108217592591</v>
      </c>
      <c r="BP172" t="s">
        <v>92</v>
      </c>
      <c r="BQ172" t="s">
        <v>93</v>
      </c>
      <c r="BR172" t="s">
        <v>94</v>
      </c>
    </row>
    <row r="173" spans="1:70" x14ac:dyDescent="0.3">
      <c r="A173" t="str">
        <f>"200105C0100"</f>
        <v>200105C0100</v>
      </c>
      <c r="B173" t="s">
        <v>449</v>
      </c>
      <c r="C173">
        <v>20</v>
      </c>
      <c r="D173" t="s">
        <v>88</v>
      </c>
      <c r="E173">
        <v>16</v>
      </c>
      <c r="F173" t="s">
        <v>443</v>
      </c>
      <c r="G173">
        <v>105</v>
      </c>
      <c r="H173">
        <v>1</v>
      </c>
      <c r="I173" t="s">
        <v>98</v>
      </c>
      <c r="J173">
        <v>0</v>
      </c>
      <c r="K173">
        <v>2</v>
      </c>
      <c r="L173">
        <v>5</v>
      </c>
      <c r="M173">
        <v>202</v>
      </c>
      <c r="N173">
        <v>424</v>
      </c>
      <c r="O173">
        <v>0</v>
      </c>
      <c r="P173">
        <v>424</v>
      </c>
      <c r="Q173">
        <v>2</v>
      </c>
      <c r="R173">
        <v>66</v>
      </c>
      <c r="S173">
        <v>112</v>
      </c>
      <c r="T173">
        <v>41</v>
      </c>
      <c r="U173">
        <v>4</v>
      </c>
      <c r="V173">
        <v>2</v>
      </c>
      <c r="W173">
        <v>74</v>
      </c>
      <c r="X173">
        <v>60</v>
      </c>
      <c r="Y173">
        <v>23</v>
      </c>
      <c r="Z173">
        <v>0</v>
      </c>
      <c r="AB173">
        <v>0</v>
      </c>
      <c r="AC173">
        <v>1</v>
      </c>
      <c r="AD173">
        <v>0</v>
      </c>
      <c r="AE173">
        <v>0</v>
      </c>
      <c r="AF173">
        <v>1</v>
      </c>
      <c r="AK173">
        <v>1</v>
      </c>
      <c r="AL173">
        <v>1</v>
      </c>
      <c r="AM173">
        <v>0</v>
      </c>
      <c r="AN173">
        <v>0</v>
      </c>
      <c r="BC173">
        <v>0</v>
      </c>
      <c r="BD173">
        <v>36</v>
      </c>
      <c r="BE173">
        <v>424</v>
      </c>
      <c r="BF173">
        <v>424</v>
      </c>
      <c r="BG173">
        <v>604</v>
      </c>
      <c r="BJ173">
        <v>1</v>
      </c>
      <c r="BL173" t="s">
        <v>450</v>
      </c>
      <c r="BM173" s="4">
        <v>43283.154861111114</v>
      </c>
      <c r="BN173" s="4">
        <v>43283.165659722225</v>
      </c>
      <c r="BO173" s="4">
        <v>43283.165659722225</v>
      </c>
      <c r="BP173" t="s">
        <v>92</v>
      </c>
      <c r="BQ173" t="s">
        <v>93</v>
      </c>
      <c r="BR173" t="s">
        <v>94</v>
      </c>
    </row>
    <row r="174" spans="1:70" x14ac:dyDescent="0.3">
      <c r="A174" t="str">
        <f>"200106B0100"</f>
        <v>200106B0100</v>
      </c>
      <c r="B174" t="s">
        <v>451</v>
      </c>
      <c r="C174">
        <v>20</v>
      </c>
      <c r="D174" t="s">
        <v>88</v>
      </c>
      <c r="E174">
        <v>16</v>
      </c>
      <c r="F174" t="s">
        <v>443</v>
      </c>
      <c r="G174">
        <v>106</v>
      </c>
      <c r="H174">
        <v>1</v>
      </c>
      <c r="I174" t="s">
        <v>90</v>
      </c>
      <c r="J174">
        <v>0</v>
      </c>
      <c r="K174">
        <v>2</v>
      </c>
      <c r="L174">
        <v>5</v>
      </c>
      <c r="M174">
        <v>178</v>
      </c>
      <c r="N174">
        <v>33</v>
      </c>
      <c r="O174">
        <v>0</v>
      </c>
      <c r="P174">
        <v>33</v>
      </c>
      <c r="Q174">
        <v>4</v>
      </c>
      <c r="R174">
        <v>17</v>
      </c>
      <c r="S174">
        <v>137</v>
      </c>
      <c r="T174">
        <v>58</v>
      </c>
      <c r="U174">
        <v>5</v>
      </c>
      <c r="V174">
        <v>4</v>
      </c>
      <c r="W174">
        <v>29</v>
      </c>
      <c r="X174">
        <v>28</v>
      </c>
      <c r="Y174">
        <v>12</v>
      </c>
      <c r="Z174">
        <v>2</v>
      </c>
      <c r="AB174">
        <v>0</v>
      </c>
      <c r="AC174">
        <v>4</v>
      </c>
      <c r="AD174">
        <v>0</v>
      </c>
      <c r="AE174">
        <v>0</v>
      </c>
      <c r="AF174">
        <v>0</v>
      </c>
      <c r="AK174">
        <v>1</v>
      </c>
      <c r="AL174">
        <v>1</v>
      </c>
      <c r="AM174">
        <v>0</v>
      </c>
      <c r="AN174">
        <v>0</v>
      </c>
      <c r="BC174">
        <v>0</v>
      </c>
      <c r="BD174">
        <v>31</v>
      </c>
      <c r="BE174">
        <v>332</v>
      </c>
      <c r="BF174">
        <v>333</v>
      </c>
      <c r="BG174">
        <v>489</v>
      </c>
      <c r="BJ174">
        <v>1</v>
      </c>
      <c r="BL174" t="s">
        <v>452</v>
      </c>
      <c r="BM174" s="4">
        <v>43283.144444444442</v>
      </c>
      <c r="BN174" s="4">
        <v>43283.158587962964</v>
      </c>
      <c r="BO174" s="4">
        <v>43283.158587962964</v>
      </c>
      <c r="BP174" t="s">
        <v>92</v>
      </c>
      <c r="BQ174" t="s">
        <v>93</v>
      </c>
      <c r="BR174" t="s">
        <v>94</v>
      </c>
    </row>
    <row r="175" spans="1:70" x14ac:dyDescent="0.3">
      <c r="A175" t="str">
        <f>"200106C0100"</f>
        <v>200106C0100</v>
      </c>
      <c r="B175" t="s">
        <v>453</v>
      </c>
      <c r="C175">
        <v>20</v>
      </c>
      <c r="D175" t="s">
        <v>88</v>
      </c>
      <c r="E175">
        <v>16</v>
      </c>
      <c r="F175" t="s">
        <v>443</v>
      </c>
      <c r="G175">
        <v>106</v>
      </c>
      <c r="H175">
        <v>1</v>
      </c>
      <c r="I175" t="s">
        <v>98</v>
      </c>
      <c r="J175">
        <v>0</v>
      </c>
      <c r="K175">
        <v>2</v>
      </c>
      <c r="L175">
        <v>5</v>
      </c>
      <c r="M175">
        <v>186</v>
      </c>
      <c r="N175">
        <v>325</v>
      </c>
      <c r="O175">
        <v>0</v>
      </c>
      <c r="P175" t="s">
        <v>105</v>
      </c>
      <c r="Q175">
        <v>4</v>
      </c>
      <c r="R175">
        <v>15</v>
      </c>
      <c r="S175">
        <v>146</v>
      </c>
      <c r="T175">
        <v>60</v>
      </c>
      <c r="U175">
        <v>10</v>
      </c>
      <c r="V175">
        <v>3</v>
      </c>
      <c r="W175">
        <v>21</v>
      </c>
      <c r="X175">
        <v>25</v>
      </c>
      <c r="Y175">
        <v>9</v>
      </c>
      <c r="Z175">
        <v>1</v>
      </c>
      <c r="AB175">
        <v>2</v>
      </c>
      <c r="AC175">
        <v>2</v>
      </c>
      <c r="AD175">
        <v>1</v>
      </c>
      <c r="AE175">
        <v>0</v>
      </c>
      <c r="AF175">
        <v>0</v>
      </c>
      <c r="AK175">
        <v>0</v>
      </c>
      <c r="AL175">
        <v>1</v>
      </c>
      <c r="AM175">
        <v>0</v>
      </c>
      <c r="AN175">
        <v>0</v>
      </c>
      <c r="BC175">
        <v>0</v>
      </c>
      <c r="BD175">
        <v>25</v>
      </c>
      <c r="BE175">
        <v>325</v>
      </c>
      <c r="BF175">
        <v>325</v>
      </c>
      <c r="BG175">
        <v>489</v>
      </c>
      <c r="BJ175">
        <v>1</v>
      </c>
      <c r="BL175" t="s">
        <v>454</v>
      </c>
      <c r="BM175" s="4">
        <v>43283.158333333333</v>
      </c>
      <c r="BN175" s="4">
        <v>43283.173148148147</v>
      </c>
      <c r="BO175" s="4">
        <v>43283.173148148147</v>
      </c>
      <c r="BP175" t="s">
        <v>92</v>
      </c>
      <c r="BQ175" t="s">
        <v>93</v>
      </c>
      <c r="BR175" t="s">
        <v>94</v>
      </c>
    </row>
    <row r="176" spans="1:70" x14ac:dyDescent="0.3">
      <c r="A176" t="str">
        <f>"200106S0100"</f>
        <v>200106S0100</v>
      </c>
      <c r="B176" t="s">
        <v>455</v>
      </c>
      <c r="C176">
        <v>20</v>
      </c>
      <c r="D176" t="s">
        <v>88</v>
      </c>
      <c r="E176">
        <v>16</v>
      </c>
      <c r="F176" t="s">
        <v>443</v>
      </c>
      <c r="G176">
        <v>106</v>
      </c>
      <c r="H176">
        <v>1</v>
      </c>
      <c r="I176" t="s">
        <v>113</v>
      </c>
      <c r="J176">
        <v>0</v>
      </c>
      <c r="K176">
        <v>2</v>
      </c>
      <c r="L176">
        <v>6</v>
      </c>
      <c r="M176">
        <v>698</v>
      </c>
      <c r="N176">
        <v>74</v>
      </c>
      <c r="O176">
        <v>0</v>
      </c>
      <c r="P176">
        <v>74</v>
      </c>
      <c r="Q176">
        <v>0</v>
      </c>
      <c r="R176">
        <v>4</v>
      </c>
      <c r="S176">
        <v>26</v>
      </c>
      <c r="T176">
        <v>25</v>
      </c>
      <c r="U176">
        <v>1</v>
      </c>
      <c r="V176">
        <v>0</v>
      </c>
      <c r="W176">
        <v>5</v>
      </c>
      <c r="X176">
        <v>8</v>
      </c>
      <c r="Y176">
        <v>0</v>
      </c>
      <c r="Z176">
        <v>0</v>
      </c>
      <c r="AB176">
        <v>0</v>
      </c>
      <c r="AC176">
        <v>1</v>
      </c>
      <c r="AD176">
        <v>1</v>
      </c>
      <c r="AE176">
        <v>0</v>
      </c>
      <c r="AF176">
        <v>0</v>
      </c>
      <c r="AK176">
        <v>0</v>
      </c>
      <c r="AL176">
        <v>1</v>
      </c>
      <c r="AM176">
        <v>0</v>
      </c>
      <c r="AN176">
        <v>0</v>
      </c>
      <c r="BC176">
        <v>0</v>
      </c>
      <c r="BD176">
        <v>2</v>
      </c>
      <c r="BE176">
        <v>74</v>
      </c>
      <c r="BF176">
        <v>74</v>
      </c>
      <c r="BG176">
        <v>0</v>
      </c>
      <c r="BJ176">
        <v>1</v>
      </c>
      <c r="BL176" t="s">
        <v>456</v>
      </c>
      <c r="BM176" s="4">
        <v>43283.13958333333</v>
      </c>
      <c r="BN176" s="4">
        <v>43283.143726851849</v>
      </c>
      <c r="BO176" s="4">
        <v>43283.143726851849</v>
      </c>
      <c r="BP176" t="s">
        <v>92</v>
      </c>
      <c r="BQ176" t="s">
        <v>93</v>
      </c>
      <c r="BR176" t="s">
        <v>94</v>
      </c>
    </row>
    <row r="177" spans="1:70" x14ac:dyDescent="0.3">
      <c r="A177" t="str">
        <f>"200107B0100"</f>
        <v>200107B0100</v>
      </c>
      <c r="B177" t="s">
        <v>457</v>
      </c>
      <c r="C177">
        <v>20</v>
      </c>
      <c r="D177" t="s">
        <v>88</v>
      </c>
      <c r="E177">
        <v>16</v>
      </c>
      <c r="F177" t="s">
        <v>443</v>
      </c>
      <c r="G177">
        <v>107</v>
      </c>
      <c r="H177">
        <v>1</v>
      </c>
      <c r="I177" t="s">
        <v>90</v>
      </c>
      <c r="J177">
        <v>0</v>
      </c>
      <c r="K177">
        <v>2</v>
      </c>
      <c r="L177">
        <v>5</v>
      </c>
      <c r="M177">
        <v>212</v>
      </c>
      <c r="N177">
        <v>433</v>
      </c>
      <c r="O177">
        <v>3</v>
      </c>
      <c r="P177">
        <v>433</v>
      </c>
      <c r="Q177">
        <v>1</v>
      </c>
      <c r="R177">
        <v>27</v>
      </c>
      <c r="S177">
        <v>154</v>
      </c>
      <c r="T177">
        <v>79</v>
      </c>
      <c r="U177">
        <v>7</v>
      </c>
      <c r="V177">
        <v>1</v>
      </c>
      <c r="W177">
        <v>46</v>
      </c>
      <c r="X177">
        <v>43</v>
      </c>
      <c r="Y177">
        <v>24</v>
      </c>
      <c r="Z177">
        <v>3</v>
      </c>
      <c r="AB177">
        <v>3</v>
      </c>
      <c r="AC177">
        <v>0</v>
      </c>
      <c r="AD177">
        <v>0</v>
      </c>
      <c r="AE177">
        <v>0</v>
      </c>
      <c r="AF177">
        <v>0</v>
      </c>
      <c r="AK177">
        <v>1</v>
      </c>
      <c r="AL177">
        <v>0</v>
      </c>
      <c r="AM177">
        <v>0</v>
      </c>
      <c r="AN177">
        <v>2</v>
      </c>
      <c r="BC177">
        <v>0</v>
      </c>
      <c r="BD177">
        <v>42</v>
      </c>
      <c r="BE177">
        <v>433</v>
      </c>
      <c r="BF177">
        <v>433</v>
      </c>
      <c r="BG177">
        <v>623</v>
      </c>
      <c r="BJ177">
        <v>1</v>
      </c>
      <c r="BL177" t="s">
        <v>458</v>
      </c>
      <c r="BM177" s="4">
        <v>43283.115277777775</v>
      </c>
      <c r="BN177" s="4">
        <v>43283.123981481483</v>
      </c>
      <c r="BO177" s="4">
        <v>43283.123981481483</v>
      </c>
      <c r="BP177" t="s">
        <v>92</v>
      </c>
      <c r="BQ177" t="s">
        <v>93</v>
      </c>
      <c r="BR177" t="s">
        <v>94</v>
      </c>
    </row>
    <row r="178" spans="1:70" x14ac:dyDescent="0.3">
      <c r="A178" t="str">
        <f>"200107E0100"</f>
        <v>200107E0100</v>
      </c>
      <c r="B178" s="2" t="s">
        <v>459</v>
      </c>
      <c r="C178">
        <v>20</v>
      </c>
      <c r="D178" t="s">
        <v>88</v>
      </c>
      <c r="E178">
        <v>16</v>
      </c>
      <c r="F178" t="s">
        <v>443</v>
      </c>
      <c r="G178">
        <v>107</v>
      </c>
      <c r="H178">
        <v>1</v>
      </c>
      <c r="I178" t="s">
        <v>156</v>
      </c>
      <c r="J178">
        <v>0</v>
      </c>
      <c r="K178">
        <v>2</v>
      </c>
      <c r="L178">
        <v>5</v>
      </c>
      <c r="M178">
        <v>146</v>
      </c>
      <c r="N178">
        <v>336</v>
      </c>
      <c r="O178">
        <v>1</v>
      </c>
      <c r="P178">
        <v>336</v>
      </c>
      <c r="Q178">
        <v>1</v>
      </c>
      <c r="R178">
        <v>46</v>
      </c>
      <c r="S178">
        <v>70</v>
      </c>
      <c r="T178">
        <v>69</v>
      </c>
      <c r="U178">
        <v>7</v>
      </c>
      <c r="V178">
        <v>3</v>
      </c>
      <c r="W178">
        <v>50</v>
      </c>
      <c r="X178">
        <v>32</v>
      </c>
      <c r="Y178">
        <v>19</v>
      </c>
      <c r="Z178">
        <v>3</v>
      </c>
      <c r="AB178">
        <v>1</v>
      </c>
      <c r="AC178">
        <v>0</v>
      </c>
      <c r="AD178">
        <v>0</v>
      </c>
      <c r="AE178">
        <v>0</v>
      </c>
      <c r="AF178">
        <v>0</v>
      </c>
      <c r="AK178">
        <v>2</v>
      </c>
      <c r="AL178">
        <v>1</v>
      </c>
      <c r="AM178">
        <v>0</v>
      </c>
      <c r="AN178">
        <v>0</v>
      </c>
      <c r="BC178">
        <v>0</v>
      </c>
      <c r="BD178">
        <v>32</v>
      </c>
      <c r="BE178" t="s">
        <v>105</v>
      </c>
      <c r="BF178">
        <v>336</v>
      </c>
      <c r="BG178">
        <v>460</v>
      </c>
      <c r="BJ178">
        <v>1</v>
      </c>
      <c r="BL178" t="s">
        <v>460</v>
      </c>
      <c r="BM178" s="4">
        <v>43283.15</v>
      </c>
      <c r="BN178" s="4">
        <v>43283.162002314813</v>
      </c>
      <c r="BO178" s="4">
        <v>43283.162002314813</v>
      </c>
      <c r="BP178" t="s">
        <v>92</v>
      </c>
      <c r="BQ178" t="s">
        <v>93</v>
      </c>
      <c r="BR178" t="s">
        <v>94</v>
      </c>
    </row>
    <row r="179" spans="1:70" x14ac:dyDescent="0.3">
      <c r="A179" t="str">
        <f>"200108B0100"</f>
        <v>200108B0100</v>
      </c>
      <c r="B179" t="s">
        <v>461</v>
      </c>
      <c r="C179">
        <v>20</v>
      </c>
      <c r="D179" t="s">
        <v>88</v>
      </c>
      <c r="E179">
        <v>16</v>
      </c>
      <c r="F179" t="s">
        <v>443</v>
      </c>
      <c r="G179">
        <v>108</v>
      </c>
      <c r="H179">
        <v>1</v>
      </c>
      <c r="I179" t="s">
        <v>90</v>
      </c>
      <c r="J179">
        <v>0</v>
      </c>
      <c r="K179">
        <v>2</v>
      </c>
      <c r="L179">
        <v>5</v>
      </c>
      <c r="M179">
        <v>195</v>
      </c>
      <c r="N179">
        <v>358</v>
      </c>
      <c r="O179">
        <v>2</v>
      </c>
      <c r="P179">
        <v>358</v>
      </c>
      <c r="Q179">
        <v>1</v>
      </c>
      <c r="R179">
        <v>19</v>
      </c>
      <c r="S179">
        <v>155</v>
      </c>
      <c r="T179">
        <v>36</v>
      </c>
      <c r="U179">
        <v>7</v>
      </c>
      <c r="V179">
        <v>1</v>
      </c>
      <c r="W179">
        <v>52</v>
      </c>
      <c r="X179">
        <v>19</v>
      </c>
      <c r="Y179">
        <v>13</v>
      </c>
      <c r="Z179">
        <v>4</v>
      </c>
      <c r="AB179">
        <v>1</v>
      </c>
      <c r="AC179">
        <v>3</v>
      </c>
      <c r="AD179">
        <v>1</v>
      </c>
      <c r="AE179">
        <v>0</v>
      </c>
      <c r="AF179">
        <v>1</v>
      </c>
      <c r="AK179">
        <v>1</v>
      </c>
      <c r="AL179">
        <v>0</v>
      </c>
      <c r="AM179">
        <v>0</v>
      </c>
      <c r="AN179">
        <v>1</v>
      </c>
      <c r="BC179">
        <v>0</v>
      </c>
      <c r="BD179">
        <v>43</v>
      </c>
      <c r="BE179" t="s">
        <v>105</v>
      </c>
      <c r="BF179">
        <v>358</v>
      </c>
      <c r="BG179">
        <v>531</v>
      </c>
      <c r="BJ179">
        <v>1</v>
      </c>
      <c r="BL179" t="s">
        <v>462</v>
      </c>
      <c r="BM179" s="4">
        <v>43283.170138888891</v>
      </c>
      <c r="BN179" s="4">
        <v>43283.186689814815</v>
      </c>
      <c r="BO179" s="4">
        <v>43283.186689814815</v>
      </c>
      <c r="BP179" t="s">
        <v>92</v>
      </c>
      <c r="BQ179" t="s">
        <v>93</v>
      </c>
      <c r="BR179" t="s">
        <v>94</v>
      </c>
    </row>
    <row r="180" spans="1:70" x14ac:dyDescent="0.3">
      <c r="A180" t="str">
        <f>"200109B0100"</f>
        <v>200109B0100</v>
      </c>
      <c r="B180" t="s">
        <v>463</v>
      </c>
      <c r="C180">
        <v>20</v>
      </c>
      <c r="D180" t="s">
        <v>88</v>
      </c>
      <c r="E180">
        <v>16</v>
      </c>
      <c r="F180" t="s">
        <v>443</v>
      </c>
      <c r="G180">
        <v>109</v>
      </c>
      <c r="H180">
        <v>1</v>
      </c>
      <c r="I180" t="s">
        <v>90</v>
      </c>
      <c r="J180">
        <v>0</v>
      </c>
      <c r="K180">
        <v>2</v>
      </c>
      <c r="L180">
        <v>5</v>
      </c>
      <c r="M180">
        <v>143</v>
      </c>
      <c r="N180">
        <v>306</v>
      </c>
      <c r="O180">
        <v>2</v>
      </c>
      <c r="P180">
        <v>306</v>
      </c>
      <c r="Q180">
        <v>2</v>
      </c>
      <c r="R180">
        <v>38</v>
      </c>
      <c r="S180">
        <v>99</v>
      </c>
      <c r="T180">
        <v>84</v>
      </c>
      <c r="U180">
        <v>3</v>
      </c>
      <c r="V180">
        <v>1</v>
      </c>
      <c r="W180">
        <v>11</v>
      </c>
      <c r="X180">
        <v>14</v>
      </c>
      <c r="Y180">
        <v>14</v>
      </c>
      <c r="Z180">
        <v>2</v>
      </c>
      <c r="AB180">
        <v>0</v>
      </c>
      <c r="AC180">
        <v>0</v>
      </c>
      <c r="AD180">
        <v>1</v>
      </c>
      <c r="AE180">
        <v>0</v>
      </c>
      <c r="AF180">
        <v>0</v>
      </c>
      <c r="AK180">
        <v>2</v>
      </c>
      <c r="AL180">
        <v>1</v>
      </c>
      <c r="AM180">
        <v>0</v>
      </c>
      <c r="AN180">
        <v>0</v>
      </c>
      <c r="BC180">
        <v>0</v>
      </c>
      <c r="BD180">
        <v>33</v>
      </c>
      <c r="BE180">
        <v>307</v>
      </c>
      <c r="BF180">
        <v>305</v>
      </c>
      <c r="BG180">
        <v>428</v>
      </c>
      <c r="BJ180">
        <v>1</v>
      </c>
      <c r="BL180" t="s">
        <v>464</v>
      </c>
      <c r="BM180" s="4">
        <v>43283.120138888888</v>
      </c>
      <c r="BN180" s="4">
        <v>43283.147233796299</v>
      </c>
      <c r="BO180" s="4">
        <v>43283.147233796299</v>
      </c>
      <c r="BP180" t="s">
        <v>92</v>
      </c>
      <c r="BQ180" t="s">
        <v>93</v>
      </c>
      <c r="BR180" t="s">
        <v>94</v>
      </c>
    </row>
    <row r="181" spans="1:70" x14ac:dyDescent="0.3">
      <c r="A181" t="str">
        <f>"200109E0100"</f>
        <v>200109E0100</v>
      </c>
      <c r="B181" s="2" t="s">
        <v>465</v>
      </c>
      <c r="C181">
        <v>20</v>
      </c>
      <c r="D181" t="s">
        <v>88</v>
      </c>
      <c r="E181">
        <v>16</v>
      </c>
      <c r="F181" t="s">
        <v>443</v>
      </c>
      <c r="G181">
        <v>109</v>
      </c>
      <c r="H181">
        <v>1</v>
      </c>
      <c r="I181" t="s">
        <v>156</v>
      </c>
      <c r="J181">
        <v>0</v>
      </c>
      <c r="K181">
        <v>2</v>
      </c>
      <c r="L181">
        <v>5</v>
      </c>
      <c r="M181">
        <v>100</v>
      </c>
      <c r="N181">
        <v>260</v>
      </c>
      <c r="O181">
        <v>4</v>
      </c>
      <c r="P181">
        <v>0</v>
      </c>
      <c r="Q181">
        <v>0</v>
      </c>
      <c r="R181">
        <v>14</v>
      </c>
      <c r="S181">
        <v>106</v>
      </c>
      <c r="T181">
        <v>41</v>
      </c>
      <c r="U181">
        <v>2</v>
      </c>
      <c r="V181">
        <v>2</v>
      </c>
      <c r="W181">
        <v>35</v>
      </c>
      <c r="X181">
        <v>29</v>
      </c>
      <c r="Y181">
        <v>6</v>
      </c>
      <c r="Z181">
        <v>1</v>
      </c>
      <c r="AB181">
        <v>2</v>
      </c>
      <c r="AC181">
        <v>0</v>
      </c>
      <c r="AD181">
        <v>0</v>
      </c>
      <c r="AE181">
        <v>0</v>
      </c>
      <c r="AF181">
        <v>0</v>
      </c>
      <c r="AK181">
        <v>0</v>
      </c>
      <c r="AL181">
        <v>0</v>
      </c>
      <c r="AM181">
        <v>0</v>
      </c>
      <c r="AN181">
        <v>0</v>
      </c>
      <c r="BC181">
        <v>0</v>
      </c>
      <c r="BD181">
        <v>21</v>
      </c>
      <c r="BE181">
        <v>260</v>
      </c>
      <c r="BF181">
        <v>259</v>
      </c>
      <c r="BG181">
        <v>338</v>
      </c>
      <c r="BJ181">
        <v>1</v>
      </c>
      <c r="BL181" t="s">
        <v>466</v>
      </c>
      <c r="BM181" s="4">
        <v>43282.981249999997</v>
      </c>
      <c r="BN181" s="4">
        <v>43282.989953703705</v>
      </c>
      <c r="BO181" s="4">
        <v>43282.989953703705</v>
      </c>
      <c r="BP181" t="s">
        <v>92</v>
      </c>
      <c r="BQ181" t="s">
        <v>93</v>
      </c>
      <c r="BR181" t="s">
        <v>94</v>
      </c>
    </row>
    <row r="182" spans="1:70" x14ac:dyDescent="0.3">
      <c r="A182" t="str">
        <f>"200110B0100"</f>
        <v>200110B0100</v>
      </c>
      <c r="B182" t="s">
        <v>467</v>
      </c>
      <c r="C182">
        <v>20</v>
      </c>
      <c r="D182" t="s">
        <v>88</v>
      </c>
      <c r="E182">
        <v>16</v>
      </c>
      <c r="F182" t="s">
        <v>443</v>
      </c>
      <c r="G182">
        <v>110</v>
      </c>
      <c r="H182">
        <v>1</v>
      </c>
      <c r="I182" t="s">
        <v>90</v>
      </c>
      <c r="J182">
        <v>0</v>
      </c>
      <c r="K182">
        <v>2</v>
      </c>
      <c r="L182">
        <v>5</v>
      </c>
      <c r="M182">
        <v>207</v>
      </c>
      <c r="N182">
        <v>333</v>
      </c>
      <c r="O182">
        <v>0</v>
      </c>
      <c r="P182">
        <v>333</v>
      </c>
      <c r="Q182">
        <v>2</v>
      </c>
      <c r="R182">
        <v>11</v>
      </c>
      <c r="S182">
        <v>161</v>
      </c>
      <c r="T182">
        <v>45</v>
      </c>
      <c r="U182">
        <v>8</v>
      </c>
      <c r="V182">
        <v>1</v>
      </c>
      <c r="W182">
        <v>6</v>
      </c>
      <c r="X182">
        <v>39</v>
      </c>
      <c r="Y182">
        <v>15</v>
      </c>
      <c r="Z182">
        <v>0</v>
      </c>
      <c r="AB182">
        <v>0</v>
      </c>
      <c r="AC182">
        <v>1</v>
      </c>
      <c r="AD182">
        <v>2</v>
      </c>
      <c r="AE182">
        <v>0</v>
      </c>
      <c r="AF182">
        <v>1</v>
      </c>
      <c r="AK182">
        <v>0</v>
      </c>
      <c r="AL182">
        <v>0</v>
      </c>
      <c r="AM182">
        <v>0</v>
      </c>
      <c r="AN182">
        <v>0</v>
      </c>
      <c r="BC182">
        <v>0</v>
      </c>
      <c r="BD182">
        <v>39</v>
      </c>
      <c r="BE182">
        <v>333</v>
      </c>
      <c r="BF182">
        <v>331</v>
      </c>
      <c r="BG182">
        <v>518</v>
      </c>
      <c r="BJ182">
        <v>1</v>
      </c>
      <c r="BL182" t="s">
        <v>468</v>
      </c>
      <c r="BM182" s="4">
        <v>43283.163194444445</v>
      </c>
      <c r="BN182" s="4">
        <v>43283.176516203705</v>
      </c>
      <c r="BO182" s="4">
        <v>43283.176516203705</v>
      </c>
      <c r="BP182" t="s">
        <v>92</v>
      </c>
      <c r="BQ182" t="s">
        <v>93</v>
      </c>
      <c r="BR182" t="s">
        <v>94</v>
      </c>
    </row>
    <row r="183" spans="1:70" x14ac:dyDescent="0.3">
      <c r="A183" t="str">
        <f>"200110E0100"</f>
        <v>200110E0100</v>
      </c>
      <c r="B183" s="2" t="s">
        <v>469</v>
      </c>
      <c r="C183">
        <v>20</v>
      </c>
      <c r="D183" t="s">
        <v>88</v>
      </c>
      <c r="E183">
        <v>16</v>
      </c>
      <c r="F183" t="s">
        <v>443</v>
      </c>
      <c r="G183">
        <v>110</v>
      </c>
      <c r="H183">
        <v>1</v>
      </c>
      <c r="I183" t="s">
        <v>156</v>
      </c>
      <c r="J183">
        <v>0</v>
      </c>
      <c r="K183">
        <v>2</v>
      </c>
      <c r="L183">
        <v>5</v>
      </c>
      <c r="M183">
        <v>124</v>
      </c>
      <c r="N183">
        <v>180</v>
      </c>
      <c r="O183">
        <v>9</v>
      </c>
      <c r="P183">
        <v>180</v>
      </c>
      <c r="Q183">
        <v>5</v>
      </c>
      <c r="R183">
        <v>17</v>
      </c>
      <c r="S183">
        <v>56</v>
      </c>
      <c r="T183">
        <v>45</v>
      </c>
      <c r="U183">
        <v>1</v>
      </c>
      <c r="V183">
        <v>2</v>
      </c>
      <c r="W183">
        <v>4</v>
      </c>
      <c r="X183">
        <v>13</v>
      </c>
      <c r="Y183">
        <v>19</v>
      </c>
      <c r="Z183">
        <v>0</v>
      </c>
      <c r="AB183">
        <v>0</v>
      </c>
      <c r="AC183">
        <v>0</v>
      </c>
      <c r="AD183">
        <v>0</v>
      </c>
      <c r="AE183">
        <v>0</v>
      </c>
      <c r="AF183">
        <v>1</v>
      </c>
      <c r="AK183">
        <v>1</v>
      </c>
      <c r="AL183">
        <v>0</v>
      </c>
      <c r="AM183">
        <v>1</v>
      </c>
      <c r="AN183">
        <v>0</v>
      </c>
      <c r="BC183">
        <v>0</v>
      </c>
      <c r="BD183">
        <v>15</v>
      </c>
      <c r="BE183">
        <v>180</v>
      </c>
      <c r="BF183">
        <v>180</v>
      </c>
      <c r="BG183">
        <v>282</v>
      </c>
      <c r="BJ183">
        <v>1</v>
      </c>
      <c r="BL183" t="s">
        <v>470</v>
      </c>
      <c r="BM183" s="4">
        <v>43283.167361111111</v>
      </c>
      <c r="BN183" s="4">
        <v>43283.181712962964</v>
      </c>
      <c r="BO183" s="4">
        <v>43283.181712962964</v>
      </c>
      <c r="BP183" t="s">
        <v>92</v>
      </c>
      <c r="BQ183" t="s">
        <v>93</v>
      </c>
      <c r="BR183" t="s">
        <v>94</v>
      </c>
    </row>
    <row r="184" spans="1:70" x14ac:dyDescent="0.3">
      <c r="A184" t="str">
        <f>"200111B0100"</f>
        <v>200111B0100</v>
      </c>
      <c r="B184" t="s">
        <v>471</v>
      </c>
      <c r="C184">
        <v>20</v>
      </c>
      <c r="D184" t="s">
        <v>88</v>
      </c>
      <c r="E184">
        <v>17</v>
      </c>
      <c r="F184" t="s">
        <v>472</v>
      </c>
      <c r="G184">
        <v>111</v>
      </c>
      <c r="H184">
        <v>1</v>
      </c>
      <c r="I184" t="s">
        <v>90</v>
      </c>
      <c r="J184">
        <v>0</v>
      </c>
      <c r="K184">
        <v>1</v>
      </c>
      <c r="L184">
        <v>5</v>
      </c>
      <c r="M184">
        <v>142</v>
      </c>
      <c r="N184">
        <v>482</v>
      </c>
      <c r="O184">
        <v>6</v>
      </c>
      <c r="P184">
        <v>482</v>
      </c>
      <c r="Q184">
        <v>4</v>
      </c>
      <c r="R184">
        <v>212</v>
      </c>
      <c r="S184">
        <v>200</v>
      </c>
      <c r="T184">
        <v>1</v>
      </c>
      <c r="U184">
        <v>9</v>
      </c>
      <c r="V184">
        <v>1</v>
      </c>
      <c r="Y184">
        <v>33</v>
      </c>
      <c r="Z184">
        <v>2</v>
      </c>
      <c r="AC184">
        <v>2</v>
      </c>
      <c r="AD184">
        <v>3</v>
      </c>
      <c r="AE184">
        <v>0</v>
      </c>
      <c r="AF184">
        <v>0</v>
      </c>
      <c r="AK184">
        <v>0</v>
      </c>
      <c r="AL184">
        <v>1</v>
      </c>
      <c r="AM184">
        <v>0</v>
      </c>
      <c r="AN184">
        <v>1</v>
      </c>
      <c r="BC184">
        <v>0</v>
      </c>
      <c r="BD184">
        <v>13</v>
      </c>
      <c r="BE184">
        <v>482</v>
      </c>
      <c r="BF184">
        <v>482</v>
      </c>
      <c r="BG184">
        <v>602</v>
      </c>
      <c r="BJ184">
        <v>1</v>
      </c>
      <c r="BL184" t="s">
        <v>473</v>
      </c>
      <c r="BM184" s="4">
        <v>43283.288888888892</v>
      </c>
      <c r="BN184" s="4">
        <v>43283.320891203701</v>
      </c>
      <c r="BO184" s="4">
        <v>43283.320891203701</v>
      </c>
      <c r="BP184" t="s">
        <v>92</v>
      </c>
      <c r="BQ184" t="s">
        <v>93</v>
      </c>
      <c r="BR184" t="s">
        <v>94</v>
      </c>
    </row>
    <row r="185" spans="1:70" x14ac:dyDescent="0.3">
      <c r="A185" t="str">
        <f>"200111C0100"</f>
        <v>200111C0100</v>
      </c>
      <c r="B185" t="s">
        <v>474</v>
      </c>
      <c r="C185">
        <v>20</v>
      </c>
      <c r="D185" t="s">
        <v>88</v>
      </c>
      <c r="E185">
        <v>17</v>
      </c>
      <c r="F185" t="s">
        <v>472</v>
      </c>
      <c r="G185">
        <v>111</v>
      </c>
      <c r="H185">
        <v>1</v>
      </c>
      <c r="I185" t="s">
        <v>98</v>
      </c>
      <c r="J185">
        <v>0</v>
      </c>
      <c r="K185">
        <v>1</v>
      </c>
      <c r="L185">
        <v>5</v>
      </c>
      <c r="M185">
        <v>158</v>
      </c>
      <c r="N185">
        <v>466</v>
      </c>
      <c r="O185">
        <v>0</v>
      </c>
      <c r="P185">
        <v>466</v>
      </c>
      <c r="Q185">
        <v>8</v>
      </c>
      <c r="R185">
        <v>190</v>
      </c>
      <c r="S185">
        <v>184</v>
      </c>
      <c r="T185">
        <v>4</v>
      </c>
      <c r="U185">
        <v>9</v>
      </c>
      <c r="V185">
        <v>2</v>
      </c>
      <c r="Y185">
        <v>46</v>
      </c>
      <c r="Z185">
        <v>3</v>
      </c>
      <c r="AC185">
        <v>0</v>
      </c>
      <c r="AD185">
        <v>2</v>
      </c>
      <c r="AE185">
        <v>0</v>
      </c>
      <c r="AF185">
        <v>0</v>
      </c>
      <c r="AK185">
        <v>2</v>
      </c>
      <c r="AL185">
        <v>1</v>
      </c>
      <c r="AM185">
        <v>1</v>
      </c>
      <c r="AN185">
        <v>0</v>
      </c>
      <c r="BC185">
        <v>0</v>
      </c>
      <c r="BD185">
        <v>14</v>
      </c>
      <c r="BE185">
        <v>466</v>
      </c>
      <c r="BF185">
        <v>466</v>
      </c>
      <c r="BG185">
        <v>602</v>
      </c>
      <c r="BJ185">
        <v>1</v>
      </c>
      <c r="BL185" t="s">
        <v>475</v>
      </c>
      <c r="BM185" s="4">
        <v>43283.288888888892</v>
      </c>
      <c r="BN185" s="4">
        <v>43283.320243055554</v>
      </c>
      <c r="BO185" s="4">
        <v>43283.320243055554</v>
      </c>
      <c r="BP185" t="s">
        <v>92</v>
      </c>
      <c r="BQ185" t="s">
        <v>93</v>
      </c>
      <c r="BR185" t="s">
        <v>94</v>
      </c>
    </row>
    <row r="186" spans="1:70" x14ac:dyDescent="0.3">
      <c r="A186" t="str">
        <f>"200112B0100"</f>
        <v>200112B0100</v>
      </c>
      <c r="B186" t="s">
        <v>476</v>
      </c>
      <c r="C186">
        <v>20</v>
      </c>
      <c r="D186" t="s">
        <v>88</v>
      </c>
      <c r="E186">
        <v>17</v>
      </c>
      <c r="F186" t="s">
        <v>472</v>
      </c>
      <c r="G186">
        <v>112</v>
      </c>
      <c r="H186">
        <v>1</v>
      </c>
      <c r="I186" t="s">
        <v>90</v>
      </c>
      <c r="J186">
        <v>0</v>
      </c>
      <c r="K186">
        <v>1</v>
      </c>
      <c r="L186">
        <v>5</v>
      </c>
      <c r="M186">
        <v>171</v>
      </c>
      <c r="N186">
        <v>452</v>
      </c>
      <c r="O186">
        <v>0</v>
      </c>
      <c r="P186">
        <v>452</v>
      </c>
      <c r="Q186">
        <v>6</v>
      </c>
      <c r="R186">
        <v>175</v>
      </c>
      <c r="S186">
        <v>182</v>
      </c>
      <c r="T186">
        <v>0</v>
      </c>
      <c r="U186">
        <v>3</v>
      </c>
      <c r="V186">
        <v>1</v>
      </c>
      <c r="Y186">
        <v>59</v>
      </c>
      <c r="Z186">
        <v>3</v>
      </c>
      <c r="AC186">
        <v>0</v>
      </c>
      <c r="AD186">
        <v>0</v>
      </c>
      <c r="AE186">
        <v>1</v>
      </c>
      <c r="AF186">
        <v>0</v>
      </c>
      <c r="AK186">
        <v>3</v>
      </c>
      <c r="AL186">
        <v>2</v>
      </c>
      <c r="AM186">
        <v>0</v>
      </c>
      <c r="AN186">
        <v>0</v>
      </c>
      <c r="BC186" t="s">
        <v>105</v>
      </c>
      <c r="BD186">
        <v>17</v>
      </c>
      <c r="BE186">
        <v>452</v>
      </c>
      <c r="BF186">
        <v>452</v>
      </c>
      <c r="BG186">
        <v>601</v>
      </c>
      <c r="BI186" t="s">
        <v>106</v>
      </c>
      <c r="BJ186">
        <v>1</v>
      </c>
      <c r="BL186" t="s">
        <v>477</v>
      </c>
      <c r="BM186" s="4">
        <v>43283.288888888892</v>
      </c>
      <c r="BN186" s="4">
        <v>43283.332696759258</v>
      </c>
      <c r="BO186" s="4">
        <v>43283.332696759258</v>
      </c>
      <c r="BP186" t="s">
        <v>92</v>
      </c>
      <c r="BQ186" t="s">
        <v>93</v>
      </c>
      <c r="BR186" t="s">
        <v>94</v>
      </c>
    </row>
    <row r="187" spans="1:70" x14ac:dyDescent="0.3">
      <c r="A187" t="str">
        <f>"200112C0100"</f>
        <v>200112C0100</v>
      </c>
      <c r="B187" t="s">
        <v>478</v>
      </c>
      <c r="C187">
        <v>20</v>
      </c>
      <c r="D187" t="s">
        <v>88</v>
      </c>
      <c r="E187">
        <v>17</v>
      </c>
      <c r="F187" t="s">
        <v>472</v>
      </c>
      <c r="G187">
        <v>112</v>
      </c>
      <c r="H187">
        <v>1</v>
      </c>
      <c r="I187" t="s">
        <v>98</v>
      </c>
      <c r="J187">
        <v>0</v>
      </c>
      <c r="K187">
        <v>1</v>
      </c>
      <c r="L187">
        <v>5</v>
      </c>
      <c r="M187">
        <v>153</v>
      </c>
      <c r="N187">
        <v>469</v>
      </c>
      <c r="O187">
        <v>3</v>
      </c>
      <c r="P187">
        <v>469</v>
      </c>
      <c r="Q187">
        <v>4</v>
      </c>
      <c r="R187">
        <v>209</v>
      </c>
      <c r="S187">
        <v>179</v>
      </c>
      <c r="T187">
        <v>3</v>
      </c>
      <c r="U187">
        <v>8</v>
      </c>
      <c r="V187">
        <v>1</v>
      </c>
      <c r="Y187">
        <v>39</v>
      </c>
      <c r="Z187">
        <v>4</v>
      </c>
      <c r="AC187">
        <v>2</v>
      </c>
      <c r="AD187">
        <v>4</v>
      </c>
      <c r="AE187">
        <v>0</v>
      </c>
      <c r="AF187">
        <v>0</v>
      </c>
      <c r="AK187">
        <v>0</v>
      </c>
      <c r="AL187">
        <v>0</v>
      </c>
      <c r="AM187">
        <v>0</v>
      </c>
      <c r="AN187">
        <v>1</v>
      </c>
      <c r="BC187">
        <v>0</v>
      </c>
      <c r="BD187">
        <v>15</v>
      </c>
      <c r="BE187">
        <v>469</v>
      </c>
      <c r="BF187">
        <v>469</v>
      </c>
      <c r="BG187">
        <v>600</v>
      </c>
      <c r="BJ187">
        <v>1</v>
      </c>
      <c r="BL187" t="s">
        <v>479</v>
      </c>
      <c r="BM187" s="4">
        <v>43283.288888888892</v>
      </c>
      <c r="BN187" s="4">
        <v>43283.321527777778</v>
      </c>
      <c r="BO187" s="4">
        <v>43283.321527777778</v>
      </c>
      <c r="BP187" t="s">
        <v>92</v>
      </c>
      <c r="BQ187" t="s">
        <v>93</v>
      </c>
      <c r="BR187" t="s">
        <v>94</v>
      </c>
    </row>
    <row r="188" spans="1:70" x14ac:dyDescent="0.3">
      <c r="A188" t="str">
        <f>"200134B0100"</f>
        <v>200134B0100</v>
      </c>
      <c r="B188" t="s">
        <v>480</v>
      </c>
      <c r="C188">
        <v>20</v>
      </c>
      <c r="D188" t="s">
        <v>88</v>
      </c>
      <c r="E188">
        <v>24</v>
      </c>
      <c r="F188" t="s">
        <v>481</v>
      </c>
      <c r="G188">
        <v>134</v>
      </c>
      <c r="H188">
        <v>1</v>
      </c>
      <c r="I188" t="s">
        <v>90</v>
      </c>
      <c r="J188">
        <v>0</v>
      </c>
      <c r="K188">
        <v>1</v>
      </c>
      <c r="L188">
        <v>5</v>
      </c>
      <c r="M188">
        <v>135</v>
      </c>
      <c r="N188">
        <v>302</v>
      </c>
      <c r="O188">
        <v>6</v>
      </c>
      <c r="P188">
        <v>302</v>
      </c>
      <c r="Q188">
        <v>13</v>
      </c>
      <c r="R188">
        <v>177</v>
      </c>
      <c r="S188">
        <v>1</v>
      </c>
      <c r="T188">
        <v>11</v>
      </c>
      <c r="U188">
        <v>4</v>
      </c>
      <c r="V188">
        <v>5</v>
      </c>
      <c r="X188">
        <v>1</v>
      </c>
      <c r="Y188">
        <v>50</v>
      </c>
      <c r="Z188">
        <v>1</v>
      </c>
      <c r="AA188">
        <v>1</v>
      </c>
      <c r="AC188">
        <v>0</v>
      </c>
      <c r="AD188">
        <v>0</v>
      </c>
      <c r="AE188">
        <v>0</v>
      </c>
      <c r="AF188">
        <v>0</v>
      </c>
      <c r="AG188">
        <v>3</v>
      </c>
      <c r="AH188">
        <v>4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BC188">
        <v>0</v>
      </c>
      <c r="BD188">
        <v>30</v>
      </c>
      <c r="BE188">
        <v>302</v>
      </c>
      <c r="BF188">
        <v>301</v>
      </c>
      <c r="BG188">
        <v>415</v>
      </c>
      <c r="BJ188">
        <v>1</v>
      </c>
      <c r="BL188" t="s">
        <v>482</v>
      </c>
      <c r="BM188" s="4">
        <v>43283.254652777781</v>
      </c>
      <c r="BN188" s="4">
        <v>43283.281851851854</v>
      </c>
      <c r="BO188" s="4">
        <v>43283.281851851854</v>
      </c>
      <c r="BP188" t="s">
        <v>92</v>
      </c>
      <c r="BQ188" t="s">
        <v>93</v>
      </c>
      <c r="BR188" t="s">
        <v>94</v>
      </c>
    </row>
    <row r="189" spans="1:70" x14ac:dyDescent="0.3">
      <c r="A189" t="str">
        <f>"200134C0100"</f>
        <v>200134C0100</v>
      </c>
      <c r="B189" t="s">
        <v>483</v>
      </c>
      <c r="C189">
        <v>20</v>
      </c>
      <c r="D189" t="s">
        <v>88</v>
      </c>
      <c r="E189">
        <v>24</v>
      </c>
      <c r="F189" t="s">
        <v>481</v>
      </c>
      <c r="G189">
        <v>134</v>
      </c>
      <c r="H189">
        <v>1</v>
      </c>
      <c r="I189" t="s">
        <v>98</v>
      </c>
      <c r="J189">
        <v>0</v>
      </c>
      <c r="K189">
        <v>1</v>
      </c>
      <c r="L189">
        <v>5</v>
      </c>
      <c r="M189">
        <v>134</v>
      </c>
      <c r="N189">
        <v>301</v>
      </c>
      <c r="O189">
        <v>4</v>
      </c>
      <c r="P189">
        <v>2</v>
      </c>
      <c r="Q189">
        <v>6</v>
      </c>
      <c r="R189">
        <v>180</v>
      </c>
      <c r="S189">
        <v>1</v>
      </c>
      <c r="T189">
        <v>3</v>
      </c>
      <c r="U189">
        <v>4</v>
      </c>
      <c r="V189">
        <v>5</v>
      </c>
      <c r="X189">
        <v>2</v>
      </c>
      <c r="Y189">
        <v>58</v>
      </c>
      <c r="Z189">
        <v>2</v>
      </c>
      <c r="AA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5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BC189" t="s">
        <v>105</v>
      </c>
      <c r="BD189">
        <v>35</v>
      </c>
      <c r="BE189">
        <v>302</v>
      </c>
      <c r="BF189">
        <v>302</v>
      </c>
      <c r="BG189">
        <v>414</v>
      </c>
      <c r="BI189" t="s">
        <v>106</v>
      </c>
      <c r="BJ189">
        <v>1</v>
      </c>
      <c r="BL189" t="s">
        <v>484</v>
      </c>
      <c r="BM189" s="4">
        <v>43283.259351851855</v>
      </c>
      <c r="BN189" s="4">
        <v>43283.283634259256</v>
      </c>
      <c r="BO189" s="4">
        <v>43283.283634259256</v>
      </c>
      <c r="BP189" t="s">
        <v>92</v>
      </c>
      <c r="BQ189" t="s">
        <v>93</v>
      </c>
      <c r="BR189" t="s">
        <v>94</v>
      </c>
    </row>
    <row r="190" spans="1:70" x14ac:dyDescent="0.3">
      <c r="A190" t="str">
        <f>"200135B0100"</f>
        <v>200135B0100</v>
      </c>
      <c r="B190" t="s">
        <v>485</v>
      </c>
      <c r="C190">
        <v>20</v>
      </c>
      <c r="D190" t="s">
        <v>88</v>
      </c>
      <c r="E190">
        <v>24</v>
      </c>
      <c r="F190" t="s">
        <v>481</v>
      </c>
      <c r="G190">
        <v>135</v>
      </c>
      <c r="H190">
        <v>1</v>
      </c>
      <c r="I190" t="s">
        <v>90</v>
      </c>
      <c r="J190">
        <v>0</v>
      </c>
      <c r="K190">
        <v>1</v>
      </c>
      <c r="L190">
        <v>5</v>
      </c>
      <c r="M190">
        <v>180</v>
      </c>
      <c r="N190">
        <v>456</v>
      </c>
      <c r="O190">
        <v>0</v>
      </c>
      <c r="P190" t="s">
        <v>105</v>
      </c>
      <c r="Q190">
        <v>17</v>
      </c>
      <c r="R190">
        <v>250</v>
      </c>
      <c r="S190">
        <v>4</v>
      </c>
      <c r="T190">
        <v>7</v>
      </c>
      <c r="U190">
        <v>10</v>
      </c>
      <c r="V190">
        <v>10</v>
      </c>
      <c r="X190">
        <v>16</v>
      </c>
      <c r="Y190">
        <v>73</v>
      </c>
      <c r="Z190">
        <v>3</v>
      </c>
      <c r="AA190">
        <v>2</v>
      </c>
      <c r="AC190">
        <v>0</v>
      </c>
      <c r="AD190">
        <v>0</v>
      </c>
      <c r="AE190">
        <v>1</v>
      </c>
      <c r="AF190">
        <v>0</v>
      </c>
      <c r="AG190">
        <v>11</v>
      </c>
      <c r="AH190">
        <v>6</v>
      </c>
      <c r="AI190">
        <v>0</v>
      </c>
      <c r="AJ190">
        <v>0</v>
      </c>
      <c r="AK190">
        <v>0</v>
      </c>
      <c r="AL190">
        <v>1</v>
      </c>
      <c r="AM190">
        <v>0</v>
      </c>
      <c r="AN190">
        <v>0</v>
      </c>
      <c r="BC190">
        <v>1</v>
      </c>
      <c r="BD190">
        <v>47</v>
      </c>
      <c r="BE190">
        <v>456</v>
      </c>
      <c r="BF190">
        <v>459</v>
      </c>
      <c r="BG190">
        <v>615</v>
      </c>
      <c r="BJ190">
        <v>1</v>
      </c>
      <c r="BL190" t="s">
        <v>486</v>
      </c>
      <c r="BM190" s="4">
        <v>43283.243900462963</v>
      </c>
      <c r="BN190" s="4">
        <v>43283.267025462963</v>
      </c>
      <c r="BO190" s="4">
        <v>43283.267025462963</v>
      </c>
      <c r="BP190" t="s">
        <v>92</v>
      </c>
      <c r="BQ190" t="s">
        <v>93</v>
      </c>
      <c r="BR190" t="s">
        <v>94</v>
      </c>
    </row>
    <row r="191" spans="1:70" x14ac:dyDescent="0.3">
      <c r="A191" t="str">
        <f>"200135C0100"</f>
        <v>200135C0100</v>
      </c>
      <c r="B191" t="s">
        <v>487</v>
      </c>
      <c r="C191">
        <v>20</v>
      </c>
      <c r="D191" t="s">
        <v>88</v>
      </c>
      <c r="E191">
        <v>24</v>
      </c>
      <c r="F191" t="s">
        <v>481</v>
      </c>
      <c r="G191">
        <v>135</v>
      </c>
      <c r="H191">
        <v>1</v>
      </c>
      <c r="I191" t="s">
        <v>98</v>
      </c>
      <c r="J191">
        <v>0</v>
      </c>
      <c r="K191">
        <v>1</v>
      </c>
      <c r="L191">
        <v>5</v>
      </c>
      <c r="M191">
        <v>195</v>
      </c>
      <c r="N191">
        <v>442</v>
      </c>
      <c r="O191">
        <v>3</v>
      </c>
      <c r="P191">
        <v>442</v>
      </c>
      <c r="Q191">
        <v>17</v>
      </c>
      <c r="R191">
        <v>233</v>
      </c>
      <c r="S191">
        <v>3</v>
      </c>
      <c r="T191">
        <v>11</v>
      </c>
      <c r="U191">
        <v>12</v>
      </c>
      <c r="V191">
        <v>11</v>
      </c>
      <c r="X191">
        <v>15</v>
      </c>
      <c r="Y191">
        <v>72</v>
      </c>
      <c r="Z191">
        <v>9</v>
      </c>
      <c r="AA191">
        <v>1</v>
      </c>
      <c r="AC191">
        <v>1</v>
      </c>
      <c r="AD191">
        <v>0</v>
      </c>
      <c r="AE191">
        <v>2</v>
      </c>
      <c r="AF191">
        <v>0</v>
      </c>
      <c r="AG191">
        <v>4</v>
      </c>
      <c r="AH191">
        <v>13</v>
      </c>
      <c r="AI191">
        <v>0</v>
      </c>
      <c r="AJ191">
        <v>0</v>
      </c>
      <c r="AK191">
        <v>3</v>
      </c>
      <c r="AL191">
        <v>0</v>
      </c>
      <c r="AM191">
        <v>0</v>
      </c>
      <c r="AN191">
        <v>2</v>
      </c>
      <c r="BC191" t="s">
        <v>105</v>
      </c>
      <c r="BD191">
        <v>35</v>
      </c>
      <c r="BE191">
        <v>444</v>
      </c>
      <c r="BF191">
        <v>444</v>
      </c>
      <c r="BG191">
        <v>615</v>
      </c>
      <c r="BI191" t="s">
        <v>106</v>
      </c>
      <c r="BJ191">
        <v>1</v>
      </c>
      <c r="BL191" t="s">
        <v>488</v>
      </c>
      <c r="BM191" s="4">
        <v>43283.24790509259</v>
      </c>
      <c r="BN191" s="4">
        <v>43283.271863425929</v>
      </c>
      <c r="BO191" s="4">
        <v>43283.271863425929</v>
      </c>
      <c r="BP191" t="s">
        <v>92</v>
      </c>
      <c r="BQ191" t="s">
        <v>93</v>
      </c>
      <c r="BR191" t="s">
        <v>94</v>
      </c>
    </row>
    <row r="192" spans="1:70" x14ac:dyDescent="0.3">
      <c r="A192" t="str">
        <f>"200135C0200"</f>
        <v>200135C0200</v>
      </c>
      <c r="B192" t="s">
        <v>489</v>
      </c>
      <c r="C192">
        <v>20</v>
      </c>
      <c r="D192" t="s">
        <v>88</v>
      </c>
      <c r="E192">
        <v>24</v>
      </c>
      <c r="F192" t="s">
        <v>481</v>
      </c>
      <c r="G192">
        <v>135</v>
      </c>
      <c r="H192">
        <v>2</v>
      </c>
      <c r="I192" t="s">
        <v>98</v>
      </c>
      <c r="J192">
        <v>0</v>
      </c>
      <c r="K192">
        <v>1</v>
      </c>
      <c r="L192">
        <v>5</v>
      </c>
      <c r="M192" t="s">
        <v>127</v>
      </c>
      <c r="N192" t="s">
        <v>127</v>
      </c>
      <c r="O192" t="s">
        <v>127</v>
      </c>
      <c r="P192" t="s">
        <v>127</v>
      </c>
      <c r="Q192">
        <v>11</v>
      </c>
      <c r="R192" t="s">
        <v>105</v>
      </c>
      <c r="S192">
        <v>0</v>
      </c>
      <c r="T192">
        <v>13</v>
      </c>
      <c r="U192">
        <v>0</v>
      </c>
      <c r="V192" t="s">
        <v>105</v>
      </c>
      <c r="X192" t="s">
        <v>105</v>
      </c>
      <c r="Y192" t="s">
        <v>105</v>
      </c>
      <c r="Z192" t="s">
        <v>105</v>
      </c>
      <c r="AA192" t="s">
        <v>105</v>
      </c>
      <c r="AC192" t="s">
        <v>105</v>
      </c>
      <c r="AD192">
        <v>0</v>
      </c>
      <c r="AE192">
        <v>0</v>
      </c>
      <c r="AF192">
        <v>0</v>
      </c>
      <c r="AG192" t="s">
        <v>105</v>
      </c>
      <c r="AH192" t="s">
        <v>105</v>
      </c>
      <c r="AI192" t="s">
        <v>105</v>
      </c>
      <c r="AJ192" t="s">
        <v>105</v>
      </c>
      <c r="AK192" t="s">
        <v>105</v>
      </c>
      <c r="AL192" t="s">
        <v>105</v>
      </c>
      <c r="AM192" t="s">
        <v>105</v>
      </c>
      <c r="AN192" t="s">
        <v>105</v>
      </c>
      <c r="BC192" t="s">
        <v>105</v>
      </c>
      <c r="BD192" t="s">
        <v>105</v>
      </c>
      <c r="BE192" t="s">
        <v>105</v>
      </c>
      <c r="BF192">
        <v>24</v>
      </c>
      <c r="BG192">
        <v>614</v>
      </c>
      <c r="BI192" t="s">
        <v>106</v>
      </c>
      <c r="BJ192">
        <v>1</v>
      </c>
      <c r="BL192" t="s">
        <v>490</v>
      </c>
      <c r="BM192" s="4">
        <v>43283.268703703703</v>
      </c>
      <c r="BN192" s="4">
        <v>43283.305625000001</v>
      </c>
      <c r="BO192" s="4">
        <v>43283.305625000001</v>
      </c>
      <c r="BP192" t="s">
        <v>92</v>
      </c>
      <c r="BQ192" t="s">
        <v>93</v>
      </c>
      <c r="BR192" t="s">
        <v>94</v>
      </c>
    </row>
    <row r="193" spans="1:70" x14ac:dyDescent="0.3">
      <c r="A193" t="str">
        <f>"200136B0100"</f>
        <v>200136B0100</v>
      </c>
      <c r="B193" t="s">
        <v>491</v>
      </c>
      <c r="C193">
        <v>20</v>
      </c>
      <c r="D193" t="s">
        <v>88</v>
      </c>
      <c r="E193">
        <v>24</v>
      </c>
      <c r="F193" t="s">
        <v>481</v>
      </c>
      <c r="G193">
        <v>136</v>
      </c>
      <c r="H193">
        <v>1</v>
      </c>
      <c r="I193" t="s">
        <v>90</v>
      </c>
      <c r="J193">
        <v>0</v>
      </c>
      <c r="K193">
        <v>2</v>
      </c>
      <c r="L193">
        <v>5</v>
      </c>
      <c r="M193" t="s">
        <v>105</v>
      </c>
      <c r="N193" t="s">
        <v>105</v>
      </c>
      <c r="O193" t="s">
        <v>105</v>
      </c>
      <c r="P193" t="s">
        <v>105</v>
      </c>
      <c r="Q193">
        <v>11</v>
      </c>
      <c r="R193">
        <v>203</v>
      </c>
      <c r="S193">
        <v>4</v>
      </c>
      <c r="T193">
        <v>12</v>
      </c>
      <c r="U193">
        <v>14</v>
      </c>
      <c r="V193">
        <v>5</v>
      </c>
      <c r="X193">
        <v>8</v>
      </c>
      <c r="Y193">
        <v>110</v>
      </c>
      <c r="Z193">
        <v>3</v>
      </c>
      <c r="AA193">
        <v>4</v>
      </c>
      <c r="AC193">
        <v>0</v>
      </c>
      <c r="AD193">
        <v>0</v>
      </c>
      <c r="AE193">
        <v>0</v>
      </c>
      <c r="AF193">
        <v>0</v>
      </c>
      <c r="AG193">
        <v>1</v>
      </c>
      <c r="AH193">
        <v>6</v>
      </c>
      <c r="AI193">
        <v>0</v>
      </c>
      <c r="AJ193">
        <v>0</v>
      </c>
      <c r="AK193">
        <v>1</v>
      </c>
      <c r="AL193">
        <v>0</v>
      </c>
      <c r="AM193">
        <v>0</v>
      </c>
      <c r="AN193">
        <v>1</v>
      </c>
      <c r="BC193">
        <v>0</v>
      </c>
      <c r="BD193">
        <v>53</v>
      </c>
      <c r="BE193">
        <v>436</v>
      </c>
      <c r="BF193">
        <v>436</v>
      </c>
      <c r="BG193">
        <v>621</v>
      </c>
      <c r="BJ193">
        <v>1</v>
      </c>
      <c r="BL193" t="s">
        <v>492</v>
      </c>
      <c r="BM193" s="4">
        <v>43283.211782407408</v>
      </c>
      <c r="BN193" s="4">
        <v>43283.232048611113</v>
      </c>
      <c r="BO193" s="4">
        <v>43283.232048611113</v>
      </c>
      <c r="BP193" t="s">
        <v>92</v>
      </c>
      <c r="BQ193" t="s">
        <v>93</v>
      </c>
      <c r="BR193" t="s">
        <v>94</v>
      </c>
    </row>
    <row r="194" spans="1:70" x14ac:dyDescent="0.3">
      <c r="A194" t="str">
        <f>"200136C0100"</f>
        <v>200136C0100</v>
      </c>
      <c r="B194" t="s">
        <v>493</v>
      </c>
      <c r="C194">
        <v>20</v>
      </c>
      <c r="D194" t="s">
        <v>88</v>
      </c>
      <c r="E194">
        <v>24</v>
      </c>
      <c r="F194" t="s">
        <v>481</v>
      </c>
      <c r="G194">
        <v>136</v>
      </c>
      <c r="H194">
        <v>1</v>
      </c>
      <c r="I194" t="s">
        <v>98</v>
      </c>
      <c r="J194">
        <v>0</v>
      </c>
      <c r="K194">
        <v>2</v>
      </c>
      <c r="L194">
        <v>5</v>
      </c>
      <c r="M194">
        <v>196</v>
      </c>
      <c r="N194" t="s">
        <v>105</v>
      </c>
      <c r="O194" t="s">
        <v>105</v>
      </c>
      <c r="P194">
        <v>447</v>
      </c>
      <c r="Q194">
        <v>16</v>
      </c>
      <c r="R194">
        <v>218</v>
      </c>
      <c r="S194">
        <v>4</v>
      </c>
      <c r="T194">
        <v>7</v>
      </c>
      <c r="U194">
        <v>21</v>
      </c>
      <c r="V194">
        <v>4</v>
      </c>
      <c r="X194">
        <v>3</v>
      </c>
      <c r="Y194">
        <v>105</v>
      </c>
      <c r="Z194">
        <v>3</v>
      </c>
      <c r="AA194">
        <v>5</v>
      </c>
      <c r="AC194">
        <v>0</v>
      </c>
      <c r="AD194">
        <v>0</v>
      </c>
      <c r="AE194">
        <v>0</v>
      </c>
      <c r="AF194">
        <v>6</v>
      </c>
      <c r="AG194">
        <v>5</v>
      </c>
      <c r="AH194">
        <v>2</v>
      </c>
      <c r="AI194">
        <v>0</v>
      </c>
      <c r="AJ194">
        <v>1</v>
      </c>
      <c r="AK194">
        <v>0</v>
      </c>
      <c r="AL194">
        <v>0</v>
      </c>
      <c r="AM194">
        <v>0</v>
      </c>
      <c r="AN194">
        <v>2</v>
      </c>
      <c r="BC194">
        <v>0</v>
      </c>
      <c r="BD194">
        <v>44</v>
      </c>
      <c r="BE194">
        <v>447</v>
      </c>
      <c r="BF194">
        <v>446</v>
      </c>
      <c r="BG194">
        <v>621</v>
      </c>
      <c r="BJ194">
        <v>1</v>
      </c>
      <c r="BL194" t="s">
        <v>494</v>
      </c>
      <c r="BM194" s="4">
        <v>43283.215439814812</v>
      </c>
      <c r="BN194" s="4">
        <v>43283.235034722224</v>
      </c>
      <c r="BO194" s="4">
        <v>43283.235034722224</v>
      </c>
      <c r="BP194" t="s">
        <v>92</v>
      </c>
      <c r="BQ194" t="s">
        <v>93</v>
      </c>
      <c r="BR194" t="s">
        <v>94</v>
      </c>
    </row>
    <row r="195" spans="1:70" x14ac:dyDescent="0.3">
      <c r="A195" t="str">
        <f>"200136C0200"</f>
        <v>200136C0200</v>
      </c>
      <c r="B195" t="s">
        <v>495</v>
      </c>
      <c r="C195">
        <v>20</v>
      </c>
      <c r="D195" t="s">
        <v>88</v>
      </c>
      <c r="E195">
        <v>24</v>
      </c>
      <c r="F195" t="s">
        <v>481</v>
      </c>
      <c r="G195">
        <v>136</v>
      </c>
      <c r="H195">
        <v>2</v>
      </c>
      <c r="I195" t="s">
        <v>98</v>
      </c>
      <c r="J195">
        <v>0</v>
      </c>
      <c r="K195">
        <v>2</v>
      </c>
      <c r="L195">
        <v>5</v>
      </c>
      <c r="M195">
        <v>223</v>
      </c>
      <c r="N195">
        <v>419</v>
      </c>
      <c r="O195">
        <v>4</v>
      </c>
      <c r="P195">
        <v>419</v>
      </c>
      <c r="Q195">
        <v>17</v>
      </c>
      <c r="R195">
        <v>208</v>
      </c>
      <c r="S195">
        <v>6</v>
      </c>
      <c r="T195">
        <v>12</v>
      </c>
      <c r="U195">
        <v>16</v>
      </c>
      <c r="V195">
        <v>8</v>
      </c>
      <c r="X195">
        <v>6</v>
      </c>
      <c r="Y195">
        <v>80</v>
      </c>
      <c r="Z195">
        <v>5</v>
      </c>
      <c r="AA195">
        <v>1</v>
      </c>
      <c r="AC195">
        <v>0</v>
      </c>
      <c r="AD195">
        <v>1</v>
      </c>
      <c r="AE195">
        <v>0</v>
      </c>
      <c r="AF195">
        <v>1</v>
      </c>
      <c r="AG195">
        <v>6</v>
      </c>
      <c r="AH195">
        <v>9</v>
      </c>
      <c r="AI195">
        <v>0</v>
      </c>
      <c r="AJ195">
        <v>0</v>
      </c>
      <c r="AK195">
        <v>1</v>
      </c>
      <c r="AL195">
        <v>3</v>
      </c>
      <c r="AM195">
        <v>0</v>
      </c>
      <c r="AN195">
        <v>0</v>
      </c>
      <c r="BC195" t="s">
        <v>105</v>
      </c>
      <c r="BD195">
        <v>39</v>
      </c>
      <c r="BE195">
        <v>419</v>
      </c>
      <c r="BF195">
        <v>419</v>
      </c>
      <c r="BG195">
        <v>621</v>
      </c>
      <c r="BI195" t="s">
        <v>106</v>
      </c>
      <c r="BJ195">
        <v>1</v>
      </c>
      <c r="BL195" t="s">
        <v>496</v>
      </c>
      <c r="BM195" s="4">
        <v>43283.241400462961</v>
      </c>
      <c r="BN195" s="4">
        <v>43283.263344907406</v>
      </c>
      <c r="BO195" s="4">
        <v>43283.263344907406</v>
      </c>
      <c r="BP195" t="s">
        <v>92</v>
      </c>
      <c r="BQ195" t="s">
        <v>93</v>
      </c>
      <c r="BR195" t="s">
        <v>94</v>
      </c>
    </row>
    <row r="196" spans="1:70" x14ac:dyDescent="0.3">
      <c r="A196" t="str">
        <f>"200137B0100"</f>
        <v>200137B0100</v>
      </c>
      <c r="B196" t="s">
        <v>497</v>
      </c>
      <c r="C196">
        <v>20</v>
      </c>
      <c r="D196" t="s">
        <v>88</v>
      </c>
      <c r="E196">
        <v>24</v>
      </c>
      <c r="F196" t="s">
        <v>481</v>
      </c>
      <c r="G196">
        <v>137</v>
      </c>
      <c r="H196">
        <v>1</v>
      </c>
      <c r="I196" t="s">
        <v>90</v>
      </c>
      <c r="J196">
        <v>0</v>
      </c>
      <c r="K196">
        <v>1</v>
      </c>
      <c r="L196">
        <v>5</v>
      </c>
      <c r="M196">
        <v>150</v>
      </c>
      <c r="N196">
        <v>511</v>
      </c>
      <c r="O196">
        <v>0</v>
      </c>
      <c r="P196">
        <v>511</v>
      </c>
      <c r="Q196">
        <v>10</v>
      </c>
      <c r="R196">
        <v>313</v>
      </c>
      <c r="S196">
        <v>3</v>
      </c>
      <c r="T196">
        <v>14</v>
      </c>
      <c r="U196">
        <v>13</v>
      </c>
      <c r="V196">
        <v>4</v>
      </c>
      <c r="X196">
        <v>7</v>
      </c>
      <c r="Y196">
        <v>90</v>
      </c>
      <c r="Z196">
        <v>1</v>
      </c>
      <c r="AA196">
        <v>1</v>
      </c>
      <c r="AC196">
        <v>0</v>
      </c>
      <c r="AD196">
        <v>0</v>
      </c>
      <c r="AE196">
        <v>0</v>
      </c>
      <c r="AF196">
        <v>0</v>
      </c>
      <c r="AG196">
        <v>1</v>
      </c>
      <c r="AH196">
        <v>8</v>
      </c>
      <c r="AI196">
        <v>1</v>
      </c>
      <c r="AJ196">
        <v>0</v>
      </c>
      <c r="AK196">
        <v>0</v>
      </c>
      <c r="AL196">
        <v>2</v>
      </c>
      <c r="AM196">
        <v>0</v>
      </c>
      <c r="AN196">
        <v>1</v>
      </c>
      <c r="BC196">
        <v>0</v>
      </c>
      <c r="BD196">
        <v>42</v>
      </c>
      <c r="BE196">
        <v>511</v>
      </c>
      <c r="BF196">
        <v>511</v>
      </c>
      <c r="BG196">
        <v>640</v>
      </c>
      <c r="BJ196">
        <v>1</v>
      </c>
      <c r="BL196" t="s">
        <v>498</v>
      </c>
      <c r="BM196" s="4">
        <v>43283.177256944444</v>
      </c>
      <c r="BN196" s="4">
        <v>43283.193622685183</v>
      </c>
      <c r="BO196" s="4">
        <v>43283.193622685183</v>
      </c>
      <c r="BP196" t="s">
        <v>92</v>
      </c>
      <c r="BQ196" t="s">
        <v>93</v>
      </c>
      <c r="BR196" t="s">
        <v>94</v>
      </c>
    </row>
    <row r="197" spans="1:70" x14ac:dyDescent="0.3">
      <c r="A197" t="str">
        <f>"200138B0100"</f>
        <v>200138B0100</v>
      </c>
      <c r="B197" t="s">
        <v>499</v>
      </c>
      <c r="C197">
        <v>20</v>
      </c>
      <c r="D197" t="s">
        <v>88</v>
      </c>
      <c r="E197">
        <v>24</v>
      </c>
      <c r="F197" t="s">
        <v>481</v>
      </c>
      <c r="G197">
        <v>138</v>
      </c>
      <c r="H197">
        <v>1</v>
      </c>
      <c r="I197" t="s">
        <v>90</v>
      </c>
      <c r="J197">
        <v>0</v>
      </c>
      <c r="K197">
        <v>2</v>
      </c>
      <c r="L197">
        <v>5</v>
      </c>
      <c r="M197">
        <v>175</v>
      </c>
      <c r="N197">
        <v>516</v>
      </c>
      <c r="O197">
        <v>7</v>
      </c>
      <c r="P197">
        <v>513</v>
      </c>
      <c r="Q197">
        <v>6</v>
      </c>
      <c r="R197">
        <v>347</v>
      </c>
      <c r="S197">
        <v>5</v>
      </c>
      <c r="T197">
        <v>15</v>
      </c>
      <c r="U197">
        <v>11</v>
      </c>
      <c r="V197">
        <v>11</v>
      </c>
      <c r="X197">
        <v>2</v>
      </c>
      <c r="Y197">
        <v>66</v>
      </c>
      <c r="Z197">
        <v>5</v>
      </c>
      <c r="AA197">
        <v>2</v>
      </c>
      <c r="AC197">
        <v>1</v>
      </c>
      <c r="AD197">
        <v>0</v>
      </c>
      <c r="AE197">
        <v>0</v>
      </c>
      <c r="AF197">
        <v>0</v>
      </c>
      <c r="AG197">
        <v>0</v>
      </c>
      <c r="AH197">
        <v>6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BC197" t="s">
        <v>105</v>
      </c>
      <c r="BD197">
        <v>36</v>
      </c>
      <c r="BE197">
        <v>513</v>
      </c>
      <c r="BF197">
        <v>513</v>
      </c>
      <c r="BG197">
        <v>668</v>
      </c>
      <c r="BI197" t="s">
        <v>106</v>
      </c>
      <c r="BJ197">
        <v>1</v>
      </c>
      <c r="BL197" t="s">
        <v>500</v>
      </c>
      <c r="BM197" s="4">
        <v>43283.194502314815</v>
      </c>
      <c r="BN197" s="4">
        <v>43283.209560185183</v>
      </c>
      <c r="BO197" s="4">
        <v>43283.209560185183</v>
      </c>
      <c r="BP197" t="s">
        <v>92</v>
      </c>
      <c r="BQ197" t="s">
        <v>93</v>
      </c>
      <c r="BR197" t="s">
        <v>94</v>
      </c>
    </row>
    <row r="198" spans="1:70" x14ac:dyDescent="0.3">
      <c r="A198" t="str">
        <f>"200139B0100"</f>
        <v>200139B0100</v>
      </c>
      <c r="B198" t="s">
        <v>501</v>
      </c>
      <c r="C198">
        <v>20</v>
      </c>
      <c r="D198" t="s">
        <v>88</v>
      </c>
      <c r="E198">
        <v>24</v>
      </c>
      <c r="F198" t="s">
        <v>481</v>
      </c>
      <c r="G198">
        <v>139</v>
      </c>
      <c r="H198">
        <v>1</v>
      </c>
      <c r="I198" t="s">
        <v>90</v>
      </c>
      <c r="J198">
        <v>0</v>
      </c>
      <c r="K198">
        <v>2</v>
      </c>
      <c r="L198">
        <v>5</v>
      </c>
      <c r="M198">
        <v>174</v>
      </c>
      <c r="N198">
        <v>486</v>
      </c>
      <c r="O198" t="s">
        <v>105</v>
      </c>
      <c r="P198">
        <v>486</v>
      </c>
      <c r="Q198">
        <v>13</v>
      </c>
      <c r="R198">
        <v>305</v>
      </c>
      <c r="S198">
        <v>3</v>
      </c>
      <c r="T198">
        <v>12</v>
      </c>
      <c r="U198">
        <v>13</v>
      </c>
      <c r="V198">
        <v>10</v>
      </c>
      <c r="X198">
        <v>3</v>
      </c>
      <c r="Y198">
        <v>61</v>
      </c>
      <c r="Z198">
        <v>5</v>
      </c>
      <c r="AA198">
        <v>4</v>
      </c>
      <c r="AC198">
        <v>1</v>
      </c>
      <c r="AD198">
        <v>0</v>
      </c>
      <c r="AE198">
        <v>0</v>
      </c>
      <c r="AF198">
        <v>0</v>
      </c>
      <c r="AG198">
        <v>3</v>
      </c>
      <c r="AH198">
        <v>13</v>
      </c>
      <c r="AI198">
        <v>1</v>
      </c>
      <c r="AJ198">
        <v>0</v>
      </c>
      <c r="AK198">
        <v>2</v>
      </c>
      <c r="AL198">
        <v>0</v>
      </c>
      <c r="AM198">
        <v>0</v>
      </c>
      <c r="AN198">
        <v>0</v>
      </c>
      <c r="BC198">
        <v>0</v>
      </c>
      <c r="BD198">
        <v>37</v>
      </c>
      <c r="BE198">
        <v>486</v>
      </c>
      <c r="BF198">
        <v>486</v>
      </c>
      <c r="BG198">
        <v>639</v>
      </c>
      <c r="BJ198">
        <v>1</v>
      </c>
      <c r="BL198" t="s">
        <v>502</v>
      </c>
      <c r="BM198" s="4">
        <v>43283.204502314817</v>
      </c>
      <c r="BN198" s="4">
        <v>43283.220833333333</v>
      </c>
      <c r="BO198" s="4">
        <v>43283.220833333333</v>
      </c>
      <c r="BP198" t="s">
        <v>92</v>
      </c>
      <c r="BQ198" t="s">
        <v>93</v>
      </c>
      <c r="BR198" t="s">
        <v>94</v>
      </c>
    </row>
    <row r="199" spans="1:70" x14ac:dyDescent="0.3">
      <c r="A199" t="str">
        <f>"200139C0100"</f>
        <v>200139C0100</v>
      </c>
      <c r="B199" t="s">
        <v>503</v>
      </c>
      <c r="C199">
        <v>20</v>
      </c>
      <c r="D199" t="s">
        <v>88</v>
      </c>
      <c r="E199">
        <v>24</v>
      </c>
      <c r="F199" t="s">
        <v>481</v>
      </c>
      <c r="G199">
        <v>139</v>
      </c>
      <c r="H199">
        <v>1</v>
      </c>
      <c r="I199" t="s">
        <v>98</v>
      </c>
      <c r="J199">
        <v>0</v>
      </c>
      <c r="K199">
        <v>2</v>
      </c>
      <c r="L199">
        <v>5</v>
      </c>
      <c r="M199">
        <v>191</v>
      </c>
      <c r="N199">
        <v>469</v>
      </c>
      <c r="O199">
        <v>1</v>
      </c>
      <c r="P199">
        <v>469</v>
      </c>
      <c r="Q199">
        <v>11</v>
      </c>
      <c r="R199">
        <v>313</v>
      </c>
      <c r="S199">
        <v>7</v>
      </c>
      <c r="T199">
        <v>17</v>
      </c>
      <c r="U199">
        <v>4</v>
      </c>
      <c r="V199">
        <v>5</v>
      </c>
      <c r="X199">
        <v>3</v>
      </c>
      <c r="Y199">
        <v>52</v>
      </c>
      <c r="Z199">
        <v>1</v>
      </c>
      <c r="AA199">
        <v>5</v>
      </c>
      <c r="AC199">
        <v>0</v>
      </c>
      <c r="AD199">
        <v>0</v>
      </c>
      <c r="AE199">
        <v>0</v>
      </c>
      <c r="AF199">
        <v>0</v>
      </c>
      <c r="AG199">
        <v>2</v>
      </c>
      <c r="AH199">
        <v>19</v>
      </c>
      <c r="AI199">
        <v>1</v>
      </c>
      <c r="AJ199">
        <v>0</v>
      </c>
      <c r="AK199">
        <v>0</v>
      </c>
      <c r="AL199">
        <v>0</v>
      </c>
      <c r="AM199">
        <v>0</v>
      </c>
      <c r="AN199">
        <v>0</v>
      </c>
      <c r="BC199">
        <v>0</v>
      </c>
      <c r="BD199">
        <v>191</v>
      </c>
      <c r="BE199">
        <v>660</v>
      </c>
      <c r="BF199">
        <v>631</v>
      </c>
      <c r="BG199">
        <v>638</v>
      </c>
      <c r="BJ199">
        <v>1</v>
      </c>
      <c r="BL199" t="s">
        <v>504</v>
      </c>
      <c r="BM199" s="4">
        <v>43283.292384259257</v>
      </c>
      <c r="BN199" s="4">
        <v>43283.317824074074</v>
      </c>
      <c r="BO199" s="4">
        <v>43283.317824074074</v>
      </c>
      <c r="BP199" t="s">
        <v>92</v>
      </c>
      <c r="BQ199" t="s">
        <v>93</v>
      </c>
      <c r="BR199" t="s">
        <v>94</v>
      </c>
    </row>
    <row r="200" spans="1:70" x14ac:dyDescent="0.3">
      <c r="A200" t="str">
        <f>"200140B0100"</f>
        <v>200140B0100</v>
      </c>
      <c r="B200" t="s">
        <v>505</v>
      </c>
      <c r="C200">
        <v>20</v>
      </c>
      <c r="D200" t="s">
        <v>88</v>
      </c>
      <c r="E200">
        <v>24</v>
      </c>
      <c r="F200" t="s">
        <v>481</v>
      </c>
      <c r="G200">
        <v>140</v>
      </c>
      <c r="H200">
        <v>1</v>
      </c>
      <c r="I200" t="s">
        <v>90</v>
      </c>
      <c r="J200">
        <v>0</v>
      </c>
      <c r="K200">
        <v>2</v>
      </c>
      <c r="L200">
        <v>5</v>
      </c>
      <c r="M200">
        <v>101</v>
      </c>
      <c r="N200">
        <v>392</v>
      </c>
      <c r="O200">
        <v>3</v>
      </c>
      <c r="P200">
        <v>392</v>
      </c>
      <c r="Q200">
        <v>18</v>
      </c>
      <c r="R200">
        <v>240</v>
      </c>
      <c r="S200">
        <v>6</v>
      </c>
      <c r="T200">
        <v>15</v>
      </c>
      <c r="U200">
        <v>10</v>
      </c>
      <c r="V200">
        <v>14</v>
      </c>
      <c r="X200">
        <v>3</v>
      </c>
      <c r="Y200">
        <v>47</v>
      </c>
      <c r="Z200">
        <v>5</v>
      </c>
      <c r="AA200">
        <v>3</v>
      </c>
      <c r="AC200">
        <v>0</v>
      </c>
      <c r="AD200">
        <v>0</v>
      </c>
      <c r="AE200">
        <v>0</v>
      </c>
      <c r="AF200">
        <v>0</v>
      </c>
      <c r="AG200">
        <v>2</v>
      </c>
      <c r="AH200">
        <v>6</v>
      </c>
      <c r="AI200">
        <v>0</v>
      </c>
      <c r="AJ200">
        <v>0</v>
      </c>
      <c r="AK200">
        <v>1</v>
      </c>
      <c r="AL200">
        <v>0</v>
      </c>
      <c r="AM200">
        <v>0</v>
      </c>
      <c r="AN200">
        <v>0</v>
      </c>
      <c r="BC200">
        <v>0</v>
      </c>
      <c r="BD200">
        <v>22</v>
      </c>
      <c r="BE200">
        <v>392</v>
      </c>
      <c r="BF200">
        <v>392</v>
      </c>
      <c r="BG200">
        <v>471</v>
      </c>
      <c r="BJ200">
        <v>1</v>
      </c>
      <c r="BL200" s="2" t="s">
        <v>506</v>
      </c>
      <c r="BM200" s="4">
        <v>43283.134270833332</v>
      </c>
      <c r="BN200" s="4">
        <v>43283.138807870368</v>
      </c>
      <c r="BO200" s="4">
        <v>43283.138807870368</v>
      </c>
      <c r="BP200" t="s">
        <v>92</v>
      </c>
      <c r="BQ200" t="s">
        <v>93</v>
      </c>
      <c r="BR200" t="s">
        <v>94</v>
      </c>
    </row>
    <row r="201" spans="1:70" x14ac:dyDescent="0.3">
      <c r="A201" t="str">
        <f>"200141B0100"</f>
        <v>200141B0100</v>
      </c>
      <c r="B201" t="s">
        <v>507</v>
      </c>
      <c r="C201">
        <v>20</v>
      </c>
      <c r="D201" t="s">
        <v>88</v>
      </c>
      <c r="E201">
        <v>24</v>
      </c>
      <c r="F201" t="s">
        <v>481</v>
      </c>
      <c r="G201">
        <v>141</v>
      </c>
      <c r="H201">
        <v>1</v>
      </c>
      <c r="I201" t="s">
        <v>90</v>
      </c>
      <c r="J201">
        <v>0</v>
      </c>
      <c r="K201">
        <v>2</v>
      </c>
      <c r="L201">
        <v>5</v>
      </c>
      <c r="M201">
        <v>217</v>
      </c>
      <c r="N201">
        <v>517</v>
      </c>
      <c r="O201">
        <v>12</v>
      </c>
      <c r="P201">
        <v>517</v>
      </c>
      <c r="Q201">
        <v>19</v>
      </c>
      <c r="R201">
        <v>272</v>
      </c>
      <c r="S201">
        <v>7</v>
      </c>
      <c r="T201">
        <v>19</v>
      </c>
      <c r="U201">
        <v>27</v>
      </c>
      <c r="V201">
        <v>7</v>
      </c>
      <c r="X201">
        <v>4</v>
      </c>
      <c r="Y201">
        <v>102</v>
      </c>
      <c r="Z201">
        <v>1</v>
      </c>
      <c r="AA201">
        <v>3</v>
      </c>
      <c r="AC201">
        <v>0</v>
      </c>
      <c r="AD201">
        <v>0</v>
      </c>
      <c r="AE201">
        <v>1</v>
      </c>
      <c r="AF201">
        <v>0</v>
      </c>
      <c r="AG201">
        <v>4</v>
      </c>
      <c r="AH201">
        <v>3</v>
      </c>
      <c r="AI201">
        <v>4</v>
      </c>
      <c r="AJ201">
        <v>0</v>
      </c>
      <c r="AK201">
        <v>1</v>
      </c>
      <c r="AL201">
        <v>2</v>
      </c>
      <c r="AM201">
        <v>0</v>
      </c>
      <c r="AN201">
        <v>0</v>
      </c>
      <c r="BC201">
        <v>0</v>
      </c>
      <c r="BD201">
        <v>41</v>
      </c>
      <c r="BE201">
        <v>517</v>
      </c>
      <c r="BF201">
        <v>517</v>
      </c>
      <c r="BG201">
        <v>712</v>
      </c>
      <c r="BJ201">
        <v>1</v>
      </c>
      <c r="BL201" t="s">
        <v>508</v>
      </c>
      <c r="BM201" s="4">
        <v>43283.181030092594</v>
      </c>
      <c r="BN201" s="4">
        <v>43283.196377314816</v>
      </c>
      <c r="BO201" s="4">
        <v>43283.196377314816</v>
      </c>
      <c r="BP201" t="s">
        <v>92</v>
      </c>
      <c r="BQ201" t="s">
        <v>93</v>
      </c>
      <c r="BR201" t="s">
        <v>94</v>
      </c>
    </row>
    <row r="202" spans="1:70" x14ac:dyDescent="0.3">
      <c r="A202" t="str">
        <f>"200142B0100"</f>
        <v>200142B0100</v>
      </c>
      <c r="B202" t="s">
        <v>509</v>
      </c>
      <c r="C202">
        <v>20</v>
      </c>
      <c r="D202" t="s">
        <v>88</v>
      </c>
      <c r="E202">
        <v>24</v>
      </c>
      <c r="F202" t="s">
        <v>481</v>
      </c>
      <c r="G202">
        <v>142</v>
      </c>
      <c r="H202">
        <v>1</v>
      </c>
      <c r="I202" t="s">
        <v>90</v>
      </c>
      <c r="J202">
        <v>0</v>
      </c>
      <c r="K202">
        <v>2</v>
      </c>
      <c r="L202">
        <v>5</v>
      </c>
      <c r="M202">
        <v>170</v>
      </c>
      <c r="N202">
        <v>313</v>
      </c>
      <c r="O202">
        <v>2</v>
      </c>
      <c r="P202">
        <v>313</v>
      </c>
      <c r="Q202">
        <v>26</v>
      </c>
      <c r="R202">
        <v>163</v>
      </c>
      <c r="S202">
        <v>1</v>
      </c>
      <c r="T202">
        <v>10</v>
      </c>
      <c r="U202">
        <v>5</v>
      </c>
      <c r="V202">
        <v>13</v>
      </c>
      <c r="X202">
        <v>2</v>
      </c>
      <c r="Y202">
        <v>24</v>
      </c>
      <c r="Z202">
        <v>2</v>
      </c>
      <c r="AA202">
        <v>1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7</v>
      </c>
      <c r="AI202">
        <v>0</v>
      </c>
      <c r="AJ202">
        <v>0</v>
      </c>
      <c r="AK202">
        <v>5</v>
      </c>
      <c r="AL202">
        <v>0</v>
      </c>
      <c r="AM202">
        <v>2</v>
      </c>
      <c r="AN202">
        <v>2</v>
      </c>
      <c r="BC202">
        <v>0</v>
      </c>
      <c r="BD202">
        <v>50</v>
      </c>
      <c r="BE202">
        <v>313</v>
      </c>
      <c r="BF202">
        <v>313</v>
      </c>
      <c r="BG202">
        <v>461</v>
      </c>
      <c r="BJ202">
        <v>1</v>
      </c>
      <c r="BL202" t="s">
        <v>510</v>
      </c>
      <c r="BM202" s="4">
        <v>43283.203414351854</v>
      </c>
      <c r="BN202" s="4">
        <v>43283.219641203701</v>
      </c>
      <c r="BO202" s="4">
        <v>43283.219641203701</v>
      </c>
      <c r="BP202" t="s">
        <v>92</v>
      </c>
      <c r="BQ202" t="s">
        <v>93</v>
      </c>
      <c r="BR202" t="s">
        <v>94</v>
      </c>
    </row>
    <row r="203" spans="1:70" x14ac:dyDescent="0.3">
      <c r="A203" t="str">
        <f>"200143B0100"</f>
        <v>200143B0100</v>
      </c>
      <c r="B203" t="s">
        <v>511</v>
      </c>
      <c r="C203">
        <v>20</v>
      </c>
      <c r="D203" t="s">
        <v>88</v>
      </c>
      <c r="E203">
        <v>24</v>
      </c>
      <c r="F203" t="s">
        <v>481</v>
      </c>
      <c r="G203">
        <v>143</v>
      </c>
      <c r="H203">
        <v>1</v>
      </c>
      <c r="I203" t="s">
        <v>90</v>
      </c>
      <c r="J203">
        <v>0</v>
      </c>
      <c r="K203">
        <v>1</v>
      </c>
      <c r="L203">
        <v>5</v>
      </c>
      <c r="M203">
        <v>190</v>
      </c>
      <c r="N203">
        <v>389</v>
      </c>
      <c r="O203">
        <v>5</v>
      </c>
      <c r="P203">
        <v>389</v>
      </c>
      <c r="Q203">
        <v>10</v>
      </c>
      <c r="R203">
        <v>199</v>
      </c>
      <c r="S203">
        <v>2</v>
      </c>
      <c r="T203">
        <v>13</v>
      </c>
      <c r="U203">
        <v>8</v>
      </c>
      <c r="V203">
        <v>5</v>
      </c>
      <c r="X203">
        <v>5</v>
      </c>
      <c r="Y203">
        <v>103</v>
      </c>
      <c r="Z203">
        <v>2</v>
      </c>
      <c r="AA203">
        <v>0</v>
      </c>
      <c r="AC203">
        <v>0</v>
      </c>
      <c r="AD203">
        <v>0</v>
      </c>
      <c r="AE203">
        <v>0</v>
      </c>
      <c r="AF203">
        <v>0</v>
      </c>
      <c r="AG203">
        <v>3</v>
      </c>
      <c r="AH203">
        <v>4</v>
      </c>
      <c r="AI203">
        <v>1</v>
      </c>
      <c r="AJ203">
        <v>0</v>
      </c>
      <c r="AK203">
        <v>0</v>
      </c>
      <c r="AL203">
        <v>1</v>
      </c>
      <c r="AM203">
        <v>0</v>
      </c>
      <c r="AN203">
        <v>1</v>
      </c>
      <c r="BC203">
        <v>0</v>
      </c>
      <c r="BD203">
        <v>32</v>
      </c>
      <c r="BE203">
        <v>389</v>
      </c>
      <c r="BF203">
        <v>389</v>
      </c>
      <c r="BG203">
        <v>556</v>
      </c>
      <c r="BJ203">
        <v>1</v>
      </c>
      <c r="BL203" t="s">
        <v>512</v>
      </c>
      <c r="BM203" s="4">
        <v>43283.190405092595</v>
      </c>
      <c r="BN203" s="4">
        <v>43283.207071759258</v>
      </c>
      <c r="BO203" s="4">
        <v>43283.207071759258</v>
      </c>
      <c r="BP203" t="s">
        <v>92</v>
      </c>
      <c r="BQ203" t="s">
        <v>93</v>
      </c>
      <c r="BR203" t="s">
        <v>94</v>
      </c>
    </row>
    <row r="204" spans="1:70" x14ac:dyDescent="0.3">
      <c r="A204" t="str">
        <f>"200143C0100"</f>
        <v>200143C0100</v>
      </c>
      <c r="B204" t="s">
        <v>513</v>
      </c>
      <c r="C204">
        <v>20</v>
      </c>
      <c r="D204" t="s">
        <v>88</v>
      </c>
      <c r="E204">
        <v>24</v>
      </c>
      <c r="F204" t="s">
        <v>481</v>
      </c>
      <c r="G204">
        <v>143</v>
      </c>
      <c r="H204">
        <v>1</v>
      </c>
      <c r="I204" t="s">
        <v>98</v>
      </c>
      <c r="J204">
        <v>0</v>
      </c>
      <c r="K204">
        <v>1</v>
      </c>
      <c r="L204">
        <v>5</v>
      </c>
      <c r="M204" t="s">
        <v>105</v>
      </c>
      <c r="N204" t="s">
        <v>105</v>
      </c>
      <c r="O204" t="s">
        <v>105</v>
      </c>
      <c r="P204" t="s">
        <v>105</v>
      </c>
      <c r="Q204">
        <v>13</v>
      </c>
      <c r="R204">
        <v>218</v>
      </c>
      <c r="S204">
        <v>3</v>
      </c>
      <c r="T204">
        <v>11</v>
      </c>
      <c r="U204">
        <v>6</v>
      </c>
      <c r="V204">
        <v>7</v>
      </c>
      <c r="X204">
        <v>6</v>
      </c>
      <c r="Y204">
        <v>73</v>
      </c>
      <c r="Z204">
        <v>3</v>
      </c>
      <c r="AA204">
        <v>3</v>
      </c>
      <c r="AC204">
        <v>0</v>
      </c>
      <c r="AD204">
        <v>0</v>
      </c>
      <c r="AE204">
        <v>0</v>
      </c>
      <c r="AF204">
        <v>0</v>
      </c>
      <c r="AG204">
        <v>4</v>
      </c>
      <c r="AH204">
        <v>5</v>
      </c>
      <c r="AI204">
        <v>0</v>
      </c>
      <c r="AJ204">
        <v>0</v>
      </c>
      <c r="AK204">
        <v>7</v>
      </c>
      <c r="AL204">
        <v>5</v>
      </c>
      <c r="AM204">
        <v>0</v>
      </c>
      <c r="AN204">
        <v>0</v>
      </c>
      <c r="BC204">
        <v>1</v>
      </c>
      <c r="BD204">
        <v>43</v>
      </c>
      <c r="BE204">
        <v>402</v>
      </c>
      <c r="BF204">
        <v>408</v>
      </c>
      <c r="BG204">
        <v>556</v>
      </c>
      <c r="BJ204">
        <v>1</v>
      </c>
      <c r="BL204" t="s">
        <v>514</v>
      </c>
      <c r="BM204" s="4">
        <v>43283.187094907407</v>
      </c>
      <c r="BN204" s="4">
        <v>43283.204722222225</v>
      </c>
      <c r="BO204" s="4">
        <v>43283.204722222225</v>
      </c>
      <c r="BP204" t="s">
        <v>92</v>
      </c>
      <c r="BQ204" t="s">
        <v>93</v>
      </c>
      <c r="BR204" t="s">
        <v>94</v>
      </c>
    </row>
    <row r="205" spans="1:70" x14ac:dyDescent="0.3">
      <c r="A205" t="str">
        <f>"200147B0100"</f>
        <v>200147B0100</v>
      </c>
      <c r="B205" t="s">
        <v>515</v>
      </c>
      <c r="C205">
        <v>20</v>
      </c>
      <c r="D205" t="s">
        <v>88</v>
      </c>
      <c r="E205">
        <v>26</v>
      </c>
      <c r="F205" t="s">
        <v>516</v>
      </c>
      <c r="G205">
        <v>147</v>
      </c>
      <c r="H205">
        <v>1</v>
      </c>
      <c r="I205" t="s">
        <v>90</v>
      </c>
      <c r="J205">
        <v>0</v>
      </c>
      <c r="K205">
        <v>2</v>
      </c>
      <c r="L205">
        <v>5</v>
      </c>
      <c r="M205">
        <v>237</v>
      </c>
      <c r="N205">
        <v>363</v>
      </c>
      <c r="O205">
        <v>4</v>
      </c>
      <c r="P205">
        <v>363</v>
      </c>
      <c r="Q205">
        <v>14</v>
      </c>
      <c r="R205">
        <v>8</v>
      </c>
      <c r="S205">
        <v>100</v>
      </c>
      <c r="T205">
        <v>0</v>
      </c>
      <c r="U205">
        <v>6</v>
      </c>
      <c r="V205">
        <v>4</v>
      </c>
      <c r="W205">
        <v>44</v>
      </c>
      <c r="X205">
        <v>10</v>
      </c>
      <c r="Y205">
        <v>97</v>
      </c>
      <c r="Z205">
        <v>2</v>
      </c>
      <c r="AA205">
        <v>49</v>
      </c>
      <c r="AB205">
        <v>1</v>
      </c>
      <c r="AC205">
        <v>1</v>
      </c>
      <c r="AD205">
        <v>7</v>
      </c>
      <c r="AE205">
        <v>0</v>
      </c>
      <c r="AF205">
        <v>1</v>
      </c>
      <c r="AG205">
        <v>0</v>
      </c>
      <c r="AH205">
        <v>1</v>
      </c>
      <c r="AI205">
        <v>0</v>
      </c>
      <c r="AJ205">
        <v>0</v>
      </c>
      <c r="AK205">
        <v>2</v>
      </c>
      <c r="AL205">
        <v>1</v>
      </c>
      <c r="AM205">
        <v>0</v>
      </c>
      <c r="AN205">
        <v>1</v>
      </c>
      <c r="BC205">
        <v>0</v>
      </c>
      <c r="BD205">
        <v>14</v>
      </c>
      <c r="BE205">
        <v>363</v>
      </c>
      <c r="BF205">
        <v>363</v>
      </c>
      <c r="BG205">
        <v>559</v>
      </c>
      <c r="BJ205">
        <v>1</v>
      </c>
      <c r="BL205" t="s">
        <v>517</v>
      </c>
      <c r="BM205" s="4">
        <v>43283.124259259261</v>
      </c>
      <c r="BN205" s="4">
        <v>43283.128368055557</v>
      </c>
      <c r="BO205" s="4">
        <v>43283.128368055557</v>
      </c>
      <c r="BP205" t="s">
        <v>339</v>
      </c>
      <c r="BQ205" t="s">
        <v>340</v>
      </c>
      <c r="BR205" t="s">
        <v>94</v>
      </c>
    </row>
    <row r="206" spans="1:70" x14ac:dyDescent="0.3">
      <c r="A206" t="str">
        <f>"200147C0100"</f>
        <v>200147C0100</v>
      </c>
      <c r="B206" t="s">
        <v>518</v>
      </c>
      <c r="C206">
        <v>20</v>
      </c>
      <c r="D206" t="s">
        <v>88</v>
      </c>
      <c r="E206">
        <v>26</v>
      </c>
      <c r="F206" t="s">
        <v>516</v>
      </c>
      <c r="G206">
        <v>147</v>
      </c>
      <c r="H206">
        <v>1</v>
      </c>
      <c r="I206" t="s">
        <v>98</v>
      </c>
      <c r="J206">
        <v>0</v>
      </c>
      <c r="K206">
        <v>2</v>
      </c>
      <c r="L206">
        <v>5</v>
      </c>
      <c r="M206">
        <v>206</v>
      </c>
      <c r="N206">
        <v>374</v>
      </c>
      <c r="O206">
        <v>7</v>
      </c>
      <c r="P206">
        <v>374</v>
      </c>
      <c r="Q206">
        <v>3</v>
      </c>
      <c r="R206">
        <v>9</v>
      </c>
      <c r="S206">
        <v>111</v>
      </c>
      <c r="T206">
        <v>4</v>
      </c>
      <c r="U206">
        <v>6</v>
      </c>
      <c r="V206">
        <v>5</v>
      </c>
      <c r="W206">
        <v>31</v>
      </c>
      <c r="X206">
        <v>20</v>
      </c>
      <c r="Y206">
        <v>103</v>
      </c>
      <c r="Z206">
        <v>3</v>
      </c>
      <c r="AA206">
        <v>47</v>
      </c>
      <c r="AB206">
        <v>6</v>
      </c>
      <c r="AC206">
        <v>3</v>
      </c>
      <c r="AD206">
        <v>0</v>
      </c>
      <c r="AE206">
        <v>1</v>
      </c>
      <c r="AF206">
        <v>0</v>
      </c>
      <c r="AG206">
        <v>1</v>
      </c>
      <c r="AH206">
        <v>1</v>
      </c>
      <c r="AI206">
        <v>0</v>
      </c>
      <c r="AJ206">
        <v>0</v>
      </c>
      <c r="AK206">
        <v>2</v>
      </c>
      <c r="AL206">
        <v>1</v>
      </c>
      <c r="AM206">
        <v>0</v>
      </c>
      <c r="AN206">
        <v>2</v>
      </c>
      <c r="BC206">
        <v>0</v>
      </c>
      <c r="BD206">
        <v>15</v>
      </c>
      <c r="BE206">
        <v>374</v>
      </c>
      <c r="BF206">
        <v>374</v>
      </c>
      <c r="BG206">
        <v>559</v>
      </c>
      <c r="BJ206">
        <v>1</v>
      </c>
      <c r="BL206" t="s">
        <v>519</v>
      </c>
      <c r="BM206" s="4">
        <v>43283.120520833334</v>
      </c>
      <c r="BN206" s="4">
        <v>43283.125208333331</v>
      </c>
      <c r="BO206" s="4">
        <v>43283.125208333331</v>
      </c>
      <c r="BP206" t="s">
        <v>339</v>
      </c>
      <c r="BQ206" t="s">
        <v>340</v>
      </c>
      <c r="BR206" t="s">
        <v>94</v>
      </c>
    </row>
    <row r="207" spans="1:70" x14ac:dyDescent="0.3">
      <c r="A207" t="str">
        <f>"200147C0200"</f>
        <v>200147C0200</v>
      </c>
      <c r="B207" t="s">
        <v>520</v>
      </c>
      <c r="C207">
        <v>20</v>
      </c>
      <c r="D207" t="s">
        <v>88</v>
      </c>
      <c r="E207">
        <v>26</v>
      </c>
      <c r="F207" t="s">
        <v>516</v>
      </c>
      <c r="G207">
        <v>147</v>
      </c>
      <c r="H207">
        <v>2</v>
      </c>
      <c r="I207" t="s">
        <v>98</v>
      </c>
      <c r="J207">
        <v>0</v>
      </c>
      <c r="K207">
        <v>2</v>
      </c>
      <c r="L207">
        <v>5</v>
      </c>
      <c r="M207">
        <v>169</v>
      </c>
      <c r="N207">
        <v>420</v>
      </c>
      <c r="O207">
        <v>8</v>
      </c>
      <c r="P207" t="s">
        <v>105</v>
      </c>
      <c r="Q207">
        <v>13</v>
      </c>
      <c r="R207">
        <v>6</v>
      </c>
      <c r="S207">
        <v>120</v>
      </c>
      <c r="T207">
        <v>2</v>
      </c>
      <c r="U207">
        <v>6</v>
      </c>
      <c r="V207">
        <v>7</v>
      </c>
      <c r="W207">
        <v>44</v>
      </c>
      <c r="X207">
        <v>11</v>
      </c>
      <c r="Y207">
        <v>109</v>
      </c>
      <c r="Z207">
        <v>1</v>
      </c>
      <c r="AA207">
        <v>60</v>
      </c>
      <c r="AB207">
        <v>4</v>
      </c>
      <c r="AC207">
        <v>1</v>
      </c>
      <c r="AD207">
        <v>4</v>
      </c>
      <c r="AE207">
        <v>1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3</v>
      </c>
      <c r="AL207">
        <v>4</v>
      </c>
      <c r="AM207">
        <v>0</v>
      </c>
      <c r="AN207">
        <v>0</v>
      </c>
      <c r="BC207" t="s">
        <v>105</v>
      </c>
      <c r="BD207">
        <v>16</v>
      </c>
      <c r="BE207">
        <v>412</v>
      </c>
      <c r="BF207">
        <v>412</v>
      </c>
      <c r="BG207">
        <v>559</v>
      </c>
      <c r="BI207" t="s">
        <v>106</v>
      </c>
      <c r="BJ207">
        <v>1</v>
      </c>
      <c r="BL207" t="s">
        <v>521</v>
      </c>
      <c r="BM207" s="4">
        <v>43283.197916666664</v>
      </c>
      <c r="BN207" s="4">
        <v>43283.218206018515</v>
      </c>
      <c r="BO207" s="4">
        <v>43283.218206018515</v>
      </c>
      <c r="BP207" t="s">
        <v>92</v>
      </c>
      <c r="BQ207" t="s">
        <v>93</v>
      </c>
      <c r="BR207" t="s">
        <v>94</v>
      </c>
    </row>
    <row r="208" spans="1:70" x14ac:dyDescent="0.3">
      <c r="A208" t="str">
        <f>"200147E0100"</f>
        <v>200147E0100</v>
      </c>
      <c r="B208" s="2" t="s">
        <v>522</v>
      </c>
      <c r="C208">
        <v>20</v>
      </c>
      <c r="D208" t="s">
        <v>88</v>
      </c>
      <c r="E208">
        <v>26</v>
      </c>
      <c r="F208" t="s">
        <v>516</v>
      </c>
      <c r="G208">
        <v>147</v>
      </c>
      <c r="H208">
        <v>1</v>
      </c>
      <c r="I208" t="s">
        <v>156</v>
      </c>
      <c r="J208">
        <v>0</v>
      </c>
      <c r="K208">
        <v>2</v>
      </c>
      <c r="L208">
        <v>5</v>
      </c>
      <c r="M208">
        <v>247</v>
      </c>
      <c r="N208">
        <v>371</v>
      </c>
      <c r="O208">
        <v>12</v>
      </c>
      <c r="P208">
        <v>371</v>
      </c>
      <c r="Q208">
        <v>19</v>
      </c>
      <c r="R208">
        <v>16</v>
      </c>
      <c r="S208">
        <v>133</v>
      </c>
      <c r="T208">
        <v>4</v>
      </c>
      <c r="U208">
        <v>16</v>
      </c>
      <c r="V208">
        <v>5</v>
      </c>
      <c r="W208">
        <v>40</v>
      </c>
      <c r="X208">
        <v>5</v>
      </c>
      <c r="Y208">
        <v>61</v>
      </c>
      <c r="Z208">
        <v>4</v>
      </c>
      <c r="AA208">
        <v>47</v>
      </c>
      <c r="AB208">
        <v>2</v>
      </c>
      <c r="AC208">
        <v>0</v>
      </c>
      <c r="AD208">
        <v>1</v>
      </c>
      <c r="AE208">
        <v>0</v>
      </c>
      <c r="AF208">
        <v>0</v>
      </c>
      <c r="AG208">
        <v>0</v>
      </c>
      <c r="AH208">
        <v>0</v>
      </c>
      <c r="AI208" t="s">
        <v>105</v>
      </c>
      <c r="AJ208" t="s">
        <v>105</v>
      </c>
      <c r="AK208">
        <v>0</v>
      </c>
      <c r="AL208">
        <v>0</v>
      </c>
      <c r="AM208">
        <v>1</v>
      </c>
      <c r="AN208">
        <v>2</v>
      </c>
      <c r="BC208">
        <v>0</v>
      </c>
      <c r="BD208">
        <v>14</v>
      </c>
      <c r="BE208">
        <v>371</v>
      </c>
      <c r="BF208">
        <v>370</v>
      </c>
      <c r="BG208">
        <v>596</v>
      </c>
      <c r="BI208" t="s">
        <v>106</v>
      </c>
      <c r="BJ208">
        <v>1</v>
      </c>
      <c r="BL208" s="2" t="s">
        <v>523</v>
      </c>
      <c r="BM208" s="4">
        <v>43283.116666666669</v>
      </c>
      <c r="BN208" s="4">
        <v>43283.12263888889</v>
      </c>
      <c r="BO208" s="4">
        <v>43283.12263888889</v>
      </c>
      <c r="BP208" t="s">
        <v>92</v>
      </c>
      <c r="BQ208" t="s">
        <v>93</v>
      </c>
      <c r="BR208" t="s">
        <v>94</v>
      </c>
    </row>
    <row r="209" spans="1:70" x14ac:dyDescent="0.3">
      <c r="A209" t="str">
        <f>"200148B0100"</f>
        <v>200148B0100</v>
      </c>
      <c r="B209" t="s">
        <v>524</v>
      </c>
      <c r="C209">
        <v>20</v>
      </c>
      <c r="D209" t="s">
        <v>88</v>
      </c>
      <c r="E209">
        <v>26</v>
      </c>
      <c r="F209" t="s">
        <v>516</v>
      </c>
      <c r="G209">
        <v>148</v>
      </c>
      <c r="H209">
        <v>1</v>
      </c>
      <c r="I209" t="s">
        <v>90</v>
      </c>
      <c r="J209">
        <v>0</v>
      </c>
      <c r="K209">
        <v>2</v>
      </c>
      <c r="L209">
        <v>5</v>
      </c>
      <c r="M209">
        <v>232</v>
      </c>
      <c r="N209">
        <v>440</v>
      </c>
      <c r="O209">
        <v>12</v>
      </c>
      <c r="P209">
        <v>431</v>
      </c>
      <c r="Q209">
        <v>12</v>
      </c>
      <c r="R209">
        <v>12</v>
      </c>
      <c r="S209">
        <v>104</v>
      </c>
      <c r="T209">
        <v>1</v>
      </c>
      <c r="U209">
        <v>10</v>
      </c>
      <c r="V209">
        <v>4</v>
      </c>
      <c r="W209">
        <v>39</v>
      </c>
      <c r="X209">
        <v>6</v>
      </c>
      <c r="Y209">
        <v>117</v>
      </c>
      <c r="Z209">
        <v>4</v>
      </c>
      <c r="AA209">
        <v>93</v>
      </c>
      <c r="AB209">
        <v>3</v>
      </c>
      <c r="AC209">
        <v>2</v>
      </c>
      <c r="AD209">
        <v>1</v>
      </c>
      <c r="AE209">
        <v>0</v>
      </c>
      <c r="AF209">
        <v>0</v>
      </c>
      <c r="AG209">
        <v>1</v>
      </c>
      <c r="AH209">
        <v>0</v>
      </c>
      <c r="AI209">
        <v>0</v>
      </c>
      <c r="AJ209">
        <v>0</v>
      </c>
      <c r="AK209">
        <v>0</v>
      </c>
      <c r="AL209">
        <v>1</v>
      </c>
      <c r="AM209">
        <v>1</v>
      </c>
      <c r="AN209">
        <v>1</v>
      </c>
      <c r="BC209">
        <v>0</v>
      </c>
      <c r="BD209">
        <v>20</v>
      </c>
      <c r="BE209">
        <v>431</v>
      </c>
      <c r="BF209">
        <v>432</v>
      </c>
      <c r="BG209">
        <v>642</v>
      </c>
      <c r="BJ209">
        <v>1</v>
      </c>
      <c r="BL209" t="s">
        <v>525</v>
      </c>
      <c r="BM209" s="4">
        <v>43283.083333333336</v>
      </c>
      <c r="BN209" s="4">
        <v>43283.087523148148</v>
      </c>
      <c r="BO209" s="4">
        <v>43283.087523148148</v>
      </c>
      <c r="BP209" t="s">
        <v>92</v>
      </c>
      <c r="BQ209" t="s">
        <v>93</v>
      </c>
      <c r="BR209" t="s">
        <v>94</v>
      </c>
    </row>
    <row r="210" spans="1:70" x14ac:dyDescent="0.3">
      <c r="A210" t="str">
        <f>"200148C0100"</f>
        <v>200148C0100</v>
      </c>
      <c r="B210" t="s">
        <v>526</v>
      </c>
      <c r="C210">
        <v>20</v>
      </c>
      <c r="D210" t="s">
        <v>88</v>
      </c>
      <c r="E210">
        <v>26</v>
      </c>
      <c r="F210" t="s">
        <v>516</v>
      </c>
      <c r="G210">
        <v>148</v>
      </c>
      <c r="H210">
        <v>1</v>
      </c>
      <c r="I210" t="s">
        <v>98</v>
      </c>
      <c r="J210">
        <v>0</v>
      </c>
      <c r="K210">
        <v>2</v>
      </c>
      <c r="L210">
        <v>5</v>
      </c>
      <c r="M210">
        <v>239</v>
      </c>
      <c r="N210">
        <v>425</v>
      </c>
      <c r="O210">
        <v>6</v>
      </c>
      <c r="P210">
        <v>426</v>
      </c>
      <c r="Q210">
        <v>19</v>
      </c>
      <c r="R210">
        <v>4</v>
      </c>
      <c r="S210">
        <v>100</v>
      </c>
      <c r="T210">
        <v>4</v>
      </c>
      <c r="U210">
        <v>9</v>
      </c>
      <c r="V210">
        <v>6</v>
      </c>
      <c r="W210">
        <v>46</v>
      </c>
      <c r="X210">
        <v>8</v>
      </c>
      <c r="Y210">
        <v>141</v>
      </c>
      <c r="Z210">
        <v>2</v>
      </c>
      <c r="AA210">
        <v>61</v>
      </c>
      <c r="AB210">
        <v>7</v>
      </c>
      <c r="AC210">
        <v>1</v>
      </c>
      <c r="AD210">
        <v>2</v>
      </c>
      <c r="AE210" t="s">
        <v>105</v>
      </c>
      <c r="AF210" t="s">
        <v>105</v>
      </c>
      <c r="AG210" t="s">
        <v>105</v>
      </c>
      <c r="AH210" t="s">
        <v>105</v>
      </c>
      <c r="AI210" t="s">
        <v>105</v>
      </c>
      <c r="AJ210" t="s">
        <v>105</v>
      </c>
      <c r="AK210">
        <v>1</v>
      </c>
      <c r="AL210">
        <v>4</v>
      </c>
      <c r="AM210" t="s">
        <v>105</v>
      </c>
      <c r="AN210">
        <v>3</v>
      </c>
      <c r="BC210" t="s">
        <v>105</v>
      </c>
      <c r="BD210">
        <v>8</v>
      </c>
      <c r="BE210">
        <v>426</v>
      </c>
      <c r="BF210">
        <v>426</v>
      </c>
      <c r="BG210">
        <v>642</v>
      </c>
      <c r="BI210" t="s">
        <v>106</v>
      </c>
      <c r="BJ210">
        <v>1</v>
      </c>
      <c r="BL210" s="2" t="s">
        <v>527</v>
      </c>
      <c r="BM210" s="4">
        <v>43283.081250000003</v>
      </c>
      <c r="BN210" s="4">
        <v>43283.08494212963</v>
      </c>
      <c r="BO210" s="4">
        <v>43283.08494212963</v>
      </c>
      <c r="BP210" t="s">
        <v>92</v>
      </c>
      <c r="BQ210" t="s">
        <v>93</v>
      </c>
      <c r="BR210" t="s">
        <v>94</v>
      </c>
    </row>
    <row r="211" spans="1:70" x14ac:dyDescent="0.3">
      <c r="A211" t="str">
        <f>"200148C0200"</f>
        <v>200148C0200</v>
      </c>
      <c r="B211" t="s">
        <v>528</v>
      </c>
      <c r="C211">
        <v>20</v>
      </c>
      <c r="D211" t="s">
        <v>88</v>
      </c>
      <c r="E211">
        <v>26</v>
      </c>
      <c r="F211" t="s">
        <v>516</v>
      </c>
      <c r="G211">
        <v>148</v>
      </c>
      <c r="H211">
        <v>2</v>
      </c>
      <c r="I211" t="s">
        <v>98</v>
      </c>
      <c r="J211">
        <v>0</v>
      </c>
      <c r="K211">
        <v>2</v>
      </c>
      <c r="L211">
        <v>5</v>
      </c>
      <c r="M211">
        <v>236</v>
      </c>
      <c r="N211">
        <v>428</v>
      </c>
      <c r="O211">
        <v>9</v>
      </c>
      <c r="P211">
        <v>427</v>
      </c>
      <c r="Q211">
        <v>26</v>
      </c>
      <c r="R211">
        <v>7</v>
      </c>
      <c r="S211">
        <v>123</v>
      </c>
      <c r="T211">
        <v>1</v>
      </c>
      <c r="U211">
        <v>7</v>
      </c>
      <c r="V211">
        <v>10</v>
      </c>
      <c r="W211">
        <v>47</v>
      </c>
      <c r="X211">
        <v>9</v>
      </c>
      <c r="Y211">
        <v>96</v>
      </c>
      <c r="Z211">
        <v>6</v>
      </c>
      <c r="AA211">
        <v>68</v>
      </c>
      <c r="AB211">
        <v>3</v>
      </c>
      <c r="AC211">
        <v>5</v>
      </c>
      <c r="AD211">
        <v>0</v>
      </c>
      <c r="AE211">
        <v>0</v>
      </c>
      <c r="AF211">
        <v>0</v>
      </c>
      <c r="AG211">
        <v>1</v>
      </c>
      <c r="AH211">
        <v>0</v>
      </c>
      <c r="AI211">
        <v>1</v>
      </c>
      <c r="AJ211">
        <v>0</v>
      </c>
      <c r="AK211">
        <v>5</v>
      </c>
      <c r="AL211">
        <v>1</v>
      </c>
      <c r="AM211">
        <v>0</v>
      </c>
      <c r="AN211">
        <v>1</v>
      </c>
      <c r="BC211" t="s">
        <v>105</v>
      </c>
      <c r="BD211">
        <v>10</v>
      </c>
      <c r="BE211">
        <v>427</v>
      </c>
      <c r="BF211">
        <v>427</v>
      </c>
      <c r="BG211">
        <v>642</v>
      </c>
      <c r="BI211" t="s">
        <v>106</v>
      </c>
      <c r="BJ211">
        <v>1</v>
      </c>
      <c r="BL211" t="s">
        <v>529</v>
      </c>
      <c r="BM211" s="4">
        <v>43283.077777777777</v>
      </c>
      <c r="BN211" s="4">
        <v>43283.087199074071</v>
      </c>
      <c r="BO211" s="4">
        <v>43283.087199074071</v>
      </c>
      <c r="BP211" t="s">
        <v>92</v>
      </c>
      <c r="BQ211" t="s">
        <v>93</v>
      </c>
      <c r="BR211" t="s">
        <v>94</v>
      </c>
    </row>
    <row r="212" spans="1:70" x14ac:dyDescent="0.3">
      <c r="A212" t="str">
        <f>"200148C0300"</f>
        <v>200148C0300</v>
      </c>
      <c r="B212" t="s">
        <v>530</v>
      </c>
      <c r="C212">
        <v>20</v>
      </c>
      <c r="D212" t="s">
        <v>88</v>
      </c>
      <c r="E212">
        <v>26</v>
      </c>
      <c r="F212" t="s">
        <v>516</v>
      </c>
      <c r="G212">
        <v>148</v>
      </c>
      <c r="H212">
        <v>3</v>
      </c>
      <c r="I212" t="s">
        <v>98</v>
      </c>
      <c r="J212">
        <v>0</v>
      </c>
      <c r="K212">
        <v>2</v>
      </c>
      <c r="L212">
        <v>5</v>
      </c>
      <c r="M212">
        <v>180</v>
      </c>
      <c r="N212">
        <v>484</v>
      </c>
      <c r="O212">
        <v>12</v>
      </c>
      <c r="P212">
        <v>484</v>
      </c>
      <c r="Q212">
        <v>19</v>
      </c>
      <c r="R212">
        <v>2</v>
      </c>
      <c r="S212">
        <v>121</v>
      </c>
      <c r="T212">
        <v>1</v>
      </c>
      <c r="U212">
        <v>13</v>
      </c>
      <c r="V212">
        <v>3</v>
      </c>
      <c r="W212">
        <v>51</v>
      </c>
      <c r="X212">
        <v>7</v>
      </c>
      <c r="Y212">
        <v>117</v>
      </c>
      <c r="Z212">
        <v>4</v>
      </c>
      <c r="AA212">
        <v>112</v>
      </c>
      <c r="AB212">
        <v>6</v>
      </c>
      <c r="AC212">
        <v>2</v>
      </c>
      <c r="AD212">
        <v>1</v>
      </c>
      <c r="AE212">
        <v>5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</v>
      </c>
      <c r="AL212">
        <v>0</v>
      </c>
      <c r="AM212">
        <v>0</v>
      </c>
      <c r="AN212">
        <v>2</v>
      </c>
      <c r="BC212" t="s">
        <v>105</v>
      </c>
      <c r="BD212">
        <v>17</v>
      </c>
      <c r="BE212">
        <v>484</v>
      </c>
      <c r="BF212">
        <v>484</v>
      </c>
      <c r="BG212">
        <v>642</v>
      </c>
      <c r="BI212" t="s">
        <v>106</v>
      </c>
      <c r="BJ212">
        <v>1</v>
      </c>
      <c r="BL212" t="s">
        <v>531</v>
      </c>
      <c r="BM212" s="4">
        <v>43283.027083333334</v>
      </c>
      <c r="BN212" s="4">
        <v>43283.031851851854</v>
      </c>
      <c r="BO212" s="4">
        <v>43283.031851851854</v>
      </c>
      <c r="BP212" t="s">
        <v>92</v>
      </c>
      <c r="BQ212" t="s">
        <v>93</v>
      </c>
      <c r="BR212" t="s">
        <v>94</v>
      </c>
    </row>
    <row r="213" spans="1:70" x14ac:dyDescent="0.3">
      <c r="A213" t="str">
        <f>"200148E0100"</f>
        <v>200148E0100</v>
      </c>
      <c r="B213" s="2" t="s">
        <v>532</v>
      </c>
      <c r="C213">
        <v>20</v>
      </c>
      <c r="D213" t="s">
        <v>88</v>
      </c>
      <c r="E213">
        <v>26</v>
      </c>
      <c r="F213" t="s">
        <v>516</v>
      </c>
      <c r="G213">
        <v>148</v>
      </c>
      <c r="H213">
        <v>1</v>
      </c>
      <c r="I213" t="s">
        <v>156</v>
      </c>
      <c r="J213">
        <v>0</v>
      </c>
      <c r="K213">
        <v>2</v>
      </c>
      <c r="L213">
        <v>5</v>
      </c>
      <c r="M213">
        <v>305</v>
      </c>
      <c r="N213">
        <v>456</v>
      </c>
      <c r="O213">
        <v>11</v>
      </c>
      <c r="P213">
        <v>456</v>
      </c>
      <c r="Q213">
        <v>28</v>
      </c>
      <c r="R213">
        <v>12</v>
      </c>
      <c r="S213">
        <v>118</v>
      </c>
      <c r="T213">
        <v>5</v>
      </c>
      <c r="U213">
        <v>23</v>
      </c>
      <c r="V213">
        <v>11</v>
      </c>
      <c r="W213">
        <v>35</v>
      </c>
      <c r="X213">
        <v>8</v>
      </c>
      <c r="Y213">
        <v>158</v>
      </c>
      <c r="Z213">
        <v>7</v>
      </c>
      <c r="AA213">
        <v>14</v>
      </c>
      <c r="AB213">
        <v>4</v>
      </c>
      <c r="AC213">
        <v>2</v>
      </c>
      <c r="AD213">
        <v>2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>
        <v>8</v>
      </c>
      <c r="AL213">
        <v>4</v>
      </c>
      <c r="AM213">
        <v>0</v>
      </c>
      <c r="AN213">
        <v>0</v>
      </c>
      <c r="BC213">
        <v>0</v>
      </c>
      <c r="BD213">
        <v>16</v>
      </c>
      <c r="BE213">
        <v>456</v>
      </c>
      <c r="BF213">
        <v>456</v>
      </c>
      <c r="BG213">
        <v>746</v>
      </c>
      <c r="BJ213">
        <v>1</v>
      </c>
      <c r="BL213" t="s">
        <v>533</v>
      </c>
      <c r="BM213" s="4">
        <v>43283.220833333333</v>
      </c>
      <c r="BN213" s="4">
        <v>43283.242893518516</v>
      </c>
      <c r="BO213" s="4">
        <v>43283.242893518516</v>
      </c>
      <c r="BP213" t="s">
        <v>92</v>
      </c>
      <c r="BQ213" t="s">
        <v>93</v>
      </c>
      <c r="BR213" t="s">
        <v>94</v>
      </c>
    </row>
    <row r="214" spans="1:70" x14ac:dyDescent="0.3">
      <c r="A214" t="str">
        <f>"200148E0101"</f>
        <v>200148E0101</v>
      </c>
      <c r="B214" s="2" t="s">
        <v>534</v>
      </c>
      <c r="C214">
        <v>20</v>
      </c>
      <c r="D214" t="s">
        <v>88</v>
      </c>
      <c r="E214">
        <v>26</v>
      </c>
      <c r="F214" t="s">
        <v>516</v>
      </c>
      <c r="G214">
        <v>148</v>
      </c>
      <c r="H214">
        <v>1</v>
      </c>
      <c r="I214" t="s">
        <v>156</v>
      </c>
      <c r="J214">
        <v>1</v>
      </c>
      <c r="K214">
        <v>2</v>
      </c>
      <c r="L214">
        <v>5</v>
      </c>
      <c r="M214">
        <v>275</v>
      </c>
      <c r="N214">
        <v>493</v>
      </c>
      <c r="O214">
        <v>6</v>
      </c>
      <c r="P214">
        <v>493</v>
      </c>
      <c r="Q214">
        <v>25</v>
      </c>
      <c r="R214">
        <v>17</v>
      </c>
      <c r="S214">
        <v>113</v>
      </c>
      <c r="T214">
        <v>1</v>
      </c>
      <c r="U214">
        <v>46</v>
      </c>
      <c r="V214">
        <v>10</v>
      </c>
      <c r="W214">
        <v>31</v>
      </c>
      <c r="X214">
        <v>4</v>
      </c>
      <c r="Y214">
        <v>200</v>
      </c>
      <c r="Z214">
        <v>8</v>
      </c>
      <c r="AA214">
        <v>10</v>
      </c>
      <c r="AB214">
        <v>5</v>
      </c>
      <c r="AC214">
        <v>2</v>
      </c>
      <c r="AD214">
        <v>1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7</v>
      </c>
      <c r="AL214">
        <v>2</v>
      </c>
      <c r="AM214">
        <v>0</v>
      </c>
      <c r="AN214">
        <v>2</v>
      </c>
      <c r="BC214">
        <v>0</v>
      </c>
      <c r="BD214">
        <v>9</v>
      </c>
      <c r="BE214">
        <v>493</v>
      </c>
      <c r="BF214">
        <v>493</v>
      </c>
      <c r="BG214">
        <v>746</v>
      </c>
      <c r="BJ214">
        <v>1</v>
      </c>
      <c r="BL214" t="s">
        <v>535</v>
      </c>
      <c r="BM214" s="4">
        <v>43283.223611111112</v>
      </c>
      <c r="BN214" s="4">
        <v>43283.247453703705</v>
      </c>
      <c r="BO214" s="4">
        <v>43283.247453703705</v>
      </c>
      <c r="BP214" t="s">
        <v>92</v>
      </c>
      <c r="BQ214" t="s">
        <v>93</v>
      </c>
      <c r="BR214" t="s">
        <v>94</v>
      </c>
    </row>
    <row r="215" spans="1:70" x14ac:dyDescent="0.3">
      <c r="A215" t="str">
        <f>"200148E0200"</f>
        <v>200148E0200</v>
      </c>
      <c r="B215" s="2" t="s">
        <v>536</v>
      </c>
      <c r="C215">
        <v>20</v>
      </c>
      <c r="D215" t="s">
        <v>88</v>
      </c>
      <c r="E215">
        <v>26</v>
      </c>
      <c r="F215" t="s">
        <v>516</v>
      </c>
      <c r="G215">
        <v>148</v>
      </c>
      <c r="H215">
        <v>2</v>
      </c>
      <c r="I215" t="s">
        <v>156</v>
      </c>
      <c r="J215">
        <v>0</v>
      </c>
      <c r="K215">
        <v>2</v>
      </c>
      <c r="L215">
        <v>5</v>
      </c>
      <c r="BG215">
        <v>482</v>
      </c>
      <c r="BI215" t="s">
        <v>122</v>
      </c>
      <c r="BJ215">
        <v>0</v>
      </c>
      <c r="BL215" t="s">
        <v>537</v>
      </c>
      <c r="BM215" s="4">
        <v>43283.259722222225</v>
      </c>
      <c r="BN215" s="4">
        <v>43283.277881944443</v>
      </c>
      <c r="BO215" s="4">
        <v>43283.277881944443</v>
      </c>
      <c r="BP215" t="s">
        <v>92</v>
      </c>
      <c r="BQ215" t="s">
        <v>93</v>
      </c>
      <c r="BR215" t="s">
        <v>94</v>
      </c>
    </row>
    <row r="216" spans="1:70" x14ac:dyDescent="0.3">
      <c r="A216" t="str">
        <f>"200149B0100"</f>
        <v>200149B0100</v>
      </c>
      <c r="B216" t="s">
        <v>538</v>
      </c>
      <c r="C216">
        <v>20</v>
      </c>
      <c r="D216" t="s">
        <v>88</v>
      </c>
      <c r="E216">
        <v>26</v>
      </c>
      <c r="F216" t="s">
        <v>516</v>
      </c>
      <c r="G216">
        <v>149</v>
      </c>
      <c r="H216">
        <v>1</v>
      </c>
      <c r="I216" t="s">
        <v>90</v>
      </c>
      <c r="J216">
        <v>0</v>
      </c>
      <c r="K216">
        <v>1</v>
      </c>
      <c r="L216">
        <v>5</v>
      </c>
      <c r="M216">
        <v>190</v>
      </c>
      <c r="N216">
        <v>410</v>
      </c>
      <c r="O216">
        <v>5</v>
      </c>
      <c r="P216">
        <v>413</v>
      </c>
      <c r="Q216">
        <v>15</v>
      </c>
      <c r="R216">
        <v>6</v>
      </c>
      <c r="S216">
        <v>107</v>
      </c>
      <c r="T216">
        <v>0</v>
      </c>
      <c r="U216">
        <v>7</v>
      </c>
      <c r="V216">
        <v>6</v>
      </c>
      <c r="W216">
        <v>49</v>
      </c>
      <c r="X216">
        <v>8</v>
      </c>
      <c r="Y216">
        <v>124</v>
      </c>
      <c r="Z216">
        <v>0</v>
      </c>
      <c r="AA216">
        <v>59</v>
      </c>
      <c r="AB216">
        <v>6</v>
      </c>
      <c r="AC216">
        <v>0</v>
      </c>
      <c r="AD216">
        <v>0</v>
      </c>
      <c r="AE216">
        <v>0</v>
      </c>
      <c r="AF216">
        <v>1</v>
      </c>
      <c r="AG216">
        <v>1</v>
      </c>
      <c r="AH216">
        <v>0</v>
      </c>
      <c r="AI216">
        <v>0</v>
      </c>
      <c r="AJ216">
        <v>0</v>
      </c>
      <c r="AK216">
        <v>2</v>
      </c>
      <c r="AL216">
        <v>1</v>
      </c>
      <c r="AM216">
        <v>0</v>
      </c>
      <c r="AN216">
        <v>2</v>
      </c>
      <c r="BC216">
        <v>1</v>
      </c>
      <c r="BD216">
        <v>18</v>
      </c>
      <c r="BE216">
        <v>413</v>
      </c>
      <c r="BF216">
        <v>413</v>
      </c>
      <c r="BG216">
        <v>588</v>
      </c>
      <c r="BJ216">
        <v>1</v>
      </c>
      <c r="BL216" t="s">
        <v>539</v>
      </c>
      <c r="BM216" s="4">
        <v>43283.100694444445</v>
      </c>
      <c r="BN216" s="4">
        <v>43283.104664351849</v>
      </c>
      <c r="BO216" s="4">
        <v>43283.104664351849</v>
      </c>
      <c r="BP216" t="s">
        <v>92</v>
      </c>
      <c r="BQ216" t="s">
        <v>93</v>
      </c>
      <c r="BR216" t="s">
        <v>94</v>
      </c>
    </row>
    <row r="217" spans="1:70" x14ac:dyDescent="0.3">
      <c r="A217" t="str">
        <f>"200149C0100"</f>
        <v>200149C0100</v>
      </c>
      <c r="B217" t="s">
        <v>540</v>
      </c>
      <c r="C217">
        <v>20</v>
      </c>
      <c r="D217" t="s">
        <v>88</v>
      </c>
      <c r="E217">
        <v>26</v>
      </c>
      <c r="F217" t="s">
        <v>516</v>
      </c>
      <c r="G217">
        <v>149</v>
      </c>
      <c r="H217">
        <v>1</v>
      </c>
      <c r="I217" t="s">
        <v>98</v>
      </c>
      <c r="J217">
        <v>0</v>
      </c>
      <c r="K217">
        <v>1</v>
      </c>
      <c r="L217">
        <v>5</v>
      </c>
      <c r="M217">
        <v>212</v>
      </c>
      <c r="N217">
        <v>408</v>
      </c>
      <c r="O217">
        <v>4</v>
      </c>
      <c r="P217" t="s">
        <v>105</v>
      </c>
      <c r="Q217">
        <v>16</v>
      </c>
      <c r="R217">
        <v>8</v>
      </c>
      <c r="S217">
        <v>85</v>
      </c>
      <c r="T217">
        <v>4</v>
      </c>
      <c r="U217">
        <v>10</v>
      </c>
      <c r="V217">
        <v>9</v>
      </c>
      <c r="W217">
        <v>47</v>
      </c>
      <c r="X217">
        <v>3</v>
      </c>
      <c r="Y217">
        <v>150</v>
      </c>
      <c r="Z217">
        <v>4</v>
      </c>
      <c r="AA217">
        <v>46</v>
      </c>
      <c r="AB217">
        <v>6</v>
      </c>
      <c r="AC217">
        <v>2</v>
      </c>
      <c r="AD217">
        <v>3</v>
      </c>
      <c r="AE217">
        <v>0</v>
      </c>
      <c r="AF217">
        <v>1</v>
      </c>
      <c r="AG217">
        <v>1</v>
      </c>
      <c r="AH217">
        <v>0</v>
      </c>
      <c r="AI217">
        <v>0</v>
      </c>
      <c r="AJ217">
        <v>0</v>
      </c>
      <c r="AK217">
        <v>0</v>
      </c>
      <c r="AL217">
        <v>1</v>
      </c>
      <c r="AM217">
        <v>0</v>
      </c>
      <c r="AN217">
        <v>1</v>
      </c>
      <c r="BC217">
        <v>0</v>
      </c>
      <c r="BD217">
        <v>12</v>
      </c>
      <c r="BE217">
        <v>409</v>
      </c>
      <c r="BF217">
        <v>409</v>
      </c>
      <c r="BG217">
        <v>588</v>
      </c>
      <c r="BJ217">
        <v>1</v>
      </c>
      <c r="BL217" t="s">
        <v>541</v>
      </c>
      <c r="BM217" s="4">
        <v>43283.099305555559</v>
      </c>
      <c r="BN217" s="4">
        <v>43283.102349537039</v>
      </c>
      <c r="BO217" s="4">
        <v>43283.102349537039</v>
      </c>
      <c r="BP217" t="s">
        <v>92</v>
      </c>
      <c r="BQ217" t="s">
        <v>93</v>
      </c>
      <c r="BR217" t="s">
        <v>94</v>
      </c>
    </row>
    <row r="218" spans="1:70" x14ac:dyDescent="0.3">
      <c r="A218" t="str">
        <f>"200149C0200"</f>
        <v>200149C0200</v>
      </c>
      <c r="B218" t="s">
        <v>542</v>
      </c>
      <c r="C218">
        <v>20</v>
      </c>
      <c r="D218" t="s">
        <v>88</v>
      </c>
      <c r="E218">
        <v>26</v>
      </c>
      <c r="F218" t="s">
        <v>516</v>
      </c>
      <c r="G218">
        <v>149</v>
      </c>
      <c r="H218">
        <v>2</v>
      </c>
      <c r="I218" t="s">
        <v>98</v>
      </c>
      <c r="J218">
        <v>0</v>
      </c>
      <c r="K218">
        <v>1</v>
      </c>
      <c r="L218">
        <v>5</v>
      </c>
      <c r="M218">
        <v>197</v>
      </c>
      <c r="N218">
        <v>410</v>
      </c>
      <c r="O218">
        <v>4</v>
      </c>
      <c r="P218">
        <v>408</v>
      </c>
      <c r="Q218">
        <v>12</v>
      </c>
      <c r="R218">
        <v>13</v>
      </c>
      <c r="S218">
        <v>98</v>
      </c>
      <c r="T218">
        <v>4</v>
      </c>
      <c r="U218">
        <v>10</v>
      </c>
      <c r="V218">
        <v>7</v>
      </c>
      <c r="W218">
        <v>53</v>
      </c>
      <c r="X218">
        <v>3</v>
      </c>
      <c r="Y218">
        <v>136</v>
      </c>
      <c r="Z218">
        <v>1</v>
      </c>
      <c r="AA218">
        <v>41</v>
      </c>
      <c r="AB218">
        <v>9</v>
      </c>
      <c r="AC218">
        <v>3</v>
      </c>
      <c r="AD218">
        <v>3</v>
      </c>
      <c r="AE218">
        <v>1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4</v>
      </c>
      <c r="AL218">
        <v>1</v>
      </c>
      <c r="AM218">
        <v>0</v>
      </c>
      <c r="AN218">
        <v>3</v>
      </c>
      <c r="BC218" t="s">
        <v>127</v>
      </c>
      <c r="BD218">
        <v>6</v>
      </c>
      <c r="BE218">
        <v>408</v>
      </c>
      <c r="BF218">
        <v>408</v>
      </c>
      <c r="BG218">
        <v>588</v>
      </c>
      <c r="BI218" t="s">
        <v>106</v>
      </c>
      <c r="BJ218">
        <v>1</v>
      </c>
      <c r="BL218" t="s">
        <v>543</v>
      </c>
      <c r="BM218" s="4">
        <v>43283.104166666664</v>
      </c>
      <c r="BN218" s="4">
        <v>43283.117118055554</v>
      </c>
      <c r="BO218" s="4">
        <v>43283.117118055554</v>
      </c>
      <c r="BP218" t="s">
        <v>92</v>
      </c>
      <c r="BQ218" t="s">
        <v>93</v>
      </c>
      <c r="BR218" t="s">
        <v>94</v>
      </c>
    </row>
    <row r="219" spans="1:70" x14ac:dyDescent="0.3">
      <c r="A219" t="str">
        <f>"200149C0300"</f>
        <v>200149C0300</v>
      </c>
      <c r="B219" t="s">
        <v>544</v>
      </c>
      <c r="C219">
        <v>20</v>
      </c>
      <c r="D219" t="s">
        <v>88</v>
      </c>
      <c r="E219">
        <v>26</v>
      </c>
      <c r="F219" t="s">
        <v>516</v>
      </c>
      <c r="G219">
        <v>149</v>
      </c>
      <c r="H219">
        <v>3</v>
      </c>
      <c r="I219" t="s">
        <v>98</v>
      </c>
      <c r="J219">
        <v>0</v>
      </c>
      <c r="K219">
        <v>1</v>
      </c>
      <c r="L219">
        <v>5</v>
      </c>
      <c r="M219">
        <v>172</v>
      </c>
      <c r="N219">
        <v>435</v>
      </c>
      <c r="O219">
        <v>7</v>
      </c>
      <c r="P219">
        <v>435</v>
      </c>
      <c r="Q219">
        <v>13</v>
      </c>
      <c r="R219">
        <v>12</v>
      </c>
      <c r="S219">
        <v>85</v>
      </c>
      <c r="T219">
        <v>2</v>
      </c>
      <c r="U219">
        <v>7</v>
      </c>
      <c r="V219">
        <v>6</v>
      </c>
      <c r="W219">
        <v>37</v>
      </c>
      <c r="X219">
        <v>8</v>
      </c>
      <c r="Y219">
        <v>164</v>
      </c>
      <c r="Z219">
        <v>2</v>
      </c>
      <c r="AA219">
        <v>65</v>
      </c>
      <c r="AB219">
        <v>10</v>
      </c>
      <c r="AC219">
        <v>0</v>
      </c>
      <c r="AD219">
        <v>2</v>
      </c>
      <c r="AE219">
        <v>2</v>
      </c>
      <c r="AF219">
        <v>1</v>
      </c>
      <c r="AG219">
        <v>0</v>
      </c>
      <c r="AH219">
        <v>0</v>
      </c>
      <c r="AI219">
        <v>0</v>
      </c>
      <c r="AJ219">
        <v>0</v>
      </c>
      <c r="AK219">
        <v>4</v>
      </c>
      <c r="AL219">
        <v>0</v>
      </c>
      <c r="AM219">
        <v>0</v>
      </c>
      <c r="AN219">
        <v>0</v>
      </c>
      <c r="BC219">
        <v>1</v>
      </c>
      <c r="BD219">
        <v>13</v>
      </c>
      <c r="BE219">
        <v>434</v>
      </c>
      <c r="BF219">
        <v>434</v>
      </c>
      <c r="BG219">
        <v>588</v>
      </c>
      <c r="BJ219">
        <v>1</v>
      </c>
      <c r="BL219" t="s">
        <v>545</v>
      </c>
      <c r="BM219" s="4">
        <v>43283.109722222223</v>
      </c>
      <c r="BN219" s="4">
        <v>43283.114340277774</v>
      </c>
      <c r="BO219" s="4">
        <v>43283.114340277774</v>
      </c>
      <c r="BP219" t="s">
        <v>92</v>
      </c>
      <c r="BQ219" t="s">
        <v>93</v>
      </c>
      <c r="BR219" t="s">
        <v>94</v>
      </c>
    </row>
    <row r="220" spans="1:70" x14ac:dyDescent="0.3">
      <c r="A220" t="str">
        <f>"200150B0100"</f>
        <v>200150B0100</v>
      </c>
      <c r="B220" t="s">
        <v>546</v>
      </c>
      <c r="C220">
        <v>20</v>
      </c>
      <c r="D220" t="s">
        <v>88</v>
      </c>
      <c r="E220">
        <v>26</v>
      </c>
      <c r="F220" t="s">
        <v>516</v>
      </c>
      <c r="G220">
        <v>150</v>
      </c>
      <c r="H220">
        <v>1</v>
      </c>
      <c r="I220" t="s">
        <v>90</v>
      </c>
      <c r="J220">
        <v>0</v>
      </c>
      <c r="K220">
        <v>1</v>
      </c>
      <c r="L220">
        <v>5</v>
      </c>
      <c r="M220">
        <v>185</v>
      </c>
      <c r="N220">
        <v>443</v>
      </c>
      <c r="O220">
        <v>9</v>
      </c>
      <c r="P220">
        <v>445</v>
      </c>
      <c r="Q220">
        <v>22</v>
      </c>
      <c r="R220">
        <v>12</v>
      </c>
      <c r="S220">
        <v>171</v>
      </c>
      <c r="T220">
        <v>0</v>
      </c>
      <c r="U220">
        <v>7</v>
      </c>
      <c r="V220">
        <v>9</v>
      </c>
      <c r="W220">
        <v>45</v>
      </c>
      <c r="X220">
        <v>6</v>
      </c>
      <c r="Y220">
        <v>89</v>
      </c>
      <c r="Z220">
        <v>2</v>
      </c>
      <c r="AA220">
        <v>47</v>
      </c>
      <c r="AB220">
        <v>3</v>
      </c>
      <c r="AC220">
        <v>5</v>
      </c>
      <c r="AD220">
        <v>1</v>
      </c>
      <c r="AE220">
        <v>0</v>
      </c>
      <c r="AF220">
        <v>1</v>
      </c>
      <c r="AG220">
        <v>1</v>
      </c>
      <c r="AH220">
        <v>0</v>
      </c>
      <c r="AI220">
        <v>0</v>
      </c>
      <c r="AJ220">
        <v>0</v>
      </c>
      <c r="AK220">
        <v>3</v>
      </c>
      <c r="AL220">
        <v>2</v>
      </c>
      <c r="AM220">
        <v>0</v>
      </c>
      <c r="AN220">
        <v>0</v>
      </c>
      <c r="BC220">
        <v>0</v>
      </c>
      <c r="BD220">
        <v>19</v>
      </c>
      <c r="BE220">
        <v>445</v>
      </c>
      <c r="BF220">
        <v>445</v>
      </c>
      <c r="BG220">
        <v>606</v>
      </c>
      <c r="BJ220">
        <v>1</v>
      </c>
      <c r="BL220" t="s">
        <v>547</v>
      </c>
      <c r="BM220" s="4">
        <v>43283.140972222223</v>
      </c>
      <c r="BN220" s="4">
        <v>43283.14644675926</v>
      </c>
      <c r="BO220" s="4">
        <v>43283.14644675926</v>
      </c>
      <c r="BP220" t="s">
        <v>92</v>
      </c>
      <c r="BQ220" t="s">
        <v>93</v>
      </c>
      <c r="BR220" t="s">
        <v>94</v>
      </c>
    </row>
    <row r="221" spans="1:70" x14ac:dyDescent="0.3">
      <c r="A221" t="str">
        <f>"200150C0100"</f>
        <v>200150C0100</v>
      </c>
      <c r="B221" t="s">
        <v>548</v>
      </c>
      <c r="C221">
        <v>20</v>
      </c>
      <c r="D221" t="s">
        <v>88</v>
      </c>
      <c r="E221">
        <v>26</v>
      </c>
      <c r="F221" t="s">
        <v>516</v>
      </c>
      <c r="G221">
        <v>150</v>
      </c>
      <c r="H221">
        <v>1</v>
      </c>
      <c r="I221" t="s">
        <v>98</v>
      </c>
      <c r="J221">
        <v>0</v>
      </c>
      <c r="K221">
        <v>1</v>
      </c>
      <c r="L221">
        <v>5</v>
      </c>
      <c r="M221">
        <v>218</v>
      </c>
      <c r="N221">
        <v>407</v>
      </c>
      <c r="O221">
        <v>8</v>
      </c>
      <c r="P221">
        <v>407</v>
      </c>
      <c r="Q221">
        <v>18</v>
      </c>
      <c r="R221">
        <v>5</v>
      </c>
      <c r="S221">
        <v>158</v>
      </c>
      <c r="T221">
        <v>0</v>
      </c>
      <c r="U221">
        <v>9</v>
      </c>
      <c r="V221">
        <v>7</v>
      </c>
      <c r="W221">
        <v>44</v>
      </c>
      <c r="X221">
        <v>2</v>
      </c>
      <c r="Y221">
        <v>80</v>
      </c>
      <c r="Z221">
        <v>3</v>
      </c>
      <c r="AA221">
        <v>45</v>
      </c>
      <c r="AB221">
        <v>10</v>
      </c>
      <c r="AC221">
        <v>3</v>
      </c>
      <c r="AD221">
        <v>3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5</v>
      </c>
      <c r="AL221">
        <v>0</v>
      </c>
      <c r="AM221">
        <v>0</v>
      </c>
      <c r="AN221">
        <v>0</v>
      </c>
      <c r="BC221">
        <v>0</v>
      </c>
      <c r="BD221" t="s">
        <v>105</v>
      </c>
      <c r="BE221" t="s">
        <v>105</v>
      </c>
      <c r="BF221">
        <v>392</v>
      </c>
      <c r="BG221">
        <v>605</v>
      </c>
      <c r="BI221" t="s">
        <v>106</v>
      </c>
      <c r="BJ221">
        <v>1</v>
      </c>
      <c r="BL221" t="s">
        <v>549</v>
      </c>
      <c r="BM221" s="4">
        <v>43283.14166666667</v>
      </c>
      <c r="BN221" s="4">
        <v>43283.146053240744</v>
      </c>
      <c r="BO221" s="4">
        <v>43283.146053240744</v>
      </c>
      <c r="BP221" t="s">
        <v>92</v>
      </c>
      <c r="BQ221" t="s">
        <v>93</v>
      </c>
      <c r="BR221" t="s">
        <v>94</v>
      </c>
    </row>
    <row r="222" spans="1:70" x14ac:dyDescent="0.3">
      <c r="A222" t="str">
        <f>"200150C0200"</f>
        <v>200150C0200</v>
      </c>
      <c r="B222" t="s">
        <v>550</v>
      </c>
      <c r="C222">
        <v>20</v>
      </c>
      <c r="D222" t="s">
        <v>88</v>
      </c>
      <c r="E222">
        <v>26</v>
      </c>
      <c r="F222" t="s">
        <v>516</v>
      </c>
      <c r="G222">
        <v>150</v>
      </c>
      <c r="H222">
        <v>2</v>
      </c>
      <c r="I222" t="s">
        <v>98</v>
      </c>
      <c r="J222">
        <v>0</v>
      </c>
      <c r="K222">
        <v>1</v>
      </c>
      <c r="L222">
        <v>5</v>
      </c>
      <c r="M222">
        <v>179</v>
      </c>
      <c r="N222">
        <v>448</v>
      </c>
      <c r="O222">
        <v>5</v>
      </c>
      <c r="P222">
        <v>448</v>
      </c>
      <c r="Q222">
        <v>15</v>
      </c>
      <c r="R222">
        <v>10</v>
      </c>
      <c r="S222">
        <v>190</v>
      </c>
      <c r="T222">
        <v>1</v>
      </c>
      <c r="U222">
        <v>9</v>
      </c>
      <c r="V222">
        <v>11</v>
      </c>
      <c r="W222">
        <v>43</v>
      </c>
      <c r="X222">
        <v>2</v>
      </c>
      <c r="Y222">
        <v>77</v>
      </c>
      <c r="Z222">
        <v>1</v>
      </c>
      <c r="AA222">
        <v>57</v>
      </c>
      <c r="AB222">
        <v>4</v>
      </c>
      <c r="AC222">
        <v>1</v>
      </c>
      <c r="AD222">
        <v>4</v>
      </c>
      <c r="AE222">
        <v>0</v>
      </c>
      <c r="AF222">
        <v>2</v>
      </c>
      <c r="AG222">
        <v>0</v>
      </c>
      <c r="AH222">
        <v>0</v>
      </c>
      <c r="AI222">
        <v>0</v>
      </c>
      <c r="AJ222">
        <v>0</v>
      </c>
      <c r="AK222">
        <v>3</v>
      </c>
      <c r="AL222">
        <v>1</v>
      </c>
      <c r="AM222">
        <v>0</v>
      </c>
      <c r="AN222">
        <v>1</v>
      </c>
      <c r="BC222">
        <v>1</v>
      </c>
      <c r="BD222">
        <v>15</v>
      </c>
      <c r="BE222">
        <v>448</v>
      </c>
      <c r="BF222">
        <v>448</v>
      </c>
      <c r="BG222">
        <v>605</v>
      </c>
      <c r="BJ222">
        <v>1</v>
      </c>
      <c r="BL222" t="s">
        <v>551</v>
      </c>
      <c r="BM222" s="4">
        <v>43283.143055555556</v>
      </c>
      <c r="BN222" s="4">
        <v>43283.151018518518</v>
      </c>
      <c r="BO222" s="4">
        <v>43283.151018518518</v>
      </c>
      <c r="BP222" t="s">
        <v>92</v>
      </c>
      <c r="BQ222" t="s">
        <v>93</v>
      </c>
      <c r="BR222" t="s">
        <v>94</v>
      </c>
    </row>
    <row r="223" spans="1:70" x14ac:dyDescent="0.3">
      <c r="A223" t="str">
        <f>"200151B0100"</f>
        <v>200151B0100</v>
      </c>
      <c r="B223" t="s">
        <v>552</v>
      </c>
      <c r="C223">
        <v>20</v>
      </c>
      <c r="D223" t="s">
        <v>88</v>
      </c>
      <c r="E223">
        <v>26</v>
      </c>
      <c r="F223" t="s">
        <v>516</v>
      </c>
      <c r="G223">
        <v>151</v>
      </c>
      <c r="H223">
        <v>1</v>
      </c>
      <c r="I223" t="s">
        <v>90</v>
      </c>
      <c r="J223">
        <v>0</v>
      </c>
      <c r="K223">
        <v>1</v>
      </c>
      <c r="L223">
        <v>5</v>
      </c>
      <c r="M223">
        <v>234</v>
      </c>
      <c r="N223">
        <v>530</v>
      </c>
      <c r="O223">
        <v>3</v>
      </c>
      <c r="P223">
        <v>528</v>
      </c>
      <c r="Q223">
        <v>21</v>
      </c>
      <c r="R223">
        <v>20</v>
      </c>
      <c r="S223">
        <v>104</v>
      </c>
      <c r="T223">
        <v>1</v>
      </c>
      <c r="U223">
        <v>6</v>
      </c>
      <c r="V223">
        <v>3</v>
      </c>
      <c r="W223">
        <v>176</v>
      </c>
      <c r="X223">
        <v>11</v>
      </c>
      <c r="Y223">
        <v>97</v>
      </c>
      <c r="Z223">
        <v>8</v>
      </c>
      <c r="AA223">
        <v>48</v>
      </c>
      <c r="AB223">
        <v>4</v>
      </c>
      <c r="AC223">
        <v>2</v>
      </c>
      <c r="AD223">
        <v>0</v>
      </c>
      <c r="AE223">
        <v>0</v>
      </c>
      <c r="AF223">
        <v>1</v>
      </c>
      <c r="AG223">
        <v>1</v>
      </c>
      <c r="AH223">
        <v>0</v>
      </c>
      <c r="AI223">
        <v>0</v>
      </c>
      <c r="AJ223">
        <v>0</v>
      </c>
      <c r="AK223">
        <v>1</v>
      </c>
      <c r="AL223">
        <v>3</v>
      </c>
      <c r="AM223">
        <v>0</v>
      </c>
      <c r="AN223">
        <v>0</v>
      </c>
      <c r="BC223">
        <v>0</v>
      </c>
      <c r="BD223">
        <v>21</v>
      </c>
      <c r="BE223">
        <v>528</v>
      </c>
      <c r="BF223">
        <v>528</v>
      </c>
      <c r="BG223">
        <v>738</v>
      </c>
      <c r="BJ223">
        <v>1</v>
      </c>
      <c r="BL223" t="s">
        <v>553</v>
      </c>
      <c r="BM223" s="4">
        <v>43283.210416666669</v>
      </c>
      <c r="BN223" s="4">
        <v>43283.232592592591</v>
      </c>
      <c r="BO223" s="4">
        <v>43283.232592592591</v>
      </c>
      <c r="BP223" t="s">
        <v>92</v>
      </c>
      <c r="BQ223" t="s">
        <v>93</v>
      </c>
      <c r="BR223" t="s">
        <v>94</v>
      </c>
    </row>
    <row r="224" spans="1:70" x14ac:dyDescent="0.3">
      <c r="A224" t="str">
        <f>"200151C0100"</f>
        <v>200151C0100</v>
      </c>
      <c r="B224" t="s">
        <v>554</v>
      </c>
      <c r="C224">
        <v>20</v>
      </c>
      <c r="D224" t="s">
        <v>88</v>
      </c>
      <c r="E224">
        <v>26</v>
      </c>
      <c r="F224" t="s">
        <v>516</v>
      </c>
      <c r="G224">
        <v>151</v>
      </c>
      <c r="H224">
        <v>1</v>
      </c>
      <c r="I224" t="s">
        <v>98</v>
      </c>
      <c r="J224">
        <v>0</v>
      </c>
      <c r="K224">
        <v>1</v>
      </c>
      <c r="L224">
        <v>5</v>
      </c>
      <c r="M224">
        <v>252</v>
      </c>
      <c r="N224">
        <v>510</v>
      </c>
      <c r="O224">
        <v>10</v>
      </c>
      <c r="P224">
        <v>0</v>
      </c>
      <c r="Q224">
        <v>20</v>
      </c>
      <c r="R224">
        <v>15</v>
      </c>
      <c r="S224">
        <v>102</v>
      </c>
      <c r="T224">
        <v>0</v>
      </c>
      <c r="U224">
        <v>8</v>
      </c>
      <c r="V224">
        <v>5</v>
      </c>
      <c r="W224">
        <v>171</v>
      </c>
      <c r="X224">
        <v>10</v>
      </c>
      <c r="Y224">
        <v>102</v>
      </c>
      <c r="Z224">
        <v>3</v>
      </c>
      <c r="AA224">
        <v>38</v>
      </c>
      <c r="AB224">
        <v>3</v>
      </c>
      <c r="AC224">
        <v>0</v>
      </c>
      <c r="AD224">
        <v>2</v>
      </c>
      <c r="AE224">
        <v>0</v>
      </c>
      <c r="AF224">
        <v>2</v>
      </c>
      <c r="AG224">
        <v>3</v>
      </c>
      <c r="AH224">
        <v>0</v>
      </c>
      <c r="AI224">
        <v>0</v>
      </c>
      <c r="AJ224">
        <v>0</v>
      </c>
      <c r="AK224">
        <v>10</v>
      </c>
      <c r="AL224">
        <v>0</v>
      </c>
      <c r="AM224">
        <v>1</v>
      </c>
      <c r="AN224">
        <v>2</v>
      </c>
      <c r="BC224">
        <v>0</v>
      </c>
      <c r="BD224">
        <v>10</v>
      </c>
      <c r="BE224">
        <v>507</v>
      </c>
      <c r="BF224">
        <v>507</v>
      </c>
      <c r="BG224">
        <v>738</v>
      </c>
      <c r="BJ224">
        <v>1</v>
      </c>
      <c r="BL224" t="s">
        <v>555</v>
      </c>
      <c r="BM224" s="4">
        <v>43283.213194444441</v>
      </c>
      <c r="BN224" s="4">
        <v>43283.234571759262</v>
      </c>
      <c r="BO224" s="4">
        <v>43283.234571759262</v>
      </c>
      <c r="BP224" t="s">
        <v>92</v>
      </c>
      <c r="BQ224" t="s">
        <v>93</v>
      </c>
      <c r="BR224" t="s">
        <v>94</v>
      </c>
    </row>
    <row r="225" spans="1:70" x14ac:dyDescent="0.3">
      <c r="A225" t="str">
        <f>"200151C0200"</f>
        <v>200151C0200</v>
      </c>
      <c r="B225" t="s">
        <v>556</v>
      </c>
      <c r="C225">
        <v>20</v>
      </c>
      <c r="D225" t="s">
        <v>88</v>
      </c>
      <c r="E225">
        <v>26</v>
      </c>
      <c r="F225" t="s">
        <v>516</v>
      </c>
      <c r="G225">
        <v>151</v>
      </c>
      <c r="H225">
        <v>2</v>
      </c>
      <c r="I225" t="s">
        <v>98</v>
      </c>
      <c r="J225">
        <v>0</v>
      </c>
      <c r="K225">
        <v>1</v>
      </c>
      <c r="L225">
        <v>5</v>
      </c>
      <c r="M225" t="s">
        <v>105</v>
      </c>
      <c r="N225">
        <v>513</v>
      </c>
      <c r="O225">
        <v>7</v>
      </c>
      <c r="P225">
        <v>507</v>
      </c>
      <c r="Q225">
        <v>10</v>
      </c>
      <c r="R225">
        <v>14</v>
      </c>
      <c r="S225">
        <v>83</v>
      </c>
      <c r="T225">
        <v>2</v>
      </c>
      <c r="U225">
        <v>10</v>
      </c>
      <c r="V225">
        <v>2</v>
      </c>
      <c r="W225">
        <v>171</v>
      </c>
      <c r="X225">
        <v>24</v>
      </c>
      <c r="Y225">
        <v>98</v>
      </c>
      <c r="Z225">
        <v>1</v>
      </c>
      <c r="AA225">
        <v>38</v>
      </c>
      <c r="AB225">
        <v>10</v>
      </c>
      <c r="AC225">
        <v>2</v>
      </c>
      <c r="AD225">
        <v>0</v>
      </c>
      <c r="AE225">
        <v>0</v>
      </c>
      <c r="AF225">
        <v>0</v>
      </c>
      <c r="AG225">
        <v>4</v>
      </c>
      <c r="AH225">
        <v>1</v>
      </c>
      <c r="AI225">
        <v>2</v>
      </c>
      <c r="AJ225">
        <v>0</v>
      </c>
      <c r="AK225">
        <v>6</v>
      </c>
      <c r="AL225">
        <v>3</v>
      </c>
      <c r="AM225">
        <v>0</v>
      </c>
      <c r="AN225">
        <v>1</v>
      </c>
      <c r="BC225">
        <v>0</v>
      </c>
      <c r="BD225">
        <v>25</v>
      </c>
      <c r="BE225">
        <v>507</v>
      </c>
      <c r="BF225">
        <v>507</v>
      </c>
      <c r="BG225">
        <v>738</v>
      </c>
      <c r="BJ225">
        <v>1</v>
      </c>
      <c r="BL225" t="s">
        <v>557</v>
      </c>
      <c r="BM225" s="4">
        <v>43283.216666666667</v>
      </c>
      <c r="BN225" s="4">
        <v>43283.23810185185</v>
      </c>
      <c r="BO225" s="4">
        <v>43283.23810185185</v>
      </c>
      <c r="BP225" t="s">
        <v>92</v>
      </c>
      <c r="BQ225" t="s">
        <v>93</v>
      </c>
      <c r="BR225" t="s">
        <v>94</v>
      </c>
    </row>
    <row r="226" spans="1:70" x14ac:dyDescent="0.3">
      <c r="A226" t="str">
        <f>"200151C0300"</f>
        <v>200151C0300</v>
      </c>
      <c r="B226" t="s">
        <v>558</v>
      </c>
      <c r="C226">
        <v>20</v>
      </c>
      <c r="D226" t="s">
        <v>88</v>
      </c>
      <c r="E226">
        <v>26</v>
      </c>
      <c r="F226" t="s">
        <v>516</v>
      </c>
      <c r="G226">
        <v>151</v>
      </c>
      <c r="H226">
        <v>3</v>
      </c>
      <c r="I226" t="s">
        <v>98</v>
      </c>
      <c r="J226">
        <v>0</v>
      </c>
      <c r="K226">
        <v>1</v>
      </c>
      <c r="L226">
        <v>5</v>
      </c>
      <c r="M226">
        <v>228</v>
      </c>
      <c r="N226">
        <v>532</v>
      </c>
      <c r="O226">
        <v>4</v>
      </c>
      <c r="P226">
        <v>532</v>
      </c>
      <c r="Q226">
        <v>15</v>
      </c>
      <c r="R226">
        <v>22</v>
      </c>
      <c r="S226">
        <v>92</v>
      </c>
      <c r="T226">
        <v>1</v>
      </c>
      <c r="U226">
        <v>6</v>
      </c>
      <c r="V226">
        <v>4</v>
      </c>
      <c r="W226">
        <v>161</v>
      </c>
      <c r="X226">
        <v>12</v>
      </c>
      <c r="Y226">
        <v>128</v>
      </c>
      <c r="Z226">
        <v>3</v>
      </c>
      <c r="AA226">
        <v>47</v>
      </c>
      <c r="AB226">
        <v>7</v>
      </c>
      <c r="AC226">
        <v>0</v>
      </c>
      <c r="AD226">
        <v>1</v>
      </c>
      <c r="AE226">
        <v>0</v>
      </c>
      <c r="AF226">
        <v>2</v>
      </c>
      <c r="AG226">
        <v>2</v>
      </c>
      <c r="AH226">
        <v>0</v>
      </c>
      <c r="AI226">
        <v>2</v>
      </c>
      <c r="AJ226">
        <v>0</v>
      </c>
      <c r="AK226">
        <v>0</v>
      </c>
      <c r="AL226">
        <v>0</v>
      </c>
      <c r="AM226">
        <v>0</v>
      </c>
      <c r="AN226">
        <v>0</v>
      </c>
      <c r="BC226">
        <v>0</v>
      </c>
      <c r="BD226">
        <v>23</v>
      </c>
      <c r="BE226" t="s">
        <v>105</v>
      </c>
      <c r="BF226">
        <v>528</v>
      </c>
      <c r="BG226">
        <v>738</v>
      </c>
      <c r="BJ226">
        <v>1</v>
      </c>
      <c r="BL226" t="s">
        <v>559</v>
      </c>
      <c r="BM226" s="4">
        <v>43283.21875</v>
      </c>
      <c r="BN226" s="4">
        <v>43283.241365740738</v>
      </c>
      <c r="BO226" s="4">
        <v>43283.241365740738</v>
      </c>
      <c r="BP226" t="s">
        <v>92</v>
      </c>
      <c r="BQ226" t="s">
        <v>93</v>
      </c>
      <c r="BR226" t="s">
        <v>94</v>
      </c>
    </row>
    <row r="227" spans="1:70" x14ac:dyDescent="0.3">
      <c r="A227" t="str">
        <f>"200152B0100"</f>
        <v>200152B0100</v>
      </c>
      <c r="B227" t="s">
        <v>560</v>
      </c>
      <c r="C227">
        <v>20</v>
      </c>
      <c r="D227" t="s">
        <v>88</v>
      </c>
      <c r="E227">
        <v>26</v>
      </c>
      <c r="F227" t="s">
        <v>516</v>
      </c>
      <c r="G227">
        <v>152</v>
      </c>
      <c r="H227">
        <v>1</v>
      </c>
      <c r="I227" t="s">
        <v>90</v>
      </c>
      <c r="J227">
        <v>0</v>
      </c>
      <c r="K227">
        <v>1</v>
      </c>
      <c r="L227">
        <v>5</v>
      </c>
      <c r="M227" t="s">
        <v>105</v>
      </c>
      <c r="N227">
        <v>424</v>
      </c>
      <c r="O227">
        <v>5</v>
      </c>
      <c r="P227" t="s">
        <v>105</v>
      </c>
      <c r="Q227">
        <v>20</v>
      </c>
      <c r="R227">
        <v>11</v>
      </c>
      <c r="S227">
        <v>63</v>
      </c>
      <c r="T227">
        <v>4</v>
      </c>
      <c r="U227">
        <v>7</v>
      </c>
      <c r="V227">
        <v>4</v>
      </c>
      <c r="W227">
        <v>102</v>
      </c>
      <c r="X227">
        <v>17</v>
      </c>
      <c r="Y227">
        <v>113</v>
      </c>
      <c r="Z227">
        <v>1</v>
      </c>
      <c r="AA227">
        <v>52</v>
      </c>
      <c r="AB227">
        <v>11</v>
      </c>
      <c r="AC227">
        <v>3</v>
      </c>
      <c r="AD227">
        <v>2</v>
      </c>
      <c r="AE227">
        <v>1</v>
      </c>
      <c r="AF227" t="s">
        <v>105</v>
      </c>
      <c r="AG227" t="s">
        <v>105</v>
      </c>
      <c r="AH227" t="s">
        <v>105</v>
      </c>
      <c r="AI227" t="s">
        <v>105</v>
      </c>
      <c r="AJ227" t="s">
        <v>105</v>
      </c>
      <c r="AK227">
        <v>6</v>
      </c>
      <c r="AL227" t="s">
        <v>105</v>
      </c>
      <c r="AM227" t="s">
        <v>105</v>
      </c>
      <c r="AN227" t="s">
        <v>105</v>
      </c>
      <c r="BC227" t="s">
        <v>105</v>
      </c>
      <c r="BD227" t="s">
        <v>105</v>
      </c>
      <c r="BE227" t="s">
        <v>105</v>
      </c>
      <c r="BF227">
        <v>417</v>
      </c>
      <c r="BG227">
        <v>584</v>
      </c>
      <c r="BI227" t="s">
        <v>106</v>
      </c>
      <c r="BJ227">
        <v>1</v>
      </c>
      <c r="BL227" t="s">
        <v>561</v>
      </c>
      <c r="BM227" s="4">
        <v>43283.11041666667</v>
      </c>
      <c r="BN227" s="4">
        <v>43283.11509259259</v>
      </c>
      <c r="BO227" s="4">
        <v>43283.11509259259</v>
      </c>
      <c r="BP227" t="s">
        <v>92</v>
      </c>
      <c r="BQ227" t="s">
        <v>93</v>
      </c>
      <c r="BR227" t="s">
        <v>94</v>
      </c>
    </row>
    <row r="228" spans="1:70" x14ac:dyDescent="0.3">
      <c r="A228" t="str">
        <f>"200152C0100"</f>
        <v>200152C0100</v>
      </c>
      <c r="B228" t="s">
        <v>562</v>
      </c>
      <c r="C228">
        <v>20</v>
      </c>
      <c r="D228" t="s">
        <v>88</v>
      </c>
      <c r="E228">
        <v>26</v>
      </c>
      <c r="F228" t="s">
        <v>516</v>
      </c>
      <c r="G228">
        <v>152</v>
      </c>
      <c r="H228">
        <v>1</v>
      </c>
      <c r="I228" t="s">
        <v>98</v>
      </c>
      <c r="J228">
        <v>0</v>
      </c>
      <c r="K228">
        <v>1</v>
      </c>
      <c r="L228">
        <v>5</v>
      </c>
      <c r="M228">
        <v>171</v>
      </c>
      <c r="N228">
        <v>435</v>
      </c>
      <c r="O228">
        <v>3</v>
      </c>
      <c r="P228">
        <v>435</v>
      </c>
      <c r="Q228">
        <v>27</v>
      </c>
      <c r="R228">
        <v>11</v>
      </c>
      <c r="S228">
        <v>83</v>
      </c>
      <c r="T228">
        <v>2</v>
      </c>
      <c r="U228">
        <v>9</v>
      </c>
      <c r="V228">
        <v>4</v>
      </c>
      <c r="W228">
        <v>124</v>
      </c>
      <c r="X228">
        <v>8</v>
      </c>
      <c r="Y228">
        <v>84</v>
      </c>
      <c r="Z228">
        <v>4</v>
      </c>
      <c r="AA228">
        <v>43</v>
      </c>
      <c r="AB228">
        <v>13</v>
      </c>
      <c r="AC228">
        <v>2</v>
      </c>
      <c r="AD228">
        <v>3</v>
      </c>
      <c r="AE228" t="s">
        <v>105</v>
      </c>
      <c r="AF228">
        <v>2</v>
      </c>
      <c r="AG228">
        <v>2</v>
      </c>
      <c r="AH228" t="s">
        <v>105</v>
      </c>
      <c r="AI228" t="s">
        <v>105</v>
      </c>
      <c r="AJ228" t="s">
        <v>105</v>
      </c>
      <c r="AK228">
        <v>2</v>
      </c>
      <c r="AL228">
        <v>1</v>
      </c>
      <c r="AM228" t="s">
        <v>105</v>
      </c>
      <c r="AN228" t="s">
        <v>105</v>
      </c>
      <c r="BC228" t="s">
        <v>105</v>
      </c>
      <c r="BD228">
        <v>11</v>
      </c>
      <c r="BE228">
        <v>435</v>
      </c>
      <c r="BF228">
        <v>435</v>
      </c>
      <c r="BG228">
        <v>584</v>
      </c>
      <c r="BI228" t="s">
        <v>106</v>
      </c>
      <c r="BJ228">
        <v>1</v>
      </c>
      <c r="BL228" t="s">
        <v>563</v>
      </c>
      <c r="BM228" s="4">
        <v>43283.111805555556</v>
      </c>
      <c r="BN228" s="4">
        <v>43283.130300925928</v>
      </c>
      <c r="BO228" s="4">
        <v>43283.130300925928</v>
      </c>
      <c r="BP228" t="s">
        <v>92</v>
      </c>
      <c r="BQ228" t="s">
        <v>93</v>
      </c>
      <c r="BR228" t="s">
        <v>94</v>
      </c>
    </row>
    <row r="229" spans="1:70" x14ac:dyDescent="0.3">
      <c r="A229" t="str">
        <f>"200152C0200"</f>
        <v>200152C0200</v>
      </c>
      <c r="B229" t="s">
        <v>564</v>
      </c>
      <c r="C229">
        <v>20</v>
      </c>
      <c r="D229" t="s">
        <v>88</v>
      </c>
      <c r="E229">
        <v>26</v>
      </c>
      <c r="F229" t="s">
        <v>516</v>
      </c>
      <c r="G229">
        <v>152</v>
      </c>
      <c r="H229">
        <v>2</v>
      </c>
      <c r="I229" t="s">
        <v>98</v>
      </c>
      <c r="J229">
        <v>0</v>
      </c>
      <c r="K229">
        <v>1</v>
      </c>
      <c r="L229">
        <v>5</v>
      </c>
      <c r="M229">
        <v>760</v>
      </c>
      <c r="N229">
        <v>453</v>
      </c>
      <c r="O229">
        <v>8</v>
      </c>
      <c r="P229">
        <v>453</v>
      </c>
      <c r="Q229">
        <v>18</v>
      </c>
      <c r="R229">
        <v>8</v>
      </c>
      <c r="S229">
        <v>95</v>
      </c>
      <c r="T229">
        <v>3</v>
      </c>
      <c r="U229">
        <v>7</v>
      </c>
      <c r="V229">
        <v>8</v>
      </c>
      <c r="W229">
        <v>119</v>
      </c>
      <c r="X229">
        <v>13</v>
      </c>
      <c r="Y229">
        <v>90</v>
      </c>
      <c r="Z229">
        <v>1</v>
      </c>
      <c r="AA229">
        <v>45</v>
      </c>
      <c r="AB229">
        <v>21</v>
      </c>
      <c r="AC229">
        <v>1</v>
      </c>
      <c r="AD229">
        <v>3</v>
      </c>
      <c r="AE229">
        <v>0</v>
      </c>
      <c r="AF229">
        <v>0</v>
      </c>
      <c r="AG229">
        <v>0</v>
      </c>
      <c r="AH229">
        <v>0</v>
      </c>
      <c r="AI229">
        <v>3</v>
      </c>
      <c r="AJ229">
        <v>0</v>
      </c>
      <c r="AK229">
        <v>2</v>
      </c>
      <c r="AL229">
        <v>2</v>
      </c>
      <c r="AM229">
        <v>1</v>
      </c>
      <c r="AN229">
        <v>0</v>
      </c>
      <c r="BC229" t="s">
        <v>105</v>
      </c>
      <c r="BD229">
        <v>13</v>
      </c>
      <c r="BE229">
        <v>453</v>
      </c>
      <c r="BF229">
        <v>453</v>
      </c>
      <c r="BG229">
        <v>583</v>
      </c>
      <c r="BI229" t="s">
        <v>106</v>
      </c>
      <c r="BJ229">
        <v>1</v>
      </c>
      <c r="BL229" t="s">
        <v>565</v>
      </c>
      <c r="BM229" s="4">
        <v>43283.113194444442</v>
      </c>
      <c r="BN229" s="4">
        <v>43283.118437500001</v>
      </c>
      <c r="BO229" s="4">
        <v>43283.118437500001</v>
      </c>
      <c r="BP229" t="s">
        <v>92</v>
      </c>
      <c r="BQ229" t="s">
        <v>93</v>
      </c>
      <c r="BR229" t="s">
        <v>94</v>
      </c>
    </row>
    <row r="230" spans="1:70" x14ac:dyDescent="0.3">
      <c r="A230" t="str">
        <f>"202455B0100"</f>
        <v>202455B0100</v>
      </c>
      <c r="B230" t="s">
        <v>566</v>
      </c>
      <c r="C230">
        <v>20</v>
      </c>
      <c r="D230" t="s">
        <v>88</v>
      </c>
      <c r="E230">
        <v>26</v>
      </c>
      <c r="F230" t="s">
        <v>516</v>
      </c>
      <c r="G230">
        <v>2455</v>
      </c>
      <c r="H230">
        <v>1</v>
      </c>
      <c r="I230" t="s">
        <v>90</v>
      </c>
      <c r="J230">
        <v>0</v>
      </c>
      <c r="K230">
        <v>2</v>
      </c>
      <c r="L230">
        <v>5</v>
      </c>
      <c r="M230">
        <v>98</v>
      </c>
      <c r="N230">
        <v>82</v>
      </c>
      <c r="O230">
        <v>9</v>
      </c>
      <c r="P230">
        <v>82</v>
      </c>
      <c r="Q230">
        <v>3</v>
      </c>
      <c r="R230">
        <v>4</v>
      </c>
      <c r="S230">
        <v>13</v>
      </c>
      <c r="T230">
        <v>0</v>
      </c>
      <c r="U230">
        <v>7</v>
      </c>
      <c r="V230">
        <v>0</v>
      </c>
      <c r="W230">
        <v>3</v>
      </c>
      <c r="X230">
        <v>0</v>
      </c>
      <c r="Y230">
        <v>41</v>
      </c>
      <c r="Z230">
        <v>1</v>
      </c>
      <c r="AA230">
        <v>3</v>
      </c>
      <c r="AB230">
        <v>0</v>
      </c>
      <c r="AC230">
        <v>1</v>
      </c>
      <c r="AD230">
        <v>0</v>
      </c>
      <c r="AE230">
        <v>0</v>
      </c>
      <c r="AF230">
        <v>0</v>
      </c>
      <c r="AG230">
        <v>0</v>
      </c>
      <c r="AH230">
        <v>1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BC230">
        <v>0</v>
      </c>
      <c r="BD230">
        <v>5</v>
      </c>
      <c r="BE230">
        <v>82</v>
      </c>
      <c r="BF230">
        <v>82</v>
      </c>
      <c r="BG230">
        <v>158</v>
      </c>
      <c r="BJ230">
        <v>1</v>
      </c>
      <c r="BL230" t="s">
        <v>567</v>
      </c>
      <c r="BM230" s="4">
        <v>43283.011805555558</v>
      </c>
      <c r="BN230" s="4">
        <v>43283.015949074077</v>
      </c>
      <c r="BO230" s="4">
        <v>43283.015949074077</v>
      </c>
      <c r="BP230" t="s">
        <v>92</v>
      </c>
      <c r="BQ230" t="s">
        <v>93</v>
      </c>
      <c r="BR230" t="s">
        <v>94</v>
      </c>
    </row>
    <row r="231" spans="1:70" x14ac:dyDescent="0.3">
      <c r="A231" t="str">
        <f>"200157B0100"</f>
        <v>200157B0100</v>
      </c>
      <c r="B231" t="s">
        <v>568</v>
      </c>
      <c r="C231">
        <v>20</v>
      </c>
      <c r="D231" t="s">
        <v>88</v>
      </c>
      <c r="E231">
        <v>28</v>
      </c>
      <c r="F231" t="s">
        <v>569</v>
      </c>
      <c r="G231">
        <v>157</v>
      </c>
      <c r="H231">
        <v>1</v>
      </c>
      <c r="I231" t="s">
        <v>90</v>
      </c>
      <c r="J231">
        <v>0</v>
      </c>
      <c r="K231">
        <v>2</v>
      </c>
      <c r="L231">
        <v>5</v>
      </c>
      <c r="M231">
        <v>193</v>
      </c>
      <c r="N231">
        <v>505</v>
      </c>
      <c r="O231">
        <v>2</v>
      </c>
      <c r="P231">
        <v>502</v>
      </c>
      <c r="Q231">
        <v>175</v>
      </c>
      <c r="R231">
        <v>136</v>
      </c>
      <c r="S231">
        <v>5</v>
      </c>
      <c r="U231">
        <v>5</v>
      </c>
      <c r="V231">
        <v>4</v>
      </c>
      <c r="X231">
        <v>2</v>
      </c>
      <c r="Y231">
        <v>134</v>
      </c>
      <c r="Z231">
        <v>5</v>
      </c>
      <c r="AA231">
        <v>1</v>
      </c>
      <c r="AB231">
        <v>0</v>
      </c>
      <c r="AC231">
        <v>0</v>
      </c>
      <c r="AD231">
        <v>2</v>
      </c>
      <c r="AE231">
        <v>0</v>
      </c>
      <c r="AF231">
        <v>0</v>
      </c>
      <c r="AK231">
        <v>4</v>
      </c>
      <c r="AL231">
        <v>0</v>
      </c>
      <c r="AM231">
        <v>0</v>
      </c>
      <c r="AN231">
        <v>3</v>
      </c>
      <c r="AU231">
        <v>3</v>
      </c>
      <c r="BC231">
        <v>0</v>
      </c>
      <c r="BD231">
        <v>23</v>
      </c>
      <c r="BE231">
        <v>502</v>
      </c>
      <c r="BF231">
        <v>502</v>
      </c>
      <c r="BG231">
        <v>676</v>
      </c>
      <c r="BJ231">
        <v>1</v>
      </c>
      <c r="BL231" t="s">
        <v>570</v>
      </c>
      <c r="BM231" s="4">
        <v>43283.248611111114</v>
      </c>
      <c r="BN231" s="4">
        <v>43283.27412037037</v>
      </c>
      <c r="BO231" s="4">
        <v>43283.27412037037</v>
      </c>
      <c r="BP231" t="s">
        <v>92</v>
      </c>
      <c r="BQ231" t="s">
        <v>93</v>
      </c>
      <c r="BR231" t="s">
        <v>94</v>
      </c>
    </row>
    <row r="232" spans="1:70" x14ac:dyDescent="0.3">
      <c r="A232" t="str">
        <f>"200157C0100"</f>
        <v>200157C0100</v>
      </c>
      <c r="B232" t="s">
        <v>571</v>
      </c>
      <c r="C232">
        <v>20</v>
      </c>
      <c r="D232" t="s">
        <v>88</v>
      </c>
      <c r="E232">
        <v>28</v>
      </c>
      <c r="F232" t="s">
        <v>569</v>
      </c>
      <c r="G232">
        <v>157</v>
      </c>
      <c r="H232">
        <v>1</v>
      </c>
      <c r="I232" t="s">
        <v>98</v>
      </c>
      <c r="J232">
        <v>0</v>
      </c>
      <c r="K232">
        <v>2</v>
      </c>
      <c r="L232">
        <v>5</v>
      </c>
      <c r="M232">
        <v>224</v>
      </c>
      <c r="N232">
        <v>475</v>
      </c>
      <c r="O232">
        <v>1</v>
      </c>
      <c r="P232">
        <v>471</v>
      </c>
      <c r="Q232">
        <v>153</v>
      </c>
      <c r="R232">
        <v>133</v>
      </c>
      <c r="S232">
        <v>6</v>
      </c>
      <c r="U232">
        <v>3</v>
      </c>
      <c r="V232">
        <v>2</v>
      </c>
      <c r="X232">
        <v>6</v>
      </c>
      <c r="Y232">
        <v>127</v>
      </c>
      <c r="Z232">
        <v>2</v>
      </c>
      <c r="AA232">
        <v>2</v>
      </c>
      <c r="AB232">
        <v>4</v>
      </c>
      <c r="AC232">
        <v>1</v>
      </c>
      <c r="AD232">
        <v>3</v>
      </c>
      <c r="AE232">
        <v>0</v>
      </c>
      <c r="AF232">
        <v>0</v>
      </c>
      <c r="AK232">
        <v>4</v>
      </c>
      <c r="AL232">
        <v>0</v>
      </c>
      <c r="AM232">
        <v>0</v>
      </c>
      <c r="AN232">
        <v>1</v>
      </c>
      <c r="AU232">
        <v>0</v>
      </c>
      <c r="BC232">
        <v>0</v>
      </c>
      <c r="BD232">
        <v>24</v>
      </c>
      <c r="BE232">
        <v>471</v>
      </c>
      <c r="BF232">
        <v>471</v>
      </c>
      <c r="BG232">
        <v>676</v>
      </c>
      <c r="BJ232">
        <v>1</v>
      </c>
      <c r="BL232" t="s">
        <v>572</v>
      </c>
      <c r="BM232" s="4">
        <v>43283.247916666667</v>
      </c>
      <c r="BN232" s="4">
        <v>43283.274768518517</v>
      </c>
      <c r="BO232" s="4">
        <v>43283.274768518517</v>
      </c>
      <c r="BP232" t="s">
        <v>92</v>
      </c>
      <c r="BQ232" t="s">
        <v>93</v>
      </c>
      <c r="BR232" t="s">
        <v>94</v>
      </c>
    </row>
    <row r="233" spans="1:70" x14ac:dyDescent="0.3">
      <c r="A233" t="str">
        <f>"200157C0200"</f>
        <v>200157C0200</v>
      </c>
      <c r="B233" t="s">
        <v>573</v>
      </c>
      <c r="C233">
        <v>20</v>
      </c>
      <c r="D233" t="s">
        <v>88</v>
      </c>
      <c r="E233">
        <v>28</v>
      </c>
      <c r="F233" t="s">
        <v>569</v>
      </c>
      <c r="G233">
        <v>157</v>
      </c>
      <c r="H233">
        <v>2</v>
      </c>
      <c r="I233" t="s">
        <v>98</v>
      </c>
      <c r="J233">
        <v>0</v>
      </c>
      <c r="K233">
        <v>2</v>
      </c>
      <c r="L233">
        <v>5</v>
      </c>
      <c r="M233">
        <v>192</v>
      </c>
      <c r="N233">
        <v>506</v>
      </c>
      <c r="O233">
        <v>0</v>
      </c>
      <c r="P233">
        <v>509</v>
      </c>
      <c r="Q233">
        <v>178</v>
      </c>
      <c r="R233">
        <v>121</v>
      </c>
      <c r="S233">
        <v>7</v>
      </c>
      <c r="U233">
        <v>6</v>
      </c>
      <c r="V233">
        <v>2</v>
      </c>
      <c r="X233">
        <v>5</v>
      </c>
      <c r="Y233">
        <v>157</v>
      </c>
      <c r="Z233">
        <v>3</v>
      </c>
      <c r="AA233">
        <v>1</v>
      </c>
      <c r="AB233">
        <v>4</v>
      </c>
      <c r="AC233">
        <v>1</v>
      </c>
      <c r="AD233">
        <v>1</v>
      </c>
      <c r="AE233">
        <v>0</v>
      </c>
      <c r="AF233">
        <v>1</v>
      </c>
      <c r="AK233">
        <v>2</v>
      </c>
      <c r="AL233">
        <v>1</v>
      </c>
      <c r="AM233">
        <v>1</v>
      </c>
      <c r="AN233">
        <v>1</v>
      </c>
      <c r="AU233">
        <v>2</v>
      </c>
      <c r="BC233">
        <v>0</v>
      </c>
      <c r="BD233">
        <v>15</v>
      </c>
      <c r="BE233">
        <v>509</v>
      </c>
      <c r="BF233">
        <v>509</v>
      </c>
      <c r="BG233">
        <v>676</v>
      </c>
      <c r="BJ233">
        <v>1</v>
      </c>
      <c r="BL233" t="s">
        <v>574</v>
      </c>
      <c r="BM233" s="4">
        <v>43283.271527777775</v>
      </c>
      <c r="BN233" s="4">
        <v>43283.297222222223</v>
      </c>
      <c r="BO233" s="4">
        <v>43283.297222222223</v>
      </c>
      <c r="BP233" t="s">
        <v>92</v>
      </c>
      <c r="BQ233" t="s">
        <v>93</v>
      </c>
      <c r="BR233" t="s">
        <v>94</v>
      </c>
    </row>
    <row r="234" spans="1:70" x14ac:dyDescent="0.3">
      <c r="A234" t="str">
        <f>"200157C0300"</f>
        <v>200157C0300</v>
      </c>
      <c r="B234" t="s">
        <v>575</v>
      </c>
      <c r="C234">
        <v>20</v>
      </c>
      <c r="D234" t="s">
        <v>88</v>
      </c>
      <c r="E234">
        <v>28</v>
      </c>
      <c r="F234" t="s">
        <v>569</v>
      </c>
      <c r="G234">
        <v>157</v>
      </c>
      <c r="H234">
        <v>3</v>
      </c>
      <c r="I234" t="s">
        <v>98</v>
      </c>
      <c r="J234">
        <v>0</v>
      </c>
      <c r="K234">
        <v>2</v>
      </c>
      <c r="L234">
        <v>5</v>
      </c>
      <c r="M234">
        <v>230</v>
      </c>
      <c r="N234">
        <v>469</v>
      </c>
      <c r="O234">
        <v>1</v>
      </c>
      <c r="P234">
        <v>471</v>
      </c>
      <c r="Q234">
        <v>184</v>
      </c>
      <c r="R234">
        <v>105</v>
      </c>
      <c r="S234">
        <v>3</v>
      </c>
      <c r="U234">
        <v>5</v>
      </c>
      <c r="V234">
        <v>9</v>
      </c>
      <c r="X234">
        <v>4</v>
      </c>
      <c r="Y234">
        <v>138</v>
      </c>
      <c r="Z234">
        <v>1</v>
      </c>
      <c r="AA234">
        <v>0</v>
      </c>
      <c r="AB234">
        <v>1</v>
      </c>
      <c r="AC234">
        <v>1</v>
      </c>
      <c r="AD234">
        <v>1</v>
      </c>
      <c r="AE234">
        <v>1</v>
      </c>
      <c r="AF234">
        <v>0</v>
      </c>
      <c r="AK234">
        <v>0</v>
      </c>
      <c r="AL234">
        <v>0</v>
      </c>
      <c r="AM234">
        <v>0</v>
      </c>
      <c r="AN234">
        <v>2</v>
      </c>
      <c r="AU234">
        <v>2</v>
      </c>
      <c r="BC234">
        <v>0</v>
      </c>
      <c r="BD234">
        <v>14</v>
      </c>
      <c r="BE234">
        <v>471</v>
      </c>
      <c r="BF234">
        <v>471</v>
      </c>
      <c r="BG234">
        <v>676</v>
      </c>
      <c r="BJ234">
        <v>1</v>
      </c>
      <c r="BL234" t="s">
        <v>576</v>
      </c>
      <c r="BM234" s="4">
        <v>43283.24722222222</v>
      </c>
      <c r="BN234" s="4">
        <v>43283.271608796298</v>
      </c>
      <c r="BO234" s="4">
        <v>43283.271608796298</v>
      </c>
      <c r="BP234" t="s">
        <v>92</v>
      </c>
      <c r="BQ234" t="s">
        <v>93</v>
      </c>
      <c r="BR234" t="s">
        <v>94</v>
      </c>
    </row>
    <row r="235" spans="1:70" x14ac:dyDescent="0.3">
      <c r="A235" t="str">
        <f>"200158B0100"</f>
        <v>200158B0100</v>
      </c>
      <c r="B235" t="s">
        <v>577</v>
      </c>
      <c r="C235">
        <v>20</v>
      </c>
      <c r="D235" t="s">
        <v>88</v>
      </c>
      <c r="E235">
        <v>28</v>
      </c>
      <c r="F235" t="s">
        <v>569</v>
      </c>
      <c r="G235">
        <v>158</v>
      </c>
      <c r="H235">
        <v>1</v>
      </c>
      <c r="I235" t="s">
        <v>90</v>
      </c>
      <c r="J235">
        <v>0</v>
      </c>
      <c r="K235">
        <v>1</v>
      </c>
      <c r="L235">
        <v>5</v>
      </c>
      <c r="M235">
        <v>228</v>
      </c>
      <c r="N235">
        <v>485</v>
      </c>
      <c r="O235">
        <v>1</v>
      </c>
      <c r="P235">
        <v>486</v>
      </c>
      <c r="Q235">
        <v>202</v>
      </c>
      <c r="R235">
        <v>67</v>
      </c>
      <c r="S235">
        <v>5</v>
      </c>
      <c r="U235">
        <v>14</v>
      </c>
      <c r="V235">
        <v>9</v>
      </c>
      <c r="X235">
        <v>2</v>
      </c>
      <c r="Y235">
        <v>152</v>
      </c>
      <c r="Z235">
        <v>5</v>
      </c>
      <c r="AA235">
        <v>0</v>
      </c>
      <c r="AB235">
        <v>8</v>
      </c>
      <c r="AC235">
        <v>0</v>
      </c>
      <c r="AD235">
        <v>0</v>
      </c>
      <c r="AE235">
        <v>0</v>
      </c>
      <c r="AF235">
        <v>0</v>
      </c>
      <c r="AK235">
        <v>1</v>
      </c>
      <c r="AL235">
        <v>1</v>
      </c>
      <c r="AM235">
        <v>1</v>
      </c>
      <c r="AN235">
        <v>0</v>
      </c>
      <c r="AU235">
        <v>0</v>
      </c>
      <c r="BC235">
        <v>0</v>
      </c>
      <c r="BD235">
        <v>19</v>
      </c>
      <c r="BE235">
        <v>486</v>
      </c>
      <c r="BF235">
        <v>486</v>
      </c>
      <c r="BG235">
        <v>691</v>
      </c>
      <c r="BJ235">
        <v>1</v>
      </c>
      <c r="BL235" t="s">
        <v>578</v>
      </c>
      <c r="BM235" s="4">
        <v>43283.251388888886</v>
      </c>
      <c r="BN235" s="4">
        <v>43283.282361111109</v>
      </c>
      <c r="BO235" s="4">
        <v>43283.282361111109</v>
      </c>
      <c r="BP235" t="s">
        <v>92</v>
      </c>
      <c r="BQ235" t="s">
        <v>93</v>
      </c>
      <c r="BR235" t="s">
        <v>94</v>
      </c>
    </row>
    <row r="236" spans="1:70" x14ac:dyDescent="0.3">
      <c r="A236" t="str">
        <f>"200158C0100"</f>
        <v>200158C0100</v>
      </c>
      <c r="B236" t="s">
        <v>579</v>
      </c>
      <c r="C236">
        <v>20</v>
      </c>
      <c r="D236" t="s">
        <v>88</v>
      </c>
      <c r="E236">
        <v>28</v>
      </c>
      <c r="F236" t="s">
        <v>569</v>
      </c>
      <c r="G236">
        <v>158</v>
      </c>
      <c r="H236">
        <v>1</v>
      </c>
      <c r="I236" t="s">
        <v>98</v>
      </c>
      <c r="J236">
        <v>0</v>
      </c>
      <c r="K236">
        <v>1</v>
      </c>
      <c r="L236">
        <v>5</v>
      </c>
      <c r="M236">
        <v>195</v>
      </c>
      <c r="N236">
        <v>516</v>
      </c>
      <c r="O236">
        <v>0</v>
      </c>
      <c r="P236">
        <v>516</v>
      </c>
      <c r="Q236">
        <v>210</v>
      </c>
      <c r="R236">
        <v>81</v>
      </c>
      <c r="S236">
        <v>2</v>
      </c>
      <c r="U236">
        <v>7</v>
      </c>
      <c r="V236">
        <v>3</v>
      </c>
      <c r="X236">
        <v>2</v>
      </c>
      <c r="Y236">
        <v>185</v>
      </c>
      <c r="Z236">
        <v>1</v>
      </c>
      <c r="AA236">
        <v>1</v>
      </c>
      <c r="AB236">
        <v>5</v>
      </c>
      <c r="AC236">
        <v>0</v>
      </c>
      <c r="AD236">
        <v>1</v>
      </c>
      <c r="AE236">
        <v>0</v>
      </c>
      <c r="AF236">
        <v>1</v>
      </c>
      <c r="AK236">
        <v>5</v>
      </c>
      <c r="AL236">
        <v>0</v>
      </c>
      <c r="AM236">
        <v>0</v>
      </c>
      <c r="AN236">
        <v>2</v>
      </c>
      <c r="AU236">
        <v>1</v>
      </c>
      <c r="BC236">
        <v>0</v>
      </c>
      <c r="BD236">
        <v>14</v>
      </c>
      <c r="BE236">
        <v>516</v>
      </c>
      <c r="BF236">
        <v>521</v>
      </c>
      <c r="BG236">
        <v>691</v>
      </c>
      <c r="BJ236">
        <v>1</v>
      </c>
      <c r="BL236" t="s">
        <v>580</v>
      </c>
      <c r="BM236" s="4">
        <v>43283.251388888886</v>
      </c>
      <c r="BN236" s="4">
        <v>43283.289085648146</v>
      </c>
      <c r="BO236" s="4">
        <v>43283.289085648146</v>
      </c>
      <c r="BP236" t="s">
        <v>92</v>
      </c>
      <c r="BQ236" t="s">
        <v>93</v>
      </c>
      <c r="BR236" t="s">
        <v>94</v>
      </c>
    </row>
    <row r="237" spans="1:70" x14ac:dyDescent="0.3">
      <c r="A237" t="str">
        <f>"200158C0200"</f>
        <v>200158C0200</v>
      </c>
      <c r="B237" t="s">
        <v>581</v>
      </c>
      <c r="C237">
        <v>20</v>
      </c>
      <c r="D237" t="s">
        <v>88</v>
      </c>
      <c r="E237">
        <v>28</v>
      </c>
      <c r="F237" t="s">
        <v>569</v>
      </c>
      <c r="G237">
        <v>158</v>
      </c>
      <c r="H237">
        <v>2</v>
      </c>
      <c r="I237" t="s">
        <v>98</v>
      </c>
      <c r="J237">
        <v>0</v>
      </c>
      <c r="K237">
        <v>1</v>
      </c>
      <c r="L237">
        <v>5</v>
      </c>
      <c r="M237">
        <v>197</v>
      </c>
      <c r="N237">
        <v>511</v>
      </c>
      <c r="O237">
        <v>0</v>
      </c>
      <c r="P237">
        <v>505</v>
      </c>
      <c r="Q237">
        <v>207</v>
      </c>
      <c r="R237">
        <v>79</v>
      </c>
      <c r="S237">
        <v>4</v>
      </c>
      <c r="U237">
        <v>8</v>
      </c>
      <c r="V237">
        <v>6</v>
      </c>
      <c r="X237">
        <v>4</v>
      </c>
      <c r="Y237">
        <v>162</v>
      </c>
      <c r="Z237">
        <v>2</v>
      </c>
      <c r="AA237">
        <v>1</v>
      </c>
      <c r="AB237">
        <v>6</v>
      </c>
      <c r="AC237">
        <v>2</v>
      </c>
      <c r="AD237">
        <v>0</v>
      </c>
      <c r="AE237">
        <v>1</v>
      </c>
      <c r="AF237">
        <v>0</v>
      </c>
      <c r="AK237">
        <v>5</v>
      </c>
      <c r="AL237">
        <v>1</v>
      </c>
      <c r="AM237">
        <v>1</v>
      </c>
      <c r="AN237">
        <v>6</v>
      </c>
      <c r="AU237">
        <v>2</v>
      </c>
      <c r="BC237">
        <v>0</v>
      </c>
      <c r="BD237">
        <v>17</v>
      </c>
      <c r="BE237">
        <v>514</v>
      </c>
      <c r="BF237">
        <v>514</v>
      </c>
      <c r="BG237">
        <v>690</v>
      </c>
      <c r="BJ237">
        <v>1</v>
      </c>
      <c r="BL237" t="s">
        <v>582</v>
      </c>
      <c r="BM237" s="4">
        <v>43283.25</v>
      </c>
      <c r="BN237" s="4">
        <v>43283.277465277781</v>
      </c>
      <c r="BO237" s="4">
        <v>43283.277465277781</v>
      </c>
      <c r="BP237" t="s">
        <v>92</v>
      </c>
      <c r="BQ237" t="s">
        <v>93</v>
      </c>
      <c r="BR237" t="s">
        <v>94</v>
      </c>
    </row>
    <row r="238" spans="1:70" x14ac:dyDescent="0.3">
      <c r="A238" t="str">
        <f>"200159B0100"</f>
        <v>200159B0100</v>
      </c>
      <c r="B238" t="s">
        <v>583</v>
      </c>
      <c r="C238">
        <v>20</v>
      </c>
      <c r="D238" t="s">
        <v>88</v>
      </c>
      <c r="E238">
        <v>28</v>
      </c>
      <c r="F238" t="s">
        <v>569</v>
      </c>
      <c r="G238">
        <v>159</v>
      </c>
      <c r="H238">
        <v>1</v>
      </c>
      <c r="I238" t="s">
        <v>90</v>
      </c>
      <c r="J238">
        <v>0</v>
      </c>
      <c r="K238">
        <v>1</v>
      </c>
      <c r="L238">
        <v>5</v>
      </c>
      <c r="M238">
        <v>159</v>
      </c>
      <c r="N238">
        <v>394</v>
      </c>
      <c r="O238">
        <v>0</v>
      </c>
      <c r="P238">
        <v>394</v>
      </c>
      <c r="Q238">
        <v>186</v>
      </c>
      <c r="R238">
        <v>60</v>
      </c>
      <c r="S238">
        <v>0</v>
      </c>
      <c r="U238">
        <v>3</v>
      </c>
      <c r="V238">
        <v>4</v>
      </c>
      <c r="X238">
        <v>1</v>
      </c>
      <c r="Y238">
        <v>115</v>
      </c>
      <c r="Z238">
        <v>0</v>
      </c>
      <c r="AA238">
        <v>2</v>
      </c>
      <c r="AB238">
        <v>6</v>
      </c>
      <c r="AC238">
        <v>0</v>
      </c>
      <c r="AD238">
        <v>0</v>
      </c>
      <c r="AE238">
        <v>0</v>
      </c>
      <c r="AF238">
        <v>2</v>
      </c>
      <c r="AK238">
        <v>5</v>
      </c>
      <c r="AL238">
        <v>1</v>
      </c>
      <c r="AM238">
        <v>1</v>
      </c>
      <c r="AN238">
        <v>0</v>
      </c>
      <c r="AU238">
        <v>1</v>
      </c>
      <c r="BC238">
        <v>0</v>
      </c>
      <c r="BD238">
        <v>9</v>
      </c>
      <c r="BE238">
        <v>394</v>
      </c>
      <c r="BF238">
        <v>396</v>
      </c>
      <c r="BG238">
        <v>531</v>
      </c>
      <c r="BJ238">
        <v>1</v>
      </c>
      <c r="BL238" t="s">
        <v>584</v>
      </c>
      <c r="BM238" s="4">
        <v>43283.177777777775</v>
      </c>
      <c r="BN238" s="4">
        <v>43283.195497685185</v>
      </c>
      <c r="BO238" s="4">
        <v>43283.195497685185</v>
      </c>
      <c r="BP238" t="s">
        <v>92</v>
      </c>
      <c r="BQ238" t="s">
        <v>93</v>
      </c>
      <c r="BR238" t="s">
        <v>94</v>
      </c>
    </row>
    <row r="239" spans="1:70" x14ac:dyDescent="0.3">
      <c r="A239" t="str">
        <f>"200159C0100"</f>
        <v>200159C0100</v>
      </c>
      <c r="B239" t="s">
        <v>585</v>
      </c>
      <c r="C239">
        <v>20</v>
      </c>
      <c r="D239" t="s">
        <v>88</v>
      </c>
      <c r="E239">
        <v>28</v>
      </c>
      <c r="F239" t="s">
        <v>569</v>
      </c>
      <c r="G239">
        <v>159</v>
      </c>
      <c r="H239">
        <v>1</v>
      </c>
      <c r="I239" t="s">
        <v>98</v>
      </c>
      <c r="J239">
        <v>0</v>
      </c>
      <c r="K239">
        <v>1</v>
      </c>
      <c r="L239">
        <v>5</v>
      </c>
      <c r="M239">
        <v>145</v>
      </c>
      <c r="N239">
        <v>407</v>
      </c>
      <c r="O239">
        <v>0</v>
      </c>
      <c r="P239">
        <v>406</v>
      </c>
      <c r="Q239">
        <v>158</v>
      </c>
      <c r="R239">
        <v>66</v>
      </c>
      <c r="S239">
        <v>2</v>
      </c>
      <c r="U239">
        <v>7</v>
      </c>
      <c r="V239">
        <v>7</v>
      </c>
      <c r="X239">
        <v>2</v>
      </c>
      <c r="Y239">
        <v>135</v>
      </c>
      <c r="Z239">
        <v>4</v>
      </c>
      <c r="AA239">
        <v>1</v>
      </c>
      <c r="AB239">
        <v>4</v>
      </c>
      <c r="AC239">
        <v>1</v>
      </c>
      <c r="AD239">
        <v>0</v>
      </c>
      <c r="AE239">
        <v>0</v>
      </c>
      <c r="AF239">
        <v>1</v>
      </c>
      <c r="AK239">
        <v>4</v>
      </c>
      <c r="AL239">
        <v>0</v>
      </c>
      <c r="AM239">
        <v>0</v>
      </c>
      <c r="AN239">
        <v>1</v>
      </c>
      <c r="AU239">
        <v>1</v>
      </c>
      <c r="BC239">
        <v>0</v>
      </c>
      <c r="BD239">
        <v>12</v>
      </c>
      <c r="BE239">
        <v>406</v>
      </c>
      <c r="BF239">
        <v>406</v>
      </c>
      <c r="BG239">
        <v>530</v>
      </c>
      <c r="BJ239">
        <v>1</v>
      </c>
      <c r="BL239" t="s">
        <v>586</v>
      </c>
      <c r="BM239" s="4">
        <v>43283.177777777775</v>
      </c>
      <c r="BN239" s="4">
        <v>43283.194386574076</v>
      </c>
      <c r="BO239" s="4">
        <v>43283.194386574076</v>
      </c>
      <c r="BP239" t="s">
        <v>92</v>
      </c>
      <c r="BQ239" t="s">
        <v>93</v>
      </c>
      <c r="BR239" t="s">
        <v>94</v>
      </c>
    </row>
    <row r="240" spans="1:70" x14ac:dyDescent="0.3">
      <c r="A240" t="str">
        <f>"200160B0100"</f>
        <v>200160B0100</v>
      </c>
      <c r="B240" t="s">
        <v>587</v>
      </c>
      <c r="C240">
        <v>20</v>
      </c>
      <c r="D240" t="s">
        <v>88</v>
      </c>
      <c r="E240">
        <v>28</v>
      </c>
      <c r="F240" t="s">
        <v>569</v>
      </c>
      <c r="G240">
        <v>160</v>
      </c>
      <c r="H240">
        <v>1</v>
      </c>
      <c r="I240" t="s">
        <v>90</v>
      </c>
      <c r="J240">
        <v>0</v>
      </c>
      <c r="K240">
        <v>2</v>
      </c>
      <c r="L240">
        <v>5</v>
      </c>
      <c r="M240">
        <v>171</v>
      </c>
      <c r="N240">
        <v>457</v>
      </c>
      <c r="O240">
        <v>0</v>
      </c>
      <c r="P240">
        <v>456</v>
      </c>
      <c r="Q240">
        <v>170</v>
      </c>
      <c r="R240">
        <v>128</v>
      </c>
      <c r="S240">
        <v>0</v>
      </c>
      <c r="U240">
        <v>4</v>
      </c>
      <c r="V240">
        <v>0</v>
      </c>
      <c r="X240">
        <v>1</v>
      </c>
      <c r="Y240">
        <v>119</v>
      </c>
      <c r="Z240">
        <v>2</v>
      </c>
      <c r="AA240">
        <v>1</v>
      </c>
      <c r="AB240">
        <v>5</v>
      </c>
      <c r="AC240">
        <v>1</v>
      </c>
      <c r="AD240">
        <v>1</v>
      </c>
      <c r="AE240">
        <v>1</v>
      </c>
      <c r="AF240">
        <v>0</v>
      </c>
      <c r="AK240">
        <v>1</v>
      </c>
      <c r="AL240">
        <v>2</v>
      </c>
      <c r="AM240">
        <v>0</v>
      </c>
      <c r="AN240">
        <v>2</v>
      </c>
      <c r="AU240">
        <v>1</v>
      </c>
      <c r="BC240">
        <v>0</v>
      </c>
      <c r="BD240">
        <v>17</v>
      </c>
      <c r="BE240">
        <v>456</v>
      </c>
      <c r="BF240">
        <v>456</v>
      </c>
      <c r="BG240">
        <v>605</v>
      </c>
      <c r="BJ240">
        <v>1</v>
      </c>
      <c r="BL240" t="s">
        <v>588</v>
      </c>
      <c r="BM240" s="4">
        <v>43283.09097222222</v>
      </c>
      <c r="BN240" s="4">
        <v>43283.095925925925</v>
      </c>
      <c r="BO240" s="4">
        <v>43283.095925925925</v>
      </c>
      <c r="BP240" t="s">
        <v>92</v>
      </c>
      <c r="BQ240" t="s">
        <v>93</v>
      </c>
      <c r="BR240" t="s">
        <v>94</v>
      </c>
    </row>
    <row r="241" spans="1:70" x14ac:dyDescent="0.3">
      <c r="A241" t="str">
        <f>"200160C0100"</f>
        <v>200160C0100</v>
      </c>
      <c r="B241" t="s">
        <v>589</v>
      </c>
      <c r="C241">
        <v>20</v>
      </c>
      <c r="D241" t="s">
        <v>88</v>
      </c>
      <c r="E241">
        <v>28</v>
      </c>
      <c r="F241" t="s">
        <v>569</v>
      </c>
      <c r="G241">
        <v>160</v>
      </c>
      <c r="H241">
        <v>1</v>
      </c>
      <c r="I241" t="s">
        <v>98</v>
      </c>
      <c r="J241">
        <v>0</v>
      </c>
      <c r="K241">
        <v>2</v>
      </c>
      <c r="L241">
        <v>5</v>
      </c>
      <c r="M241">
        <v>172</v>
      </c>
      <c r="N241">
        <v>453</v>
      </c>
      <c r="O241">
        <v>2</v>
      </c>
      <c r="P241">
        <v>453</v>
      </c>
      <c r="Q241">
        <v>148</v>
      </c>
      <c r="R241">
        <v>107</v>
      </c>
      <c r="S241">
        <v>5</v>
      </c>
      <c r="U241">
        <v>8</v>
      </c>
      <c r="V241">
        <v>7</v>
      </c>
      <c r="X241">
        <v>0</v>
      </c>
      <c r="Y241">
        <v>132</v>
      </c>
      <c r="Z241">
        <v>6</v>
      </c>
      <c r="AA241">
        <v>2</v>
      </c>
      <c r="AB241">
        <v>12</v>
      </c>
      <c r="AC241">
        <v>0</v>
      </c>
      <c r="AD241">
        <v>2</v>
      </c>
      <c r="AE241">
        <v>1</v>
      </c>
      <c r="AF241">
        <v>0</v>
      </c>
      <c r="AK241">
        <v>3</v>
      </c>
      <c r="AL241">
        <v>0</v>
      </c>
      <c r="AM241">
        <v>0</v>
      </c>
      <c r="AN241">
        <v>1</v>
      </c>
      <c r="AU241">
        <v>3</v>
      </c>
      <c r="BC241">
        <v>0</v>
      </c>
      <c r="BD241">
        <v>16</v>
      </c>
      <c r="BE241">
        <v>453</v>
      </c>
      <c r="BF241">
        <v>453</v>
      </c>
      <c r="BG241">
        <v>604</v>
      </c>
      <c r="BJ241">
        <v>1</v>
      </c>
      <c r="BL241" t="s">
        <v>590</v>
      </c>
      <c r="BM241" s="4">
        <v>43283.091666666667</v>
      </c>
      <c r="BN241" s="4">
        <v>43283.095636574071</v>
      </c>
      <c r="BO241" s="4">
        <v>43283.095636574071</v>
      </c>
      <c r="BP241" t="s">
        <v>92</v>
      </c>
      <c r="BQ241" t="s">
        <v>93</v>
      </c>
      <c r="BR241" t="s">
        <v>94</v>
      </c>
    </row>
    <row r="242" spans="1:70" x14ac:dyDescent="0.3">
      <c r="A242" t="str">
        <f>"200160C0200"</f>
        <v>200160C0200</v>
      </c>
      <c r="B242" t="s">
        <v>591</v>
      </c>
      <c r="C242">
        <v>20</v>
      </c>
      <c r="D242" t="s">
        <v>88</v>
      </c>
      <c r="E242">
        <v>28</v>
      </c>
      <c r="F242" t="s">
        <v>569</v>
      </c>
      <c r="G242">
        <v>160</v>
      </c>
      <c r="H242">
        <v>2</v>
      </c>
      <c r="I242" t="s">
        <v>98</v>
      </c>
      <c r="J242">
        <v>0</v>
      </c>
      <c r="K242">
        <v>2</v>
      </c>
      <c r="L242">
        <v>5</v>
      </c>
      <c r="M242">
        <v>149</v>
      </c>
      <c r="N242">
        <v>481</v>
      </c>
      <c r="O242">
        <v>5</v>
      </c>
      <c r="P242">
        <v>477</v>
      </c>
      <c r="Q242">
        <v>160</v>
      </c>
      <c r="R242">
        <v>125</v>
      </c>
      <c r="S242">
        <v>4</v>
      </c>
      <c r="U242">
        <v>3</v>
      </c>
      <c r="V242">
        <v>2</v>
      </c>
      <c r="X242">
        <v>2</v>
      </c>
      <c r="Y242">
        <v>133</v>
      </c>
      <c r="Z242">
        <v>6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0</v>
      </c>
      <c r="AK242">
        <v>1</v>
      </c>
      <c r="AL242">
        <v>1</v>
      </c>
      <c r="AM242">
        <v>0</v>
      </c>
      <c r="AN242">
        <v>0</v>
      </c>
      <c r="AU242">
        <v>3</v>
      </c>
      <c r="BC242">
        <v>1</v>
      </c>
      <c r="BD242">
        <v>24</v>
      </c>
      <c r="BE242">
        <v>477</v>
      </c>
      <c r="BF242">
        <v>477</v>
      </c>
      <c r="BG242">
        <v>604</v>
      </c>
      <c r="BJ242">
        <v>1</v>
      </c>
      <c r="BL242" t="s">
        <v>592</v>
      </c>
      <c r="BM242" s="4">
        <v>43283.092361111114</v>
      </c>
      <c r="BN242" s="4">
        <v>43283.096689814818</v>
      </c>
      <c r="BO242" s="4">
        <v>43283.096689814818</v>
      </c>
      <c r="BP242" t="s">
        <v>92</v>
      </c>
      <c r="BQ242" t="s">
        <v>93</v>
      </c>
      <c r="BR242" t="s">
        <v>94</v>
      </c>
    </row>
    <row r="243" spans="1:70" x14ac:dyDescent="0.3">
      <c r="A243" t="str">
        <f>"200160S0100"</f>
        <v>200160S0100</v>
      </c>
      <c r="B243" t="s">
        <v>593</v>
      </c>
      <c r="C243">
        <v>20</v>
      </c>
      <c r="D243" t="s">
        <v>88</v>
      </c>
      <c r="E243">
        <v>28</v>
      </c>
      <c r="F243" t="s">
        <v>569</v>
      </c>
      <c r="G243">
        <v>160</v>
      </c>
      <c r="H243">
        <v>1</v>
      </c>
      <c r="I243" t="s">
        <v>113</v>
      </c>
      <c r="J243">
        <v>0</v>
      </c>
      <c r="K243">
        <v>2</v>
      </c>
      <c r="L243">
        <v>6</v>
      </c>
      <c r="M243">
        <v>753</v>
      </c>
      <c r="N243">
        <v>33</v>
      </c>
      <c r="O243">
        <v>0</v>
      </c>
      <c r="P243">
        <v>33</v>
      </c>
      <c r="Q243">
        <v>16</v>
      </c>
      <c r="R243">
        <v>9</v>
      </c>
      <c r="S243">
        <v>0</v>
      </c>
      <c r="U243">
        <v>0</v>
      </c>
      <c r="V243">
        <v>0</v>
      </c>
      <c r="X243">
        <v>0</v>
      </c>
      <c r="Y243">
        <v>7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K243">
        <v>1</v>
      </c>
      <c r="AL243">
        <v>0</v>
      </c>
      <c r="AM243">
        <v>0</v>
      </c>
      <c r="AN243">
        <v>0</v>
      </c>
      <c r="AU243">
        <v>0</v>
      </c>
      <c r="BC243">
        <v>0</v>
      </c>
      <c r="BD243">
        <v>0</v>
      </c>
      <c r="BE243">
        <v>33</v>
      </c>
      <c r="BF243">
        <v>33</v>
      </c>
      <c r="BG243">
        <v>0</v>
      </c>
      <c r="BJ243">
        <v>1</v>
      </c>
      <c r="BL243" t="s">
        <v>594</v>
      </c>
      <c r="BM243" s="4">
        <v>43283.106944444444</v>
      </c>
      <c r="BN243" s="4">
        <v>43283.11146990741</v>
      </c>
      <c r="BO243" s="4">
        <v>43283.11146990741</v>
      </c>
      <c r="BP243" t="s">
        <v>92</v>
      </c>
      <c r="BQ243" t="s">
        <v>93</v>
      </c>
      <c r="BR243" t="s">
        <v>94</v>
      </c>
    </row>
    <row r="244" spans="1:70" x14ac:dyDescent="0.3">
      <c r="A244" t="str">
        <f>"200161B0100"</f>
        <v>200161B0100</v>
      </c>
      <c r="B244" t="s">
        <v>595</v>
      </c>
      <c r="C244">
        <v>20</v>
      </c>
      <c r="D244" t="s">
        <v>88</v>
      </c>
      <c r="E244">
        <v>28</v>
      </c>
      <c r="F244" t="s">
        <v>569</v>
      </c>
      <c r="G244">
        <v>161</v>
      </c>
      <c r="H244">
        <v>1</v>
      </c>
      <c r="I244" t="s">
        <v>90</v>
      </c>
      <c r="J244">
        <v>0</v>
      </c>
      <c r="K244">
        <v>2</v>
      </c>
      <c r="L244">
        <v>5</v>
      </c>
      <c r="M244">
        <v>188</v>
      </c>
      <c r="N244">
        <v>431</v>
      </c>
      <c r="O244">
        <v>0</v>
      </c>
      <c r="P244">
        <v>431</v>
      </c>
      <c r="Q244">
        <v>148</v>
      </c>
      <c r="R244">
        <v>54</v>
      </c>
      <c r="S244">
        <v>1</v>
      </c>
      <c r="U244">
        <v>3</v>
      </c>
      <c r="V244">
        <v>6</v>
      </c>
      <c r="X244">
        <v>0</v>
      </c>
      <c r="Y244">
        <v>93</v>
      </c>
      <c r="Z244">
        <v>9</v>
      </c>
      <c r="AA244">
        <v>0</v>
      </c>
      <c r="AB244">
        <v>10</v>
      </c>
      <c r="AC244">
        <v>2</v>
      </c>
      <c r="AD244">
        <v>1</v>
      </c>
      <c r="AE244">
        <v>0</v>
      </c>
      <c r="AF244">
        <v>0</v>
      </c>
      <c r="AK244">
        <v>3</v>
      </c>
      <c r="AL244">
        <v>0</v>
      </c>
      <c r="AM244">
        <v>0</v>
      </c>
      <c r="AN244">
        <v>2</v>
      </c>
      <c r="AU244" t="s">
        <v>105</v>
      </c>
      <c r="BC244" t="s">
        <v>105</v>
      </c>
      <c r="BD244" t="s">
        <v>105</v>
      </c>
      <c r="BE244">
        <v>431</v>
      </c>
      <c r="BF244">
        <v>332</v>
      </c>
      <c r="BG244">
        <v>597</v>
      </c>
      <c r="BI244" t="s">
        <v>106</v>
      </c>
      <c r="BJ244">
        <v>1</v>
      </c>
      <c r="BL244" t="s">
        <v>596</v>
      </c>
      <c r="BM244" s="4">
        <v>43283.277083333334</v>
      </c>
      <c r="BN244" s="4">
        <v>43283.303090277775</v>
      </c>
      <c r="BO244" s="4">
        <v>43283.303090277775</v>
      </c>
      <c r="BP244" t="s">
        <v>92</v>
      </c>
      <c r="BQ244" t="s">
        <v>93</v>
      </c>
      <c r="BR244" t="s">
        <v>254</v>
      </c>
    </row>
    <row r="245" spans="1:70" x14ac:dyDescent="0.3">
      <c r="A245" t="str">
        <f>"200161C0100"</f>
        <v>200161C0100</v>
      </c>
      <c r="B245" t="s">
        <v>597</v>
      </c>
      <c r="C245">
        <v>20</v>
      </c>
      <c r="D245" t="s">
        <v>88</v>
      </c>
      <c r="E245">
        <v>28</v>
      </c>
      <c r="F245" t="s">
        <v>569</v>
      </c>
      <c r="G245">
        <v>161</v>
      </c>
      <c r="H245">
        <v>1</v>
      </c>
      <c r="I245" t="s">
        <v>98</v>
      </c>
      <c r="J245">
        <v>0</v>
      </c>
      <c r="K245">
        <v>2</v>
      </c>
      <c r="L245">
        <v>5</v>
      </c>
      <c r="M245">
        <v>177</v>
      </c>
      <c r="N245">
        <v>445</v>
      </c>
      <c r="O245">
        <v>3</v>
      </c>
      <c r="P245">
        <v>445</v>
      </c>
      <c r="Q245">
        <v>207</v>
      </c>
      <c r="R245">
        <v>59</v>
      </c>
      <c r="S245">
        <v>5</v>
      </c>
      <c r="U245">
        <v>7</v>
      </c>
      <c r="V245">
        <v>3</v>
      </c>
      <c r="X245">
        <v>0</v>
      </c>
      <c r="Y245">
        <v>122</v>
      </c>
      <c r="Z245">
        <v>4</v>
      </c>
      <c r="AA245">
        <v>2</v>
      </c>
      <c r="AB245">
        <v>4</v>
      </c>
      <c r="AC245">
        <v>3</v>
      </c>
      <c r="AD245">
        <v>0</v>
      </c>
      <c r="AE245">
        <v>0</v>
      </c>
      <c r="AF245">
        <v>0</v>
      </c>
      <c r="AK245">
        <v>4</v>
      </c>
      <c r="AL245">
        <v>0</v>
      </c>
      <c r="AM245">
        <v>0</v>
      </c>
      <c r="AN245">
        <v>1</v>
      </c>
      <c r="AU245">
        <v>0</v>
      </c>
      <c r="BC245">
        <v>0</v>
      </c>
      <c r="BD245">
        <v>22</v>
      </c>
      <c r="BE245">
        <v>443</v>
      </c>
      <c r="BF245">
        <v>443</v>
      </c>
      <c r="BG245">
        <v>597</v>
      </c>
      <c r="BJ245">
        <v>1</v>
      </c>
      <c r="BL245" t="s">
        <v>598</v>
      </c>
      <c r="BM245" s="4">
        <v>43283.252083333333</v>
      </c>
      <c r="BN245" s="4">
        <v>43283.277812499997</v>
      </c>
      <c r="BO245" s="4">
        <v>43283.277812499997</v>
      </c>
      <c r="BP245" t="s">
        <v>92</v>
      </c>
      <c r="BQ245" t="s">
        <v>93</v>
      </c>
      <c r="BR245" t="s">
        <v>94</v>
      </c>
    </row>
    <row r="246" spans="1:70" x14ac:dyDescent="0.3">
      <c r="A246" t="str">
        <f>"200162B0100"</f>
        <v>200162B0100</v>
      </c>
      <c r="B246" t="s">
        <v>599</v>
      </c>
      <c r="C246">
        <v>20</v>
      </c>
      <c r="D246" t="s">
        <v>88</v>
      </c>
      <c r="E246">
        <v>28</v>
      </c>
      <c r="F246" t="s">
        <v>569</v>
      </c>
      <c r="G246">
        <v>162</v>
      </c>
      <c r="H246">
        <v>1</v>
      </c>
      <c r="I246" t="s">
        <v>90</v>
      </c>
      <c r="J246">
        <v>0</v>
      </c>
      <c r="K246">
        <v>2</v>
      </c>
      <c r="L246">
        <v>5</v>
      </c>
      <c r="M246">
        <v>122</v>
      </c>
      <c r="N246">
        <v>147</v>
      </c>
      <c r="O246">
        <v>0</v>
      </c>
      <c r="P246">
        <v>147</v>
      </c>
      <c r="Q246">
        <v>84</v>
      </c>
      <c r="R246">
        <v>15</v>
      </c>
      <c r="S246">
        <v>1</v>
      </c>
      <c r="U246">
        <v>5</v>
      </c>
      <c r="V246">
        <v>2</v>
      </c>
      <c r="X246">
        <v>0</v>
      </c>
      <c r="Y246">
        <v>26</v>
      </c>
      <c r="Z246">
        <v>1</v>
      </c>
      <c r="AA246">
        <v>0</v>
      </c>
      <c r="AB246">
        <v>7</v>
      </c>
      <c r="AC246">
        <v>0</v>
      </c>
      <c r="AD246">
        <v>0</v>
      </c>
      <c r="AE246">
        <v>0</v>
      </c>
      <c r="AF246">
        <v>0</v>
      </c>
      <c r="AK246">
        <v>0</v>
      </c>
      <c r="AL246">
        <v>0</v>
      </c>
      <c r="AM246">
        <v>0</v>
      </c>
      <c r="AN246">
        <v>1</v>
      </c>
      <c r="AU246">
        <v>0</v>
      </c>
      <c r="BC246">
        <v>0</v>
      </c>
      <c r="BD246">
        <v>5</v>
      </c>
      <c r="BE246">
        <v>147</v>
      </c>
      <c r="BF246">
        <v>147</v>
      </c>
      <c r="BG246">
        <v>247</v>
      </c>
      <c r="BJ246">
        <v>1</v>
      </c>
      <c r="BL246" t="s">
        <v>600</v>
      </c>
      <c r="BM246" s="4">
        <v>43283.256944444445</v>
      </c>
      <c r="BN246" s="4">
        <v>43283.283217592594</v>
      </c>
      <c r="BO246" s="4">
        <v>43283.283217592594</v>
      </c>
      <c r="BP246" t="s">
        <v>92</v>
      </c>
      <c r="BQ246" t="s">
        <v>93</v>
      </c>
      <c r="BR246" t="s">
        <v>94</v>
      </c>
    </row>
    <row r="247" spans="1:70" x14ac:dyDescent="0.3">
      <c r="A247" t="str">
        <f>"200163B0100"</f>
        <v>200163B0100</v>
      </c>
      <c r="B247" t="s">
        <v>601</v>
      </c>
      <c r="C247">
        <v>20</v>
      </c>
      <c r="D247" t="s">
        <v>88</v>
      </c>
      <c r="E247">
        <v>28</v>
      </c>
      <c r="F247" t="s">
        <v>569</v>
      </c>
      <c r="G247">
        <v>163</v>
      </c>
      <c r="H247">
        <v>1</v>
      </c>
      <c r="I247" t="s">
        <v>90</v>
      </c>
      <c r="J247">
        <v>0</v>
      </c>
      <c r="K247">
        <v>2</v>
      </c>
      <c r="L247">
        <v>5</v>
      </c>
      <c r="M247">
        <v>76</v>
      </c>
      <c r="N247">
        <v>165</v>
      </c>
      <c r="O247">
        <v>0</v>
      </c>
      <c r="P247">
        <v>154</v>
      </c>
      <c r="Q247">
        <v>71</v>
      </c>
      <c r="R247">
        <v>15</v>
      </c>
      <c r="S247">
        <v>0</v>
      </c>
      <c r="U247">
        <v>4</v>
      </c>
      <c r="V247">
        <v>1</v>
      </c>
      <c r="X247">
        <v>0</v>
      </c>
      <c r="Y247">
        <v>66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0</v>
      </c>
      <c r="AF247">
        <v>1</v>
      </c>
      <c r="AK247">
        <v>0</v>
      </c>
      <c r="AL247">
        <v>1</v>
      </c>
      <c r="AM247">
        <v>0</v>
      </c>
      <c r="AN247">
        <v>0</v>
      </c>
      <c r="AU247">
        <v>0</v>
      </c>
      <c r="BC247">
        <v>0</v>
      </c>
      <c r="BD247">
        <v>5</v>
      </c>
      <c r="BE247">
        <v>165</v>
      </c>
      <c r="BF247">
        <v>165</v>
      </c>
      <c r="BG247">
        <v>219</v>
      </c>
      <c r="BJ247">
        <v>1</v>
      </c>
      <c r="BL247" s="2" t="s">
        <v>602</v>
      </c>
      <c r="BM247" s="4">
        <v>43283.256249999999</v>
      </c>
      <c r="BN247" s="4">
        <v>43283.287812499999</v>
      </c>
      <c r="BO247" s="4">
        <v>43283.287812499999</v>
      </c>
      <c r="BP247" t="s">
        <v>92</v>
      </c>
      <c r="BQ247" t="s">
        <v>93</v>
      </c>
      <c r="BR247" t="s">
        <v>94</v>
      </c>
    </row>
    <row r="248" spans="1:70" x14ac:dyDescent="0.3">
      <c r="A248" t="str">
        <f>"200164B0100"</f>
        <v>200164B0100</v>
      </c>
      <c r="B248" t="s">
        <v>603</v>
      </c>
      <c r="C248">
        <v>20</v>
      </c>
      <c r="D248" t="s">
        <v>88</v>
      </c>
      <c r="E248">
        <v>28</v>
      </c>
      <c r="F248" t="s">
        <v>569</v>
      </c>
      <c r="G248">
        <v>164</v>
      </c>
      <c r="H248">
        <v>1</v>
      </c>
      <c r="I248" t="s">
        <v>90</v>
      </c>
      <c r="J248">
        <v>0</v>
      </c>
      <c r="K248">
        <v>2</v>
      </c>
      <c r="L248">
        <v>5</v>
      </c>
      <c r="M248">
        <v>110</v>
      </c>
      <c r="N248">
        <v>414</v>
      </c>
      <c r="O248">
        <v>0</v>
      </c>
      <c r="P248">
        <v>414</v>
      </c>
      <c r="Q248">
        <v>305</v>
      </c>
      <c r="R248">
        <v>9</v>
      </c>
      <c r="S248">
        <v>4</v>
      </c>
      <c r="U248">
        <v>1</v>
      </c>
      <c r="V248">
        <v>6</v>
      </c>
      <c r="X248">
        <v>0</v>
      </c>
      <c r="Y248">
        <v>71</v>
      </c>
      <c r="Z248">
        <v>1</v>
      </c>
      <c r="AA248">
        <v>0</v>
      </c>
      <c r="AB248">
        <v>1</v>
      </c>
      <c r="AC248">
        <v>3</v>
      </c>
      <c r="AD248">
        <v>0</v>
      </c>
      <c r="AE248">
        <v>0</v>
      </c>
      <c r="AF248">
        <v>0</v>
      </c>
      <c r="AK248">
        <v>1</v>
      </c>
      <c r="AL248">
        <v>0</v>
      </c>
      <c r="AM248">
        <v>0</v>
      </c>
      <c r="AN248">
        <v>0</v>
      </c>
      <c r="AU248">
        <v>0</v>
      </c>
      <c r="BC248">
        <v>0</v>
      </c>
      <c r="BD248">
        <v>12</v>
      </c>
      <c r="BE248">
        <v>414</v>
      </c>
      <c r="BF248">
        <v>414</v>
      </c>
      <c r="BG248">
        <v>502</v>
      </c>
      <c r="BJ248">
        <v>1</v>
      </c>
      <c r="BL248" t="s">
        <v>604</v>
      </c>
      <c r="BM248" s="4">
        <v>43283.254861111112</v>
      </c>
      <c r="BN248" s="4">
        <v>43283.282673611109</v>
      </c>
      <c r="BO248" s="4">
        <v>43283.282673611109</v>
      </c>
      <c r="BP248" t="s">
        <v>92</v>
      </c>
      <c r="BQ248" t="s">
        <v>93</v>
      </c>
      <c r="BR248" t="s">
        <v>94</v>
      </c>
    </row>
    <row r="249" spans="1:70" x14ac:dyDescent="0.3">
      <c r="A249" t="str">
        <f>"200166B0100"</f>
        <v>200166B0100</v>
      </c>
      <c r="B249" t="s">
        <v>605</v>
      </c>
      <c r="C249">
        <v>20</v>
      </c>
      <c r="D249" t="s">
        <v>88</v>
      </c>
      <c r="E249">
        <v>28</v>
      </c>
      <c r="F249" t="s">
        <v>569</v>
      </c>
      <c r="G249">
        <v>166</v>
      </c>
      <c r="H249">
        <v>1</v>
      </c>
      <c r="I249" t="s">
        <v>90</v>
      </c>
      <c r="J249">
        <v>0</v>
      </c>
      <c r="K249">
        <v>2</v>
      </c>
      <c r="L249">
        <v>5</v>
      </c>
      <c r="M249">
        <v>158</v>
      </c>
      <c r="N249">
        <v>454</v>
      </c>
      <c r="O249">
        <v>0</v>
      </c>
      <c r="P249">
        <v>454</v>
      </c>
      <c r="Q249">
        <v>233</v>
      </c>
      <c r="R249">
        <v>59</v>
      </c>
      <c r="S249">
        <v>6</v>
      </c>
      <c r="U249">
        <v>5</v>
      </c>
      <c r="V249">
        <v>10</v>
      </c>
      <c r="X249">
        <v>4</v>
      </c>
      <c r="Y249">
        <v>76</v>
      </c>
      <c r="Z249">
        <v>5</v>
      </c>
      <c r="AA249">
        <v>1</v>
      </c>
      <c r="AB249">
        <v>0</v>
      </c>
      <c r="AC249">
        <v>4</v>
      </c>
      <c r="AD249">
        <v>4</v>
      </c>
      <c r="AE249">
        <v>1</v>
      </c>
      <c r="AF249">
        <v>1</v>
      </c>
      <c r="AK249">
        <v>2</v>
      </c>
      <c r="AL249">
        <v>4</v>
      </c>
      <c r="AM249">
        <v>0</v>
      </c>
      <c r="AN249">
        <v>5</v>
      </c>
      <c r="AU249">
        <v>1</v>
      </c>
      <c r="BC249">
        <v>0</v>
      </c>
      <c r="BD249">
        <v>33</v>
      </c>
      <c r="BE249">
        <v>454</v>
      </c>
      <c r="BF249">
        <v>454</v>
      </c>
      <c r="BG249">
        <v>590</v>
      </c>
      <c r="BJ249">
        <v>1</v>
      </c>
      <c r="BL249" t="s">
        <v>606</v>
      </c>
      <c r="BM249" s="4">
        <v>43283.132638888892</v>
      </c>
      <c r="BN249" s="4">
        <v>43283.136423611111</v>
      </c>
      <c r="BO249" s="4">
        <v>43283.136423611111</v>
      </c>
      <c r="BP249" t="s">
        <v>92</v>
      </c>
      <c r="BQ249" t="s">
        <v>93</v>
      </c>
      <c r="BR249" t="s">
        <v>94</v>
      </c>
    </row>
    <row r="250" spans="1:70" x14ac:dyDescent="0.3">
      <c r="A250" t="str">
        <f>"200166C0100"</f>
        <v>200166C0100</v>
      </c>
      <c r="B250" t="s">
        <v>607</v>
      </c>
      <c r="C250">
        <v>20</v>
      </c>
      <c r="D250" t="s">
        <v>88</v>
      </c>
      <c r="E250">
        <v>28</v>
      </c>
      <c r="F250" t="s">
        <v>569</v>
      </c>
      <c r="G250">
        <v>166</v>
      </c>
      <c r="H250">
        <v>1</v>
      </c>
      <c r="I250" t="s">
        <v>98</v>
      </c>
      <c r="J250">
        <v>0</v>
      </c>
      <c r="K250">
        <v>2</v>
      </c>
      <c r="L250">
        <v>5</v>
      </c>
      <c r="M250">
        <v>153</v>
      </c>
      <c r="N250">
        <v>458</v>
      </c>
      <c r="O250">
        <v>0</v>
      </c>
      <c r="P250">
        <v>458</v>
      </c>
      <c r="Q250">
        <v>259</v>
      </c>
      <c r="R250">
        <v>41</v>
      </c>
      <c r="S250">
        <v>3</v>
      </c>
      <c r="U250">
        <v>11</v>
      </c>
      <c r="V250">
        <v>1</v>
      </c>
      <c r="X250">
        <v>1</v>
      </c>
      <c r="Y250">
        <v>91</v>
      </c>
      <c r="Z250">
        <v>7</v>
      </c>
      <c r="AA250">
        <v>0</v>
      </c>
      <c r="AB250">
        <v>1</v>
      </c>
      <c r="AC250">
        <v>2</v>
      </c>
      <c r="AD250">
        <v>2</v>
      </c>
      <c r="AE250">
        <v>2</v>
      </c>
      <c r="AF250">
        <v>1</v>
      </c>
      <c r="AK250">
        <v>1</v>
      </c>
      <c r="AL250">
        <v>0</v>
      </c>
      <c r="AM250">
        <v>1</v>
      </c>
      <c r="AN250">
        <v>2</v>
      </c>
      <c r="AU250">
        <v>1</v>
      </c>
      <c r="BC250">
        <v>0</v>
      </c>
      <c r="BD250">
        <v>31</v>
      </c>
      <c r="BE250">
        <v>458</v>
      </c>
      <c r="BF250">
        <v>458</v>
      </c>
      <c r="BG250">
        <v>589</v>
      </c>
      <c r="BJ250">
        <v>1</v>
      </c>
      <c r="BL250" t="s">
        <v>608</v>
      </c>
      <c r="BM250" s="4">
        <v>43283.131944444445</v>
      </c>
      <c r="BN250" s="4">
        <v>43283.136041666665</v>
      </c>
      <c r="BO250" s="4">
        <v>43283.136041666665</v>
      </c>
      <c r="BP250" t="s">
        <v>92</v>
      </c>
      <c r="BQ250" t="s">
        <v>93</v>
      </c>
      <c r="BR250" t="s">
        <v>94</v>
      </c>
    </row>
    <row r="251" spans="1:70" x14ac:dyDescent="0.3">
      <c r="A251" t="str">
        <f>"200167B0100"</f>
        <v>200167B0100</v>
      </c>
      <c r="B251" t="s">
        <v>609</v>
      </c>
      <c r="C251">
        <v>20</v>
      </c>
      <c r="D251" t="s">
        <v>88</v>
      </c>
      <c r="E251">
        <v>28</v>
      </c>
      <c r="F251" t="s">
        <v>569</v>
      </c>
      <c r="G251">
        <v>167</v>
      </c>
      <c r="H251">
        <v>1</v>
      </c>
      <c r="I251" t="s">
        <v>90</v>
      </c>
      <c r="J251">
        <v>0</v>
      </c>
      <c r="K251">
        <v>2</v>
      </c>
      <c r="L251">
        <v>5</v>
      </c>
      <c r="M251">
        <v>189</v>
      </c>
      <c r="N251">
        <v>493</v>
      </c>
      <c r="O251">
        <v>0</v>
      </c>
      <c r="P251">
        <v>493</v>
      </c>
      <c r="Q251">
        <v>200</v>
      </c>
      <c r="R251">
        <v>85</v>
      </c>
      <c r="S251">
        <v>4</v>
      </c>
      <c r="U251">
        <v>9</v>
      </c>
      <c r="V251">
        <v>5</v>
      </c>
      <c r="X251">
        <v>2</v>
      </c>
      <c r="Y251">
        <v>147</v>
      </c>
      <c r="Z251">
        <v>5</v>
      </c>
      <c r="AA251">
        <v>3</v>
      </c>
      <c r="AB251">
        <v>2</v>
      </c>
      <c r="AC251">
        <v>0</v>
      </c>
      <c r="AD251">
        <v>0</v>
      </c>
      <c r="AE251">
        <v>2</v>
      </c>
      <c r="AF251">
        <v>0</v>
      </c>
      <c r="AK251">
        <v>6</v>
      </c>
      <c r="AL251">
        <v>0</v>
      </c>
      <c r="AM251">
        <v>0</v>
      </c>
      <c r="AN251">
        <v>3</v>
      </c>
      <c r="AU251">
        <v>1</v>
      </c>
      <c r="BC251">
        <v>0</v>
      </c>
      <c r="BD251">
        <v>19</v>
      </c>
      <c r="BE251">
        <v>493</v>
      </c>
      <c r="BF251">
        <v>493</v>
      </c>
      <c r="BG251">
        <v>660</v>
      </c>
      <c r="BJ251">
        <v>1</v>
      </c>
      <c r="BL251" t="s">
        <v>610</v>
      </c>
      <c r="BM251" s="4">
        <v>43283.254861111112</v>
      </c>
      <c r="BN251" s="4">
        <v>43283.281261574077</v>
      </c>
      <c r="BO251" s="4">
        <v>43283.281261574077</v>
      </c>
      <c r="BP251" t="s">
        <v>92</v>
      </c>
      <c r="BQ251" t="s">
        <v>93</v>
      </c>
      <c r="BR251" t="s">
        <v>94</v>
      </c>
    </row>
    <row r="252" spans="1:70" x14ac:dyDescent="0.3">
      <c r="A252" t="str">
        <f>"200168B0100"</f>
        <v>200168B0100</v>
      </c>
      <c r="B252" t="s">
        <v>611</v>
      </c>
      <c r="C252">
        <v>20</v>
      </c>
      <c r="D252" t="s">
        <v>88</v>
      </c>
      <c r="E252">
        <v>28</v>
      </c>
      <c r="F252" t="s">
        <v>569</v>
      </c>
      <c r="G252">
        <v>168</v>
      </c>
      <c r="H252">
        <v>1</v>
      </c>
      <c r="I252" t="s">
        <v>90</v>
      </c>
      <c r="J252">
        <v>0</v>
      </c>
      <c r="K252">
        <v>2</v>
      </c>
      <c r="L252">
        <v>5</v>
      </c>
      <c r="M252" t="s">
        <v>105</v>
      </c>
      <c r="N252" t="s">
        <v>105</v>
      </c>
      <c r="O252" t="s">
        <v>105</v>
      </c>
      <c r="P252" t="s">
        <v>105</v>
      </c>
      <c r="Q252">
        <v>166</v>
      </c>
      <c r="R252">
        <v>116</v>
      </c>
      <c r="S252">
        <v>5</v>
      </c>
      <c r="U252">
        <v>6</v>
      </c>
      <c r="V252">
        <v>2</v>
      </c>
      <c r="X252">
        <v>2</v>
      </c>
      <c r="Y252">
        <v>111</v>
      </c>
      <c r="Z252">
        <v>12</v>
      </c>
      <c r="AA252">
        <v>1</v>
      </c>
      <c r="AB252" t="s">
        <v>105</v>
      </c>
      <c r="AC252">
        <v>2</v>
      </c>
      <c r="AD252">
        <v>2</v>
      </c>
      <c r="AE252">
        <v>0</v>
      </c>
      <c r="AF252">
        <v>0</v>
      </c>
      <c r="AK252">
        <v>3</v>
      </c>
      <c r="AL252">
        <v>1</v>
      </c>
      <c r="AM252">
        <v>1</v>
      </c>
      <c r="AN252">
        <v>4</v>
      </c>
      <c r="AU252">
        <v>1</v>
      </c>
      <c r="BC252" t="s">
        <v>105</v>
      </c>
      <c r="BD252">
        <v>22</v>
      </c>
      <c r="BE252" t="s">
        <v>105</v>
      </c>
      <c r="BF252">
        <v>457</v>
      </c>
      <c r="BG252">
        <v>619</v>
      </c>
      <c r="BI252" t="s">
        <v>106</v>
      </c>
      <c r="BJ252">
        <v>1</v>
      </c>
      <c r="BL252" t="s">
        <v>612</v>
      </c>
      <c r="BM252" s="4">
        <v>43283.177777777775</v>
      </c>
      <c r="BN252" s="4">
        <v>43283.193831018521</v>
      </c>
      <c r="BO252" s="4">
        <v>43283.193831018521</v>
      </c>
      <c r="BP252" t="s">
        <v>92</v>
      </c>
      <c r="BQ252" t="s">
        <v>93</v>
      </c>
      <c r="BR252" t="s">
        <v>94</v>
      </c>
    </row>
    <row r="253" spans="1:70" x14ac:dyDescent="0.3">
      <c r="A253" t="str">
        <f>"200169B0100"</f>
        <v>200169B0100</v>
      </c>
      <c r="B253" t="s">
        <v>613</v>
      </c>
      <c r="C253">
        <v>20</v>
      </c>
      <c r="D253" t="s">
        <v>88</v>
      </c>
      <c r="E253">
        <v>28</v>
      </c>
      <c r="F253" t="s">
        <v>569</v>
      </c>
      <c r="G253">
        <v>169</v>
      </c>
      <c r="H253">
        <v>1</v>
      </c>
      <c r="I253" t="s">
        <v>90</v>
      </c>
      <c r="J253">
        <v>0</v>
      </c>
      <c r="K253">
        <v>2</v>
      </c>
      <c r="L253">
        <v>5</v>
      </c>
      <c r="M253">
        <v>210</v>
      </c>
      <c r="N253">
        <v>650</v>
      </c>
      <c r="O253" t="s">
        <v>105</v>
      </c>
      <c r="P253">
        <v>440</v>
      </c>
      <c r="Q253">
        <v>169</v>
      </c>
      <c r="R253">
        <v>109</v>
      </c>
      <c r="S253">
        <v>4</v>
      </c>
      <c r="U253">
        <v>13</v>
      </c>
      <c r="V253">
        <v>3</v>
      </c>
      <c r="X253">
        <v>1</v>
      </c>
      <c r="Y253">
        <v>91</v>
      </c>
      <c r="Z253">
        <v>15</v>
      </c>
      <c r="AA253">
        <v>2</v>
      </c>
      <c r="AB253">
        <v>1</v>
      </c>
      <c r="AC253" t="s">
        <v>105</v>
      </c>
      <c r="AD253" t="s">
        <v>105</v>
      </c>
      <c r="AE253">
        <v>1</v>
      </c>
      <c r="AF253" t="s">
        <v>105</v>
      </c>
      <c r="AK253">
        <v>8</v>
      </c>
      <c r="AL253" t="s">
        <v>105</v>
      </c>
      <c r="AM253" t="s">
        <v>105</v>
      </c>
      <c r="AN253" t="s">
        <v>105</v>
      </c>
      <c r="AU253">
        <v>1</v>
      </c>
      <c r="BC253" t="s">
        <v>105</v>
      </c>
      <c r="BD253">
        <v>22</v>
      </c>
      <c r="BE253">
        <v>440</v>
      </c>
      <c r="BF253">
        <v>440</v>
      </c>
      <c r="BG253">
        <v>628</v>
      </c>
      <c r="BI253" t="s">
        <v>106</v>
      </c>
      <c r="BJ253">
        <v>1</v>
      </c>
      <c r="BL253" t="s">
        <v>614</v>
      </c>
      <c r="BM253" s="4">
        <v>43283.277777777781</v>
      </c>
      <c r="BN253" s="4">
        <v>43283.307650462964</v>
      </c>
      <c r="BO253" s="4">
        <v>43283.307650462964</v>
      </c>
      <c r="BP253" t="s">
        <v>92</v>
      </c>
      <c r="BQ253" t="s">
        <v>93</v>
      </c>
      <c r="BR253" t="s">
        <v>254</v>
      </c>
    </row>
    <row r="254" spans="1:70" x14ac:dyDescent="0.3">
      <c r="A254" t="str">
        <f>"200170B0100"</f>
        <v>200170B0100</v>
      </c>
      <c r="B254" t="s">
        <v>615</v>
      </c>
      <c r="C254">
        <v>20</v>
      </c>
      <c r="D254" t="s">
        <v>88</v>
      </c>
      <c r="E254">
        <v>28</v>
      </c>
      <c r="F254" t="s">
        <v>569</v>
      </c>
      <c r="G254">
        <v>170</v>
      </c>
      <c r="H254">
        <v>1</v>
      </c>
      <c r="I254" t="s">
        <v>90</v>
      </c>
      <c r="J254">
        <v>0</v>
      </c>
      <c r="K254">
        <v>2</v>
      </c>
      <c r="L254">
        <v>5</v>
      </c>
      <c r="M254">
        <v>222</v>
      </c>
      <c r="N254">
        <v>544</v>
      </c>
      <c r="O254">
        <v>2</v>
      </c>
      <c r="P254">
        <v>544</v>
      </c>
      <c r="Q254">
        <v>234</v>
      </c>
      <c r="R254">
        <v>106</v>
      </c>
      <c r="S254">
        <v>6</v>
      </c>
      <c r="U254">
        <v>5</v>
      </c>
      <c r="V254">
        <v>5</v>
      </c>
      <c r="X254">
        <v>3</v>
      </c>
      <c r="Y254">
        <v>148</v>
      </c>
      <c r="Z254">
        <v>3</v>
      </c>
      <c r="AA254">
        <v>0</v>
      </c>
      <c r="AB254">
        <v>2</v>
      </c>
      <c r="AC254">
        <v>0</v>
      </c>
      <c r="AD254">
        <v>0</v>
      </c>
      <c r="AE254">
        <v>0</v>
      </c>
      <c r="AF254">
        <v>0</v>
      </c>
      <c r="AK254">
        <v>2</v>
      </c>
      <c r="AL254">
        <v>1</v>
      </c>
      <c r="AM254">
        <v>0</v>
      </c>
      <c r="AN254">
        <v>0</v>
      </c>
      <c r="AU254">
        <v>0</v>
      </c>
      <c r="BC254">
        <v>0</v>
      </c>
      <c r="BD254">
        <v>28</v>
      </c>
      <c r="BE254">
        <v>544</v>
      </c>
      <c r="BF254">
        <v>543</v>
      </c>
      <c r="BG254">
        <v>744</v>
      </c>
      <c r="BJ254">
        <v>1</v>
      </c>
      <c r="BL254" t="s">
        <v>616</v>
      </c>
      <c r="BM254" s="4">
        <v>43283.249305555553</v>
      </c>
      <c r="BN254" s="4">
        <v>43283.275254629632</v>
      </c>
      <c r="BO254" s="4">
        <v>43283.275254629632</v>
      </c>
      <c r="BP254" t="s">
        <v>92</v>
      </c>
      <c r="BQ254" t="s">
        <v>93</v>
      </c>
      <c r="BR254" t="s">
        <v>94</v>
      </c>
    </row>
    <row r="255" spans="1:70" x14ac:dyDescent="0.3">
      <c r="A255" t="str">
        <f>"200171B0100"</f>
        <v>200171B0100</v>
      </c>
      <c r="B255" t="s">
        <v>617</v>
      </c>
      <c r="C255">
        <v>20</v>
      </c>
      <c r="D255" t="s">
        <v>88</v>
      </c>
      <c r="E255">
        <v>28</v>
      </c>
      <c r="F255" t="s">
        <v>569</v>
      </c>
      <c r="G255">
        <v>171</v>
      </c>
      <c r="H255">
        <v>1</v>
      </c>
      <c r="I255" t="s">
        <v>90</v>
      </c>
      <c r="J255">
        <v>0</v>
      </c>
      <c r="K255">
        <v>2</v>
      </c>
      <c r="L255">
        <v>5</v>
      </c>
      <c r="M255">
        <v>78</v>
      </c>
      <c r="N255">
        <v>192</v>
      </c>
      <c r="O255">
        <v>1</v>
      </c>
      <c r="P255">
        <v>191</v>
      </c>
      <c r="Q255">
        <v>109</v>
      </c>
      <c r="R255">
        <v>54</v>
      </c>
      <c r="S255">
        <v>0</v>
      </c>
      <c r="U255">
        <v>0</v>
      </c>
      <c r="V255">
        <v>1</v>
      </c>
      <c r="X255">
        <v>0</v>
      </c>
      <c r="Y255">
        <v>22</v>
      </c>
      <c r="Z255">
        <v>0</v>
      </c>
      <c r="AA255">
        <v>0</v>
      </c>
      <c r="AB255">
        <v>0</v>
      </c>
      <c r="AC255">
        <v>1</v>
      </c>
      <c r="AD255" t="s">
        <v>105</v>
      </c>
      <c r="AE255" t="s">
        <v>105</v>
      </c>
      <c r="AF255" t="s">
        <v>105</v>
      </c>
      <c r="AK255" t="s">
        <v>105</v>
      </c>
      <c r="AL255" t="s">
        <v>105</v>
      </c>
      <c r="AM255" t="s">
        <v>105</v>
      </c>
      <c r="AN255" t="s">
        <v>105</v>
      </c>
      <c r="AU255" t="s">
        <v>105</v>
      </c>
      <c r="BC255" t="s">
        <v>105</v>
      </c>
      <c r="BD255">
        <v>4</v>
      </c>
      <c r="BE255">
        <v>191</v>
      </c>
      <c r="BF255">
        <v>191</v>
      </c>
      <c r="BG255">
        <v>248</v>
      </c>
      <c r="BI255" t="s">
        <v>106</v>
      </c>
      <c r="BJ255">
        <v>1</v>
      </c>
      <c r="BL255" t="s">
        <v>618</v>
      </c>
      <c r="BM255" s="4">
        <v>43283.134722222225</v>
      </c>
      <c r="BN255" s="4">
        <v>43283.785115740742</v>
      </c>
      <c r="BO255" s="4">
        <v>43283.785115740742</v>
      </c>
      <c r="BP255" t="s">
        <v>92</v>
      </c>
      <c r="BQ255" t="s">
        <v>93</v>
      </c>
      <c r="BR255" t="s">
        <v>94</v>
      </c>
    </row>
    <row r="256" spans="1:70" x14ac:dyDescent="0.3">
      <c r="A256" t="str">
        <f>"200172B0100"</f>
        <v>200172B0100</v>
      </c>
      <c r="B256" t="s">
        <v>619</v>
      </c>
      <c r="C256">
        <v>20</v>
      </c>
      <c r="D256" t="s">
        <v>88</v>
      </c>
      <c r="E256">
        <v>28</v>
      </c>
      <c r="F256" t="s">
        <v>569</v>
      </c>
      <c r="G256">
        <v>172</v>
      </c>
      <c r="H256">
        <v>1</v>
      </c>
      <c r="I256" t="s">
        <v>90</v>
      </c>
      <c r="J256">
        <v>0</v>
      </c>
      <c r="K256">
        <v>2</v>
      </c>
      <c r="L256">
        <v>5</v>
      </c>
      <c r="M256">
        <v>100</v>
      </c>
      <c r="N256">
        <v>217</v>
      </c>
      <c r="O256">
        <v>4</v>
      </c>
      <c r="P256">
        <v>217</v>
      </c>
      <c r="Q256">
        <v>129</v>
      </c>
      <c r="R256">
        <v>8</v>
      </c>
      <c r="S256">
        <v>3</v>
      </c>
      <c r="U256">
        <v>6</v>
      </c>
      <c r="V256">
        <v>2</v>
      </c>
      <c r="X256">
        <v>1</v>
      </c>
      <c r="Y256">
        <v>44</v>
      </c>
      <c r="Z256">
        <v>5</v>
      </c>
      <c r="AA256">
        <v>0</v>
      </c>
      <c r="AB256">
        <v>1</v>
      </c>
      <c r="AC256">
        <v>2</v>
      </c>
      <c r="AD256">
        <v>1</v>
      </c>
      <c r="AE256">
        <v>0</v>
      </c>
      <c r="AF256">
        <v>0</v>
      </c>
      <c r="AK256">
        <v>1</v>
      </c>
      <c r="AL256">
        <v>0</v>
      </c>
      <c r="AM256">
        <v>0</v>
      </c>
      <c r="AN256">
        <v>0</v>
      </c>
      <c r="AU256">
        <v>0</v>
      </c>
      <c r="BC256">
        <v>0</v>
      </c>
      <c r="BD256">
        <v>14</v>
      </c>
      <c r="BE256">
        <v>217</v>
      </c>
      <c r="BF256">
        <v>217</v>
      </c>
      <c r="BG256">
        <v>295</v>
      </c>
      <c r="BJ256">
        <v>1</v>
      </c>
      <c r="BL256" t="s">
        <v>620</v>
      </c>
      <c r="BM256" s="4">
        <v>43283.157638888886</v>
      </c>
      <c r="BN256" s="4">
        <v>43283.180486111109</v>
      </c>
      <c r="BO256" s="4">
        <v>43283.180486111109</v>
      </c>
      <c r="BP256" t="s">
        <v>92</v>
      </c>
      <c r="BQ256" t="s">
        <v>93</v>
      </c>
      <c r="BR256" t="s">
        <v>254</v>
      </c>
    </row>
    <row r="257" spans="1:70" x14ac:dyDescent="0.3">
      <c r="A257" t="str">
        <f>"200173B0100"</f>
        <v>200173B0100</v>
      </c>
      <c r="B257" t="s">
        <v>621</v>
      </c>
      <c r="C257">
        <v>20</v>
      </c>
      <c r="D257" t="s">
        <v>88</v>
      </c>
      <c r="E257">
        <v>28</v>
      </c>
      <c r="F257" t="s">
        <v>569</v>
      </c>
      <c r="G257">
        <v>173</v>
      </c>
      <c r="H257">
        <v>1</v>
      </c>
      <c r="I257" t="s">
        <v>90</v>
      </c>
      <c r="J257">
        <v>0</v>
      </c>
      <c r="K257">
        <v>2</v>
      </c>
      <c r="L257">
        <v>5</v>
      </c>
      <c r="BG257">
        <v>656</v>
      </c>
      <c r="BI257" t="s">
        <v>122</v>
      </c>
      <c r="BJ257">
        <v>0</v>
      </c>
      <c r="BL257" t="s">
        <v>622</v>
      </c>
      <c r="BM257" s="4">
        <v>43283.752083333333</v>
      </c>
      <c r="BN257" s="4">
        <v>43283.753657407404</v>
      </c>
      <c r="BO257" s="4">
        <v>43283.753657407404</v>
      </c>
      <c r="BP257" t="s">
        <v>92</v>
      </c>
      <c r="BQ257" t="s">
        <v>93</v>
      </c>
      <c r="BR257" t="s">
        <v>94</v>
      </c>
    </row>
    <row r="258" spans="1:70" x14ac:dyDescent="0.3">
      <c r="A258" t="str">
        <f>"200173C0100"</f>
        <v>200173C0100</v>
      </c>
      <c r="B258" t="s">
        <v>623</v>
      </c>
      <c r="C258">
        <v>20</v>
      </c>
      <c r="D258" t="s">
        <v>88</v>
      </c>
      <c r="E258">
        <v>28</v>
      </c>
      <c r="F258" t="s">
        <v>569</v>
      </c>
      <c r="G258">
        <v>173</v>
      </c>
      <c r="H258">
        <v>1</v>
      </c>
      <c r="I258" t="s">
        <v>98</v>
      </c>
      <c r="J258">
        <v>0</v>
      </c>
      <c r="K258">
        <v>2</v>
      </c>
      <c r="L258">
        <v>5</v>
      </c>
      <c r="M258">
        <v>201</v>
      </c>
      <c r="N258">
        <v>476</v>
      </c>
      <c r="O258">
        <v>0</v>
      </c>
      <c r="P258" t="s">
        <v>105</v>
      </c>
      <c r="Q258">
        <v>189</v>
      </c>
      <c r="R258">
        <v>109</v>
      </c>
      <c r="S258">
        <v>3</v>
      </c>
      <c r="U258">
        <v>4</v>
      </c>
      <c r="V258">
        <v>2</v>
      </c>
      <c r="X258">
        <v>2</v>
      </c>
      <c r="Y258">
        <v>128</v>
      </c>
      <c r="Z258">
        <v>1</v>
      </c>
      <c r="AA258">
        <v>2</v>
      </c>
      <c r="AB258">
        <v>2</v>
      </c>
      <c r="AC258">
        <v>0</v>
      </c>
      <c r="AD258">
        <v>2</v>
      </c>
      <c r="AE258">
        <v>0</v>
      </c>
      <c r="AF258">
        <v>0</v>
      </c>
      <c r="AK258">
        <v>1</v>
      </c>
      <c r="AL258">
        <v>0</v>
      </c>
      <c r="AM258">
        <v>0</v>
      </c>
      <c r="AN258">
        <v>0</v>
      </c>
      <c r="AU258">
        <v>1</v>
      </c>
      <c r="BC258">
        <v>0</v>
      </c>
      <c r="BD258">
        <v>28</v>
      </c>
      <c r="BE258">
        <v>476</v>
      </c>
      <c r="BF258">
        <v>474</v>
      </c>
      <c r="BG258">
        <v>655</v>
      </c>
      <c r="BJ258">
        <v>1</v>
      </c>
      <c r="BL258" t="s">
        <v>624</v>
      </c>
      <c r="BM258" s="4">
        <v>43283.276388888888</v>
      </c>
      <c r="BN258" s="4">
        <v>43283.302800925929</v>
      </c>
      <c r="BO258" s="4">
        <v>43283.302800925929</v>
      </c>
      <c r="BP258" t="s">
        <v>92</v>
      </c>
      <c r="BQ258" t="s">
        <v>93</v>
      </c>
      <c r="BR258" t="s">
        <v>254</v>
      </c>
    </row>
    <row r="259" spans="1:70" x14ac:dyDescent="0.3">
      <c r="A259" t="str">
        <f>"200174B0100"</f>
        <v>200174B0100</v>
      </c>
      <c r="B259" t="s">
        <v>625</v>
      </c>
      <c r="C259">
        <v>20</v>
      </c>
      <c r="D259" t="s">
        <v>88</v>
      </c>
      <c r="E259">
        <v>28</v>
      </c>
      <c r="F259" t="s">
        <v>569</v>
      </c>
      <c r="G259">
        <v>174</v>
      </c>
      <c r="H259">
        <v>1</v>
      </c>
      <c r="I259" t="s">
        <v>90</v>
      </c>
      <c r="J259">
        <v>0</v>
      </c>
      <c r="K259">
        <v>2</v>
      </c>
      <c r="L259">
        <v>5</v>
      </c>
      <c r="M259">
        <v>139</v>
      </c>
      <c r="N259" t="s">
        <v>127</v>
      </c>
      <c r="O259">
        <v>0</v>
      </c>
      <c r="P259" t="s">
        <v>127</v>
      </c>
      <c r="Q259">
        <v>91</v>
      </c>
      <c r="R259">
        <v>105</v>
      </c>
      <c r="S259">
        <v>2</v>
      </c>
      <c r="U259">
        <v>4</v>
      </c>
      <c r="V259">
        <v>2</v>
      </c>
      <c r="X259">
        <v>0</v>
      </c>
      <c r="Y259">
        <v>42</v>
      </c>
      <c r="Z259">
        <v>0</v>
      </c>
      <c r="AA259">
        <v>0</v>
      </c>
      <c r="AB259">
        <v>1</v>
      </c>
      <c r="AC259" t="s">
        <v>105</v>
      </c>
      <c r="AD259" t="s">
        <v>105</v>
      </c>
      <c r="AE259" t="s">
        <v>105</v>
      </c>
      <c r="AF259" t="s">
        <v>105</v>
      </c>
      <c r="AK259" t="s">
        <v>105</v>
      </c>
      <c r="AL259">
        <v>1</v>
      </c>
      <c r="AM259" t="s">
        <v>105</v>
      </c>
      <c r="AN259" t="s">
        <v>105</v>
      </c>
      <c r="AU259" t="s">
        <v>105</v>
      </c>
      <c r="BC259" t="s">
        <v>105</v>
      </c>
      <c r="BD259">
        <v>9</v>
      </c>
      <c r="BE259">
        <v>257</v>
      </c>
      <c r="BF259">
        <v>257</v>
      </c>
      <c r="BG259">
        <v>374</v>
      </c>
      <c r="BI259" t="s">
        <v>106</v>
      </c>
      <c r="BJ259">
        <v>1</v>
      </c>
      <c r="BL259" t="s">
        <v>626</v>
      </c>
      <c r="BM259" s="4">
        <v>43283.178472222222</v>
      </c>
      <c r="BN259" s="4">
        <v>43283.210138888891</v>
      </c>
      <c r="BO259" s="4">
        <v>43283.210138888891</v>
      </c>
      <c r="BP259" t="s">
        <v>92</v>
      </c>
      <c r="BQ259" t="s">
        <v>93</v>
      </c>
      <c r="BR259" t="s">
        <v>94</v>
      </c>
    </row>
    <row r="260" spans="1:70" x14ac:dyDescent="0.3">
      <c r="A260" t="str">
        <f>"200175B0100"</f>
        <v>200175B0100</v>
      </c>
      <c r="B260" t="s">
        <v>627</v>
      </c>
      <c r="C260">
        <v>20</v>
      </c>
      <c r="D260" t="s">
        <v>88</v>
      </c>
      <c r="E260">
        <v>28</v>
      </c>
      <c r="F260" t="s">
        <v>569</v>
      </c>
      <c r="G260">
        <v>175</v>
      </c>
      <c r="H260">
        <v>1</v>
      </c>
      <c r="I260" t="s">
        <v>90</v>
      </c>
      <c r="J260">
        <v>0</v>
      </c>
      <c r="K260">
        <v>2</v>
      </c>
      <c r="L260">
        <v>5</v>
      </c>
      <c r="M260">
        <v>250</v>
      </c>
      <c r="N260">
        <v>401</v>
      </c>
      <c r="O260">
        <v>0</v>
      </c>
      <c r="P260">
        <v>401</v>
      </c>
      <c r="Q260">
        <v>191</v>
      </c>
      <c r="R260">
        <v>103</v>
      </c>
      <c r="S260">
        <v>4</v>
      </c>
      <c r="U260">
        <v>5</v>
      </c>
      <c r="V260">
        <v>3</v>
      </c>
      <c r="X260">
        <v>5</v>
      </c>
      <c r="Y260">
        <v>43</v>
      </c>
      <c r="Z260">
        <v>3</v>
      </c>
      <c r="AA260">
        <v>1</v>
      </c>
      <c r="AB260">
        <v>3</v>
      </c>
      <c r="AC260">
        <v>2</v>
      </c>
      <c r="AD260">
        <v>1</v>
      </c>
      <c r="AE260">
        <v>0</v>
      </c>
      <c r="AF260">
        <v>0</v>
      </c>
      <c r="AK260">
        <v>0</v>
      </c>
      <c r="AL260">
        <v>0</v>
      </c>
      <c r="AM260">
        <v>0</v>
      </c>
      <c r="AN260">
        <v>0</v>
      </c>
      <c r="AU260">
        <v>0</v>
      </c>
      <c r="BC260">
        <v>0</v>
      </c>
      <c r="BD260">
        <v>37</v>
      </c>
      <c r="BE260">
        <v>401</v>
      </c>
      <c r="BF260">
        <v>401</v>
      </c>
      <c r="BG260">
        <v>629</v>
      </c>
      <c r="BJ260">
        <v>1</v>
      </c>
      <c r="BL260" t="s">
        <v>628</v>
      </c>
      <c r="BM260" s="4">
        <v>43283.133333333331</v>
      </c>
      <c r="BN260" s="4">
        <v>43283.136365740742</v>
      </c>
      <c r="BO260" s="4">
        <v>43283.136365740742</v>
      </c>
      <c r="BP260" t="s">
        <v>92</v>
      </c>
      <c r="BQ260" t="s">
        <v>93</v>
      </c>
      <c r="BR260" t="s">
        <v>94</v>
      </c>
    </row>
    <row r="261" spans="1:70" x14ac:dyDescent="0.3">
      <c r="A261" t="str">
        <f>"200180B0100"</f>
        <v>200180B0100</v>
      </c>
      <c r="B261" t="s">
        <v>629</v>
      </c>
      <c r="C261">
        <v>20</v>
      </c>
      <c r="D261" t="s">
        <v>88</v>
      </c>
      <c r="E261">
        <v>30</v>
      </c>
      <c r="F261" t="s">
        <v>630</v>
      </c>
      <c r="G261">
        <v>180</v>
      </c>
      <c r="H261">
        <v>1</v>
      </c>
      <c r="I261" t="s">
        <v>90</v>
      </c>
      <c r="J261">
        <v>0</v>
      </c>
      <c r="K261">
        <v>1</v>
      </c>
      <c r="L261">
        <v>5</v>
      </c>
      <c r="M261">
        <v>120</v>
      </c>
      <c r="N261">
        <v>352</v>
      </c>
      <c r="O261">
        <v>6</v>
      </c>
      <c r="P261">
        <v>351</v>
      </c>
      <c r="R261">
        <v>53</v>
      </c>
      <c r="S261">
        <v>51</v>
      </c>
      <c r="T261">
        <v>1</v>
      </c>
      <c r="U261">
        <v>24</v>
      </c>
      <c r="V261">
        <v>20</v>
      </c>
      <c r="W261">
        <v>26</v>
      </c>
      <c r="X261">
        <v>2</v>
      </c>
      <c r="Y261">
        <v>166</v>
      </c>
      <c r="Z261">
        <v>2</v>
      </c>
      <c r="AK261">
        <v>1</v>
      </c>
      <c r="AL261">
        <v>1</v>
      </c>
      <c r="AM261">
        <v>0</v>
      </c>
      <c r="AN261">
        <v>0</v>
      </c>
      <c r="AR261">
        <v>1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BC261">
        <v>0</v>
      </c>
      <c r="BD261">
        <v>3</v>
      </c>
      <c r="BE261">
        <v>351</v>
      </c>
      <c r="BF261">
        <v>351</v>
      </c>
      <c r="BG261">
        <v>450</v>
      </c>
      <c r="BJ261">
        <v>1</v>
      </c>
      <c r="BL261" t="s">
        <v>631</v>
      </c>
      <c r="BM261" s="4">
        <v>43283.056944444441</v>
      </c>
      <c r="BN261" s="4">
        <v>43283.061469907407</v>
      </c>
      <c r="BO261" s="4">
        <v>43283.061469907407</v>
      </c>
      <c r="BP261" t="s">
        <v>92</v>
      </c>
      <c r="BQ261" t="s">
        <v>93</v>
      </c>
      <c r="BR261" t="s">
        <v>94</v>
      </c>
    </row>
    <row r="262" spans="1:70" x14ac:dyDescent="0.3">
      <c r="A262" t="str">
        <f>"200180C0100"</f>
        <v>200180C0100</v>
      </c>
      <c r="B262" t="s">
        <v>632</v>
      </c>
      <c r="C262">
        <v>20</v>
      </c>
      <c r="D262" t="s">
        <v>88</v>
      </c>
      <c r="E262">
        <v>30</v>
      </c>
      <c r="F262" t="s">
        <v>630</v>
      </c>
      <c r="G262">
        <v>180</v>
      </c>
      <c r="H262">
        <v>1</v>
      </c>
      <c r="I262" t="s">
        <v>98</v>
      </c>
      <c r="J262">
        <v>0</v>
      </c>
      <c r="K262">
        <v>1</v>
      </c>
      <c r="L262">
        <v>5</v>
      </c>
      <c r="M262">
        <v>125</v>
      </c>
      <c r="N262">
        <v>346</v>
      </c>
      <c r="O262">
        <v>6</v>
      </c>
      <c r="P262">
        <v>346</v>
      </c>
      <c r="R262">
        <v>54</v>
      </c>
      <c r="S262">
        <v>55</v>
      </c>
      <c r="T262">
        <v>0</v>
      </c>
      <c r="U262">
        <v>14</v>
      </c>
      <c r="V262">
        <v>14</v>
      </c>
      <c r="W262">
        <v>27</v>
      </c>
      <c r="X262">
        <v>1</v>
      </c>
      <c r="Y262">
        <v>166</v>
      </c>
      <c r="Z262">
        <v>2</v>
      </c>
      <c r="AK262">
        <v>1</v>
      </c>
      <c r="AL262">
        <v>1</v>
      </c>
      <c r="AM262">
        <v>0</v>
      </c>
      <c r="AN262">
        <v>2</v>
      </c>
      <c r="AR262">
        <v>2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BC262">
        <v>0</v>
      </c>
      <c r="BD262">
        <v>7</v>
      </c>
      <c r="BE262">
        <v>346</v>
      </c>
      <c r="BF262">
        <v>346</v>
      </c>
      <c r="BG262">
        <v>449</v>
      </c>
      <c r="BJ262">
        <v>1</v>
      </c>
      <c r="BL262" t="s">
        <v>633</v>
      </c>
      <c r="BM262" s="4">
        <v>43283.03402777778</v>
      </c>
      <c r="BN262" s="4">
        <v>43283.038622685184</v>
      </c>
      <c r="BO262" s="4">
        <v>43283.038622685184</v>
      </c>
      <c r="BP262" t="s">
        <v>92</v>
      </c>
      <c r="BQ262" t="s">
        <v>93</v>
      </c>
      <c r="BR262" t="s">
        <v>94</v>
      </c>
    </row>
    <row r="263" spans="1:70" x14ac:dyDescent="0.3">
      <c r="A263" t="str">
        <f>"200181B0100"</f>
        <v>200181B0100</v>
      </c>
      <c r="B263" t="s">
        <v>634</v>
      </c>
      <c r="C263">
        <v>20</v>
      </c>
      <c r="D263" t="s">
        <v>88</v>
      </c>
      <c r="E263">
        <v>30</v>
      </c>
      <c r="F263" t="s">
        <v>630</v>
      </c>
      <c r="G263">
        <v>181</v>
      </c>
      <c r="H263">
        <v>1</v>
      </c>
      <c r="I263" t="s">
        <v>90</v>
      </c>
      <c r="J263">
        <v>0</v>
      </c>
      <c r="K263">
        <v>1</v>
      </c>
      <c r="L263">
        <v>5</v>
      </c>
      <c r="M263">
        <v>110</v>
      </c>
      <c r="N263">
        <v>350</v>
      </c>
      <c r="O263">
        <v>2</v>
      </c>
      <c r="P263">
        <v>348</v>
      </c>
      <c r="R263">
        <v>73</v>
      </c>
      <c r="S263">
        <v>54</v>
      </c>
      <c r="T263">
        <v>0</v>
      </c>
      <c r="U263">
        <v>13</v>
      </c>
      <c r="V263">
        <v>16</v>
      </c>
      <c r="W263">
        <v>13</v>
      </c>
      <c r="X263">
        <v>1</v>
      </c>
      <c r="Y263">
        <v>156</v>
      </c>
      <c r="Z263">
        <v>0</v>
      </c>
      <c r="AK263">
        <v>7</v>
      </c>
      <c r="AL263">
        <v>1</v>
      </c>
      <c r="AM263">
        <v>0</v>
      </c>
      <c r="AN263">
        <v>2</v>
      </c>
      <c r="AR263">
        <v>0</v>
      </c>
      <c r="AS263">
        <v>0</v>
      </c>
      <c r="AT263">
        <v>3</v>
      </c>
      <c r="AU263">
        <v>0</v>
      </c>
      <c r="AV263">
        <v>0</v>
      </c>
      <c r="AW263">
        <v>1</v>
      </c>
      <c r="AX263">
        <v>1</v>
      </c>
      <c r="AY263">
        <v>0</v>
      </c>
      <c r="BC263">
        <v>0</v>
      </c>
      <c r="BD263">
        <v>7</v>
      </c>
      <c r="BE263">
        <v>348</v>
      </c>
      <c r="BF263">
        <v>348</v>
      </c>
      <c r="BG263">
        <v>438</v>
      </c>
      <c r="BJ263">
        <v>1</v>
      </c>
      <c r="BL263" t="s">
        <v>635</v>
      </c>
      <c r="BM263" s="4">
        <v>43283.036111111112</v>
      </c>
      <c r="BN263" s="4">
        <v>43283.044305555559</v>
      </c>
      <c r="BO263" s="4">
        <v>43283.044305555559</v>
      </c>
      <c r="BP263" t="s">
        <v>92</v>
      </c>
      <c r="BQ263" t="s">
        <v>93</v>
      </c>
      <c r="BR263" t="s">
        <v>94</v>
      </c>
    </row>
    <row r="264" spans="1:70" x14ac:dyDescent="0.3">
      <c r="A264" t="str">
        <f>"200181C0100"</f>
        <v>200181C0100</v>
      </c>
      <c r="B264" t="s">
        <v>636</v>
      </c>
      <c r="C264">
        <v>20</v>
      </c>
      <c r="D264" t="s">
        <v>88</v>
      </c>
      <c r="E264">
        <v>30</v>
      </c>
      <c r="F264" t="s">
        <v>630</v>
      </c>
      <c r="G264">
        <v>181</v>
      </c>
      <c r="H264">
        <v>1</v>
      </c>
      <c r="I264" t="s">
        <v>98</v>
      </c>
      <c r="J264">
        <v>0</v>
      </c>
      <c r="K264">
        <v>1</v>
      </c>
      <c r="L264">
        <v>5</v>
      </c>
      <c r="M264">
        <v>108</v>
      </c>
      <c r="N264">
        <v>351</v>
      </c>
      <c r="O264">
        <v>2</v>
      </c>
      <c r="P264">
        <v>352</v>
      </c>
      <c r="R264">
        <v>114</v>
      </c>
      <c r="S264">
        <v>54</v>
      </c>
      <c r="T264">
        <v>0</v>
      </c>
      <c r="U264">
        <v>4</v>
      </c>
      <c r="V264">
        <v>8</v>
      </c>
      <c r="W264">
        <v>15</v>
      </c>
      <c r="X264">
        <v>1</v>
      </c>
      <c r="Y264">
        <v>141</v>
      </c>
      <c r="Z264">
        <v>1</v>
      </c>
      <c r="AK264">
        <v>2</v>
      </c>
      <c r="AL264">
        <v>1</v>
      </c>
      <c r="AM264">
        <v>0</v>
      </c>
      <c r="AN264">
        <v>1</v>
      </c>
      <c r="AR264">
        <v>1</v>
      </c>
      <c r="AS264">
        <v>1</v>
      </c>
      <c r="AT264">
        <v>2</v>
      </c>
      <c r="AU264">
        <v>0</v>
      </c>
      <c r="AV264">
        <v>0</v>
      </c>
      <c r="AW264">
        <v>1</v>
      </c>
      <c r="AX264">
        <v>1</v>
      </c>
      <c r="AY264">
        <v>0</v>
      </c>
      <c r="BC264">
        <v>1</v>
      </c>
      <c r="BD264">
        <v>3</v>
      </c>
      <c r="BE264">
        <v>352</v>
      </c>
      <c r="BF264">
        <v>352</v>
      </c>
      <c r="BG264">
        <v>437</v>
      </c>
      <c r="BJ264">
        <v>1</v>
      </c>
      <c r="BL264" t="s">
        <v>637</v>
      </c>
      <c r="BM264" s="4">
        <v>43283.038194444445</v>
      </c>
      <c r="BN264" s="4">
        <v>43283.043298611112</v>
      </c>
      <c r="BO264" s="4">
        <v>43283.043298611112</v>
      </c>
      <c r="BP264" t="s">
        <v>92</v>
      </c>
      <c r="BQ264" t="s">
        <v>93</v>
      </c>
      <c r="BR264" t="s">
        <v>94</v>
      </c>
    </row>
    <row r="265" spans="1:70" x14ac:dyDescent="0.3">
      <c r="A265" t="str">
        <f>"200182B0100"</f>
        <v>200182B0100</v>
      </c>
      <c r="B265" t="s">
        <v>638</v>
      </c>
      <c r="C265">
        <v>20</v>
      </c>
      <c r="D265" t="s">
        <v>88</v>
      </c>
      <c r="E265">
        <v>30</v>
      </c>
      <c r="F265" t="s">
        <v>630</v>
      </c>
      <c r="G265">
        <v>182</v>
      </c>
      <c r="H265">
        <v>1</v>
      </c>
      <c r="I265" t="s">
        <v>90</v>
      </c>
      <c r="J265">
        <v>0</v>
      </c>
      <c r="K265">
        <v>1</v>
      </c>
      <c r="L265">
        <v>5</v>
      </c>
      <c r="M265">
        <v>91</v>
      </c>
      <c r="N265">
        <v>419</v>
      </c>
      <c r="O265">
        <v>6</v>
      </c>
      <c r="P265">
        <v>417</v>
      </c>
      <c r="R265">
        <v>67</v>
      </c>
      <c r="S265">
        <v>90</v>
      </c>
      <c r="T265">
        <v>0</v>
      </c>
      <c r="U265">
        <v>0</v>
      </c>
      <c r="V265">
        <v>15</v>
      </c>
      <c r="W265">
        <v>10</v>
      </c>
      <c r="X265">
        <v>18</v>
      </c>
      <c r="Y265">
        <v>202</v>
      </c>
      <c r="Z265">
        <v>3</v>
      </c>
      <c r="AK265">
        <v>1</v>
      </c>
      <c r="AL265">
        <v>3</v>
      </c>
      <c r="AM265">
        <v>0</v>
      </c>
      <c r="AN265">
        <v>1</v>
      </c>
      <c r="AR265">
        <v>0</v>
      </c>
      <c r="AS265">
        <v>2</v>
      </c>
      <c r="AT265">
        <v>0</v>
      </c>
      <c r="AU265">
        <v>0</v>
      </c>
      <c r="AV265">
        <v>0</v>
      </c>
      <c r="AW265">
        <v>2</v>
      </c>
      <c r="AX265">
        <v>0</v>
      </c>
      <c r="AY265">
        <v>0</v>
      </c>
      <c r="BC265">
        <v>0</v>
      </c>
      <c r="BD265">
        <v>3</v>
      </c>
      <c r="BE265">
        <v>417</v>
      </c>
      <c r="BF265">
        <v>417</v>
      </c>
      <c r="BG265">
        <v>487</v>
      </c>
      <c r="BJ265">
        <v>1</v>
      </c>
      <c r="BL265" t="s">
        <v>639</v>
      </c>
      <c r="BM265" s="4">
        <v>43283.156944444447</v>
      </c>
      <c r="BN265" s="4">
        <v>43283.167511574073</v>
      </c>
      <c r="BO265" s="4">
        <v>43283.167511574073</v>
      </c>
      <c r="BP265" t="s">
        <v>92</v>
      </c>
      <c r="BQ265" t="s">
        <v>93</v>
      </c>
      <c r="BR265" t="s">
        <v>94</v>
      </c>
    </row>
    <row r="266" spans="1:70" x14ac:dyDescent="0.3">
      <c r="A266" t="str">
        <f>"200182C0100"</f>
        <v>200182C0100</v>
      </c>
      <c r="B266" t="s">
        <v>640</v>
      </c>
      <c r="C266">
        <v>20</v>
      </c>
      <c r="D266" t="s">
        <v>88</v>
      </c>
      <c r="E266">
        <v>30</v>
      </c>
      <c r="F266" t="s">
        <v>630</v>
      </c>
      <c r="G266">
        <v>182</v>
      </c>
      <c r="H266">
        <v>1</v>
      </c>
      <c r="I266" t="s">
        <v>98</v>
      </c>
      <c r="J266">
        <v>0</v>
      </c>
      <c r="K266">
        <v>1</v>
      </c>
      <c r="L266">
        <v>5</v>
      </c>
      <c r="M266" t="s">
        <v>105</v>
      </c>
      <c r="N266" t="s">
        <v>105</v>
      </c>
      <c r="O266" t="s">
        <v>105</v>
      </c>
      <c r="P266" t="s">
        <v>105</v>
      </c>
      <c r="R266">
        <v>76</v>
      </c>
      <c r="S266">
        <v>63</v>
      </c>
      <c r="T266">
        <v>1</v>
      </c>
      <c r="U266">
        <v>14</v>
      </c>
      <c r="V266" t="s">
        <v>105</v>
      </c>
      <c r="W266" t="s">
        <v>105</v>
      </c>
      <c r="X266" t="s">
        <v>105</v>
      </c>
      <c r="Y266">
        <v>209</v>
      </c>
      <c r="Z266">
        <v>2</v>
      </c>
      <c r="AK266">
        <v>1</v>
      </c>
      <c r="AL266">
        <v>2</v>
      </c>
      <c r="AM266" t="s">
        <v>105</v>
      </c>
      <c r="AN266" t="s">
        <v>105</v>
      </c>
      <c r="AR266" t="s">
        <v>105</v>
      </c>
      <c r="AS266" t="s">
        <v>105</v>
      </c>
      <c r="AT266" t="s">
        <v>105</v>
      </c>
      <c r="AU266" t="s">
        <v>105</v>
      </c>
      <c r="AV266" t="s">
        <v>105</v>
      </c>
      <c r="AW266">
        <v>1</v>
      </c>
      <c r="AX266" t="s">
        <v>105</v>
      </c>
      <c r="AY266" t="s">
        <v>105</v>
      </c>
      <c r="BC266">
        <v>16</v>
      </c>
      <c r="BD266">
        <v>4</v>
      </c>
      <c r="BE266">
        <v>389</v>
      </c>
      <c r="BF266">
        <v>389</v>
      </c>
      <c r="BG266">
        <v>487</v>
      </c>
      <c r="BI266" t="s">
        <v>106</v>
      </c>
      <c r="BJ266">
        <v>1</v>
      </c>
      <c r="BL266" t="s">
        <v>641</v>
      </c>
      <c r="BM266" s="4">
        <v>43283.068055555559</v>
      </c>
      <c r="BN266" s="4">
        <v>43283.074618055558</v>
      </c>
      <c r="BO266" s="4">
        <v>43283.074618055558</v>
      </c>
      <c r="BP266" t="s">
        <v>92</v>
      </c>
      <c r="BQ266" t="s">
        <v>93</v>
      </c>
      <c r="BR266" t="s">
        <v>94</v>
      </c>
    </row>
    <row r="267" spans="1:70" x14ac:dyDescent="0.3">
      <c r="A267" t="str">
        <f>"200183B0100"</f>
        <v>200183B0100</v>
      </c>
      <c r="B267" t="s">
        <v>642</v>
      </c>
      <c r="C267">
        <v>20</v>
      </c>
      <c r="D267" t="s">
        <v>88</v>
      </c>
      <c r="E267">
        <v>30</v>
      </c>
      <c r="F267" t="s">
        <v>630</v>
      </c>
      <c r="G267">
        <v>183</v>
      </c>
      <c r="H267">
        <v>1</v>
      </c>
      <c r="I267" t="s">
        <v>90</v>
      </c>
      <c r="J267">
        <v>0</v>
      </c>
      <c r="K267">
        <v>1</v>
      </c>
      <c r="L267">
        <v>5</v>
      </c>
      <c r="M267">
        <v>176</v>
      </c>
      <c r="N267">
        <v>456</v>
      </c>
      <c r="O267">
        <v>4</v>
      </c>
      <c r="P267">
        <v>454</v>
      </c>
      <c r="R267">
        <v>62</v>
      </c>
      <c r="S267">
        <v>102</v>
      </c>
      <c r="T267">
        <v>0</v>
      </c>
      <c r="U267">
        <v>18</v>
      </c>
      <c r="V267">
        <v>23</v>
      </c>
      <c r="W267">
        <v>44</v>
      </c>
      <c r="X267">
        <v>2</v>
      </c>
      <c r="Y267">
        <v>176</v>
      </c>
      <c r="Z267">
        <v>3</v>
      </c>
      <c r="AK267">
        <v>6</v>
      </c>
      <c r="AL267">
        <v>2</v>
      </c>
      <c r="AM267">
        <v>0</v>
      </c>
      <c r="AN267">
        <v>0</v>
      </c>
      <c r="AR267">
        <v>1</v>
      </c>
      <c r="AS267">
        <v>1</v>
      </c>
      <c r="AT267">
        <v>1</v>
      </c>
      <c r="AU267">
        <v>0</v>
      </c>
      <c r="AV267">
        <v>0</v>
      </c>
      <c r="AW267">
        <v>3</v>
      </c>
      <c r="AX267">
        <v>3</v>
      </c>
      <c r="AY267">
        <v>0</v>
      </c>
      <c r="BC267">
        <v>0</v>
      </c>
      <c r="BD267">
        <v>7</v>
      </c>
      <c r="BE267">
        <v>454</v>
      </c>
      <c r="BF267">
        <v>454</v>
      </c>
      <c r="BG267">
        <v>610</v>
      </c>
      <c r="BJ267">
        <v>1</v>
      </c>
      <c r="BL267" t="s">
        <v>643</v>
      </c>
      <c r="BM267" s="4">
        <v>43283.070833333331</v>
      </c>
      <c r="BN267" s="4">
        <v>43283.075937499998</v>
      </c>
      <c r="BO267" s="4">
        <v>43283.075937499998</v>
      </c>
      <c r="BP267" t="s">
        <v>92</v>
      </c>
      <c r="BQ267" t="s">
        <v>93</v>
      </c>
      <c r="BR267" t="s">
        <v>94</v>
      </c>
    </row>
    <row r="268" spans="1:70" x14ac:dyDescent="0.3">
      <c r="A268" t="str">
        <f>"200183C0100"</f>
        <v>200183C0100</v>
      </c>
      <c r="B268" t="s">
        <v>644</v>
      </c>
      <c r="C268">
        <v>20</v>
      </c>
      <c r="D268" t="s">
        <v>88</v>
      </c>
      <c r="E268">
        <v>30</v>
      </c>
      <c r="F268" t="s">
        <v>630</v>
      </c>
      <c r="G268">
        <v>183</v>
      </c>
      <c r="H268">
        <v>1</v>
      </c>
      <c r="I268" t="s">
        <v>98</v>
      </c>
      <c r="J268">
        <v>0</v>
      </c>
      <c r="K268">
        <v>1</v>
      </c>
      <c r="L268">
        <v>5</v>
      </c>
      <c r="M268">
        <v>155</v>
      </c>
      <c r="N268">
        <v>476</v>
      </c>
      <c r="O268">
        <v>0</v>
      </c>
      <c r="P268">
        <v>473</v>
      </c>
      <c r="R268">
        <v>61</v>
      </c>
      <c r="S268">
        <v>103</v>
      </c>
      <c r="T268">
        <v>3</v>
      </c>
      <c r="U268">
        <v>25</v>
      </c>
      <c r="V268">
        <v>6</v>
      </c>
      <c r="W268">
        <v>52</v>
      </c>
      <c r="X268">
        <v>2</v>
      </c>
      <c r="Y268">
        <v>196</v>
      </c>
      <c r="Z268">
        <v>2</v>
      </c>
      <c r="AK268">
        <v>5</v>
      </c>
      <c r="AL268">
        <v>4</v>
      </c>
      <c r="AM268">
        <v>0</v>
      </c>
      <c r="AN268">
        <v>2</v>
      </c>
      <c r="AR268">
        <v>0</v>
      </c>
      <c r="AS268">
        <v>0</v>
      </c>
      <c r="AT268">
        <v>1</v>
      </c>
      <c r="AU268">
        <v>0</v>
      </c>
      <c r="AV268">
        <v>0</v>
      </c>
      <c r="AW268">
        <v>2</v>
      </c>
      <c r="AX268">
        <v>1</v>
      </c>
      <c r="AY268">
        <v>1</v>
      </c>
      <c r="BC268">
        <v>0</v>
      </c>
      <c r="BD268">
        <v>10</v>
      </c>
      <c r="BE268">
        <v>476</v>
      </c>
      <c r="BF268">
        <v>476</v>
      </c>
      <c r="BG268">
        <v>609</v>
      </c>
      <c r="BJ268">
        <v>1</v>
      </c>
      <c r="BL268" t="s">
        <v>645</v>
      </c>
      <c r="BM268" s="4">
        <v>43283.072222222225</v>
      </c>
      <c r="BN268" s="4">
        <v>43283.076273148145</v>
      </c>
      <c r="BO268" s="4">
        <v>43283.076273148145</v>
      </c>
      <c r="BP268" t="s">
        <v>92</v>
      </c>
      <c r="BQ268" t="s">
        <v>93</v>
      </c>
      <c r="BR268" t="s">
        <v>94</v>
      </c>
    </row>
    <row r="269" spans="1:70" x14ac:dyDescent="0.3">
      <c r="A269" t="str">
        <f>"200184B0100"</f>
        <v>200184B0100</v>
      </c>
      <c r="B269" t="s">
        <v>646</v>
      </c>
      <c r="C269">
        <v>20</v>
      </c>
      <c r="D269" t="s">
        <v>88</v>
      </c>
      <c r="E269">
        <v>30</v>
      </c>
      <c r="F269" t="s">
        <v>630</v>
      </c>
      <c r="G269">
        <v>184</v>
      </c>
      <c r="H269">
        <v>1</v>
      </c>
      <c r="I269" t="s">
        <v>90</v>
      </c>
      <c r="J269">
        <v>0</v>
      </c>
      <c r="K269">
        <v>1</v>
      </c>
      <c r="L269">
        <v>5</v>
      </c>
      <c r="BG269">
        <v>525</v>
      </c>
      <c r="BI269" t="s">
        <v>122</v>
      </c>
      <c r="BJ269">
        <v>0</v>
      </c>
      <c r="BL269" t="s">
        <v>647</v>
      </c>
      <c r="BM269" s="4">
        <v>43283.224999999999</v>
      </c>
      <c r="BN269" s="4">
        <v>43283.252141203702</v>
      </c>
      <c r="BO269" s="4">
        <v>43283.252141203702</v>
      </c>
      <c r="BP269" t="s">
        <v>92</v>
      </c>
      <c r="BQ269" t="s">
        <v>93</v>
      </c>
      <c r="BR269" t="s">
        <v>94</v>
      </c>
    </row>
    <row r="270" spans="1:70" x14ac:dyDescent="0.3">
      <c r="A270" t="str">
        <f>"200184C0100"</f>
        <v>200184C0100</v>
      </c>
      <c r="B270" t="s">
        <v>648</v>
      </c>
      <c r="C270">
        <v>20</v>
      </c>
      <c r="D270" t="s">
        <v>88</v>
      </c>
      <c r="E270">
        <v>30</v>
      </c>
      <c r="F270" t="s">
        <v>630</v>
      </c>
      <c r="G270">
        <v>184</v>
      </c>
      <c r="H270">
        <v>1</v>
      </c>
      <c r="I270" t="s">
        <v>98</v>
      </c>
      <c r="J270">
        <v>0</v>
      </c>
      <c r="K270">
        <v>1</v>
      </c>
      <c r="L270">
        <v>5</v>
      </c>
      <c r="M270">
        <v>131</v>
      </c>
      <c r="N270" t="s">
        <v>105</v>
      </c>
      <c r="O270">
        <v>2</v>
      </c>
      <c r="P270" t="s">
        <v>105</v>
      </c>
      <c r="R270">
        <v>78</v>
      </c>
      <c r="S270">
        <v>69</v>
      </c>
      <c r="T270">
        <v>2</v>
      </c>
      <c r="U270">
        <v>13</v>
      </c>
      <c r="V270">
        <v>7</v>
      </c>
      <c r="W270">
        <v>48</v>
      </c>
      <c r="X270">
        <v>0</v>
      </c>
      <c r="Y270">
        <v>189</v>
      </c>
      <c r="Z270">
        <v>2</v>
      </c>
      <c r="AK270" t="s">
        <v>105</v>
      </c>
      <c r="AL270" t="s">
        <v>105</v>
      </c>
      <c r="AM270" t="s">
        <v>105</v>
      </c>
      <c r="AN270" t="s">
        <v>105</v>
      </c>
      <c r="AR270" t="s">
        <v>105</v>
      </c>
      <c r="AS270" t="s">
        <v>105</v>
      </c>
      <c r="AT270" t="s">
        <v>105</v>
      </c>
      <c r="AU270" t="s">
        <v>105</v>
      </c>
      <c r="AV270" t="s">
        <v>105</v>
      </c>
      <c r="AW270" t="s">
        <v>105</v>
      </c>
      <c r="AX270" t="s">
        <v>105</v>
      </c>
      <c r="AY270" t="s">
        <v>105</v>
      </c>
      <c r="BC270" t="s">
        <v>105</v>
      </c>
      <c r="BD270">
        <v>2</v>
      </c>
      <c r="BE270">
        <v>410</v>
      </c>
      <c r="BF270">
        <v>410</v>
      </c>
      <c r="BG270">
        <v>524</v>
      </c>
      <c r="BI270" t="s">
        <v>106</v>
      </c>
      <c r="BJ270">
        <v>1</v>
      </c>
      <c r="BL270" t="s">
        <v>649</v>
      </c>
      <c r="BM270" s="4">
        <v>43283.104166666664</v>
      </c>
      <c r="BN270" s="4">
        <v>43283.10765046296</v>
      </c>
      <c r="BO270" s="4">
        <v>43283.10765046296</v>
      </c>
      <c r="BP270" t="s">
        <v>92</v>
      </c>
      <c r="BQ270" t="s">
        <v>93</v>
      </c>
      <c r="BR270" t="s">
        <v>94</v>
      </c>
    </row>
    <row r="271" spans="1:70" x14ac:dyDescent="0.3">
      <c r="A271" t="str">
        <f>"200185B0100"</f>
        <v>200185B0100</v>
      </c>
      <c r="B271" t="s">
        <v>650</v>
      </c>
      <c r="C271">
        <v>20</v>
      </c>
      <c r="D271" t="s">
        <v>88</v>
      </c>
      <c r="E271">
        <v>30</v>
      </c>
      <c r="F271" t="s">
        <v>630</v>
      </c>
      <c r="G271">
        <v>185</v>
      </c>
      <c r="H271">
        <v>1</v>
      </c>
      <c r="I271" t="s">
        <v>90</v>
      </c>
      <c r="J271">
        <v>0</v>
      </c>
      <c r="K271">
        <v>1</v>
      </c>
      <c r="L271">
        <v>5</v>
      </c>
      <c r="M271">
        <v>97</v>
      </c>
      <c r="N271">
        <v>334</v>
      </c>
      <c r="O271">
        <v>7</v>
      </c>
      <c r="P271">
        <v>0</v>
      </c>
      <c r="R271">
        <v>68</v>
      </c>
      <c r="S271">
        <v>73</v>
      </c>
      <c r="T271">
        <v>1</v>
      </c>
      <c r="U271">
        <v>11</v>
      </c>
      <c r="V271">
        <v>6</v>
      </c>
      <c r="W271">
        <v>12</v>
      </c>
      <c r="X271">
        <v>0</v>
      </c>
      <c r="Y271">
        <v>150</v>
      </c>
      <c r="Z271">
        <v>5</v>
      </c>
      <c r="AK271">
        <v>2</v>
      </c>
      <c r="AL271">
        <v>0</v>
      </c>
      <c r="AM271">
        <v>0</v>
      </c>
      <c r="AN271">
        <v>1</v>
      </c>
      <c r="AR271">
        <v>0</v>
      </c>
      <c r="AS271">
        <v>0</v>
      </c>
      <c r="AT271">
        <v>1</v>
      </c>
      <c r="AU271">
        <v>0</v>
      </c>
      <c r="AV271">
        <v>0</v>
      </c>
      <c r="AW271">
        <v>1</v>
      </c>
      <c r="AX271">
        <v>0</v>
      </c>
      <c r="AY271">
        <v>0</v>
      </c>
      <c r="BC271">
        <v>0</v>
      </c>
      <c r="BD271">
        <v>3</v>
      </c>
      <c r="BE271">
        <v>334</v>
      </c>
      <c r="BF271">
        <v>334</v>
      </c>
      <c r="BG271">
        <v>409</v>
      </c>
      <c r="BJ271">
        <v>1</v>
      </c>
      <c r="BL271" t="s">
        <v>651</v>
      </c>
      <c r="BM271" s="4">
        <v>43283.052777777775</v>
      </c>
      <c r="BN271" s="4">
        <v>43283.057245370372</v>
      </c>
      <c r="BO271" s="4">
        <v>43283.057245370372</v>
      </c>
      <c r="BP271" t="s">
        <v>92</v>
      </c>
      <c r="BQ271" t="s">
        <v>93</v>
      </c>
      <c r="BR271" t="s">
        <v>94</v>
      </c>
    </row>
    <row r="272" spans="1:70" x14ac:dyDescent="0.3">
      <c r="A272" t="str">
        <f>"200185C0100"</f>
        <v>200185C0100</v>
      </c>
      <c r="B272" t="s">
        <v>652</v>
      </c>
      <c r="C272">
        <v>20</v>
      </c>
      <c r="D272" t="s">
        <v>88</v>
      </c>
      <c r="E272">
        <v>30</v>
      </c>
      <c r="F272" t="s">
        <v>630</v>
      </c>
      <c r="G272">
        <v>185</v>
      </c>
      <c r="H272">
        <v>1</v>
      </c>
      <c r="I272" t="s">
        <v>98</v>
      </c>
      <c r="J272">
        <v>0</v>
      </c>
      <c r="K272">
        <v>1</v>
      </c>
      <c r="L272">
        <v>5</v>
      </c>
      <c r="M272">
        <v>109</v>
      </c>
      <c r="N272">
        <v>321</v>
      </c>
      <c r="O272">
        <v>6</v>
      </c>
      <c r="P272">
        <v>321</v>
      </c>
      <c r="R272">
        <v>76</v>
      </c>
      <c r="S272">
        <v>72</v>
      </c>
      <c r="T272">
        <v>0</v>
      </c>
      <c r="U272">
        <v>9</v>
      </c>
      <c r="V272">
        <v>7</v>
      </c>
      <c r="W272">
        <v>12</v>
      </c>
      <c r="X272">
        <v>0</v>
      </c>
      <c r="Y272">
        <v>137</v>
      </c>
      <c r="Z272">
        <v>0</v>
      </c>
      <c r="AK272">
        <v>1</v>
      </c>
      <c r="AL272">
        <v>1</v>
      </c>
      <c r="AM272">
        <v>0</v>
      </c>
      <c r="AN272">
        <v>0</v>
      </c>
      <c r="AR272">
        <v>0</v>
      </c>
      <c r="AS272">
        <v>1</v>
      </c>
      <c r="AT272">
        <v>0</v>
      </c>
      <c r="AU272">
        <v>0</v>
      </c>
      <c r="AV272">
        <v>0</v>
      </c>
      <c r="AW272">
        <v>1</v>
      </c>
      <c r="AX272">
        <v>0</v>
      </c>
      <c r="AY272">
        <v>0</v>
      </c>
      <c r="BC272">
        <v>0</v>
      </c>
      <c r="BD272">
        <v>4</v>
      </c>
      <c r="BE272">
        <v>321</v>
      </c>
      <c r="BF272">
        <v>321</v>
      </c>
      <c r="BG272">
        <v>408</v>
      </c>
      <c r="BJ272">
        <v>1</v>
      </c>
      <c r="BL272" t="s">
        <v>653</v>
      </c>
      <c r="BM272" s="4">
        <v>43282.957638888889</v>
      </c>
      <c r="BN272" s="4">
        <v>43282.963587962964</v>
      </c>
      <c r="BO272" s="4">
        <v>43282.963587962964</v>
      </c>
      <c r="BP272" t="s">
        <v>92</v>
      </c>
      <c r="BQ272" t="s">
        <v>93</v>
      </c>
      <c r="BR272" t="s">
        <v>94</v>
      </c>
    </row>
    <row r="273" spans="1:70" x14ac:dyDescent="0.3">
      <c r="A273" t="str">
        <f>"200186B0100"</f>
        <v>200186B0100</v>
      </c>
      <c r="B273" t="s">
        <v>654</v>
      </c>
      <c r="C273">
        <v>20</v>
      </c>
      <c r="D273" t="s">
        <v>88</v>
      </c>
      <c r="E273">
        <v>30</v>
      </c>
      <c r="F273" t="s">
        <v>630</v>
      </c>
      <c r="G273">
        <v>186</v>
      </c>
      <c r="H273">
        <v>1</v>
      </c>
      <c r="I273" t="s">
        <v>90</v>
      </c>
      <c r="J273">
        <v>0</v>
      </c>
      <c r="K273">
        <v>1</v>
      </c>
      <c r="L273">
        <v>5</v>
      </c>
      <c r="M273">
        <v>139</v>
      </c>
      <c r="N273">
        <v>500</v>
      </c>
      <c r="O273">
        <v>3</v>
      </c>
      <c r="P273">
        <v>361</v>
      </c>
      <c r="R273">
        <v>68</v>
      </c>
      <c r="S273">
        <v>70</v>
      </c>
      <c r="T273">
        <v>1</v>
      </c>
      <c r="U273">
        <v>25</v>
      </c>
      <c r="V273">
        <v>7</v>
      </c>
      <c r="W273">
        <v>23</v>
      </c>
      <c r="X273">
        <v>0</v>
      </c>
      <c r="Y273">
        <v>137</v>
      </c>
      <c r="Z273">
        <v>4</v>
      </c>
      <c r="AK273">
        <v>8</v>
      </c>
      <c r="AL273">
        <v>4</v>
      </c>
      <c r="AM273">
        <v>0</v>
      </c>
      <c r="AN273">
        <v>1</v>
      </c>
      <c r="AR273">
        <v>0</v>
      </c>
      <c r="AS273">
        <v>1</v>
      </c>
      <c r="AT273">
        <v>0</v>
      </c>
      <c r="AU273">
        <v>0</v>
      </c>
      <c r="AV273">
        <v>0</v>
      </c>
      <c r="AW273">
        <v>3</v>
      </c>
      <c r="AX273">
        <v>1</v>
      </c>
      <c r="AY273">
        <v>0</v>
      </c>
      <c r="BC273">
        <v>0</v>
      </c>
      <c r="BD273">
        <v>8</v>
      </c>
      <c r="BE273">
        <v>361</v>
      </c>
      <c r="BF273">
        <v>361</v>
      </c>
      <c r="BG273">
        <v>478</v>
      </c>
      <c r="BJ273">
        <v>1</v>
      </c>
      <c r="BL273" t="s">
        <v>655</v>
      </c>
      <c r="BM273" s="4">
        <v>43283.009722222225</v>
      </c>
      <c r="BN273" s="4">
        <v>43283.013842592591</v>
      </c>
      <c r="BO273" s="4">
        <v>43283.013842592591</v>
      </c>
      <c r="BP273" t="s">
        <v>92</v>
      </c>
      <c r="BQ273" t="s">
        <v>93</v>
      </c>
      <c r="BR273" t="s">
        <v>94</v>
      </c>
    </row>
    <row r="274" spans="1:70" x14ac:dyDescent="0.3">
      <c r="A274" t="str">
        <f>"200186C0100"</f>
        <v>200186C0100</v>
      </c>
      <c r="B274" t="s">
        <v>656</v>
      </c>
      <c r="C274">
        <v>20</v>
      </c>
      <c r="D274" t="s">
        <v>88</v>
      </c>
      <c r="E274">
        <v>30</v>
      </c>
      <c r="F274" t="s">
        <v>630</v>
      </c>
      <c r="G274">
        <v>186</v>
      </c>
      <c r="H274">
        <v>1</v>
      </c>
      <c r="I274" t="s">
        <v>98</v>
      </c>
      <c r="J274">
        <v>0</v>
      </c>
      <c r="K274">
        <v>1</v>
      </c>
      <c r="L274">
        <v>5</v>
      </c>
      <c r="M274">
        <v>118</v>
      </c>
      <c r="N274">
        <v>381</v>
      </c>
      <c r="O274">
        <v>5</v>
      </c>
      <c r="P274">
        <v>381</v>
      </c>
      <c r="R274">
        <v>77</v>
      </c>
      <c r="S274">
        <v>77</v>
      </c>
      <c r="T274">
        <v>1</v>
      </c>
      <c r="U274">
        <v>19</v>
      </c>
      <c r="V274">
        <v>10</v>
      </c>
      <c r="W274">
        <v>13</v>
      </c>
      <c r="X274">
        <v>0</v>
      </c>
      <c r="Y274">
        <v>166</v>
      </c>
      <c r="Z274">
        <v>2</v>
      </c>
      <c r="AK274">
        <v>1</v>
      </c>
      <c r="AL274">
        <v>4</v>
      </c>
      <c r="AM274">
        <v>0</v>
      </c>
      <c r="AN274">
        <v>0</v>
      </c>
      <c r="AR274">
        <v>1</v>
      </c>
      <c r="AS274">
        <v>0</v>
      </c>
      <c r="AT274">
        <v>3</v>
      </c>
      <c r="AU274">
        <v>0</v>
      </c>
      <c r="AV274">
        <v>0</v>
      </c>
      <c r="AW274">
        <v>0</v>
      </c>
      <c r="AX274">
        <v>0</v>
      </c>
      <c r="AY274">
        <v>1</v>
      </c>
      <c r="BC274">
        <v>0</v>
      </c>
      <c r="BD274">
        <v>6</v>
      </c>
      <c r="BE274">
        <v>381</v>
      </c>
      <c r="BF274">
        <v>381</v>
      </c>
      <c r="BG274">
        <v>478</v>
      </c>
      <c r="BJ274">
        <v>1</v>
      </c>
      <c r="BL274" t="s">
        <v>657</v>
      </c>
      <c r="BM274" s="4">
        <v>43283.018750000003</v>
      </c>
      <c r="BN274" s="4">
        <v>43283.024699074071</v>
      </c>
      <c r="BO274" s="4">
        <v>43283.024699074071</v>
      </c>
      <c r="BP274" t="s">
        <v>92</v>
      </c>
      <c r="BQ274" t="s">
        <v>93</v>
      </c>
      <c r="BR274" t="s">
        <v>94</v>
      </c>
    </row>
    <row r="275" spans="1:70" x14ac:dyDescent="0.3">
      <c r="A275" t="str">
        <f>"200187B0100"</f>
        <v>200187B0100</v>
      </c>
      <c r="B275" t="s">
        <v>658</v>
      </c>
      <c r="C275">
        <v>20</v>
      </c>
      <c r="D275" t="s">
        <v>88</v>
      </c>
      <c r="E275">
        <v>31</v>
      </c>
      <c r="F275" t="s">
        <v>659</v>
      </c>
      <c r="G275">
        <v>187</v>
      </c>
      <c r="H275">
        <v>1</v>
      </c>
      <c r="I275" t="s">
        <v>90</v>
      </c>
      <c r="J275">
        <v>0</v>
      </c>
      <c r="K275">
        <v>2</v>
      </c>
      <c r="L275">
        <v>5</v>
      </c>
      <c r="M275">
        <v>99</v>
      </c>
      <c r="N275">
        <v>319</v>
      </c>
      <c r="O275">
        <v>1</v>
      </c>
      <c r="P275">
        <v>319</v>
      </c>
      <c r="Q275">
        <v>1</v>
      </c>
      <c r="R275">
        <v>181</v>
      </c>
      <c r="S275">
        <v>21</v>
      </c>
      <c r="T275">
        <v>1</v>
      </c>
      <c r="U275">
        <v>1</v>
      </c>
      <c r="V275">
        <v>0</v>
      </c>
      <c r="X275">
        <v>1</v>
      </c>
      <c r="Y275">
        <v>103</v>
      </c>
      <c r="Z275">
        <v>0</v>
      </c>
      <c r="AC275">
        <v>0</v>
      </c>
      <c r="AD275">
        <v>0</v>
      </c>
      <c r="AE275">
        <v>0</v>
      </c>
      <c r="AF275">
        <v>0</v>
      </c>
      <c r="AK275">
        <v>0</v>
      </c>
      <c r="AL275">
        <v>0</v>
      </c>
      <c r="AM275">
        <v>1</v>
      </c>
      <c r="AN275">
        <v>0</v>
      </c>
      <c r="AS275">
        <v>1</v>
      </c>
      <c r="AT275">
        <v>1</v>
      </c>
      <c r="AU275">
        <v>0</v>
      </c>
      <c r="AV275">
        <v>0</v>
      </c>
      <c r="BC275">
        <v>0</v>
      </c>
      <c r="BD275">
        <v>7</v>
      </c>
      <c r="BE275">
        <v>319</v>
      </c>
      <c r="BF275">
        <v>319</v>
      </c>
      <c r="BG275">
        <v>406</v>
      </c>
      <c r="BJ275">
        <v>1</v>
      </c>
      <c r="BL275" t="s">
        <v>660</v>
      </c>
      <c r="BM275" s="4">
        <v>43283.287499999999</v>
      </c>
      <c r="BN275" s="4">
        <v>43283.317627314813</v>
      </c>
      <c r="BO275" s="4">
        <v>43283.317627314813</v>
      </c>
      <c r="BP275" t="s">
        <v>92</v>
      </c>
      <c r="BQ275" t="s">
        <v>93</v>
      </c>
      <c r="BR275" t="s">
        <v>94</v>
      </c>
    </row>
    <row r="276" spans="1:70" x14ac:dyDescent="0.3">
      <c r="A276" t="str">
        <f>"200188B0100"</f>
        <v>200188B0100</v>
      </c>
      <c r="B276" t="s">
        <v>661</v>
      </c>
      <c r="C276">
        <v>20</v>
      </c>
      <c r="D276" t="s">
        <v>88</v>
      </c>
      <c r="E276">
        <v>31</v>
      </c>
      <c r="F276" t="s">
        <v>659</v>
      </c>
      <c r="G276">
        <v>188</v>
      </c>
      <c r="H276">
        <v>1</v>
      </c>
      <c r="I276" t="s">
        <v>90</v>
      </c>
      <c r="J276">
        <v>0</v>
      </c>
      <c r="K276">
        <v>2</v>
      </c>
      <c r="L276">
        <v>5</v>
      </c>
      <c r="M276">
        <v>148</v>
      </c>
      <c r="N276">
        <v>282</v>
      </c>
      <c r="O276">
        <v>3</v>
      </c>
      <c r="P276">
        <v>282</v>
      </c>
      <c r="Q276">
        <v>8</v>
      </c>
      <c r="R276">
        <v>37</v>
      </c>
      <c r="S276">
        <v>201</v>
      </c>
      <c r="T276">
        <v>5</v>
      </c>
      <c r="U276">
        <v>0</v>
      </c>
      <c r="V276">
        <v>3</v>
      </c>
      <c r="X276">
        <v>0</v>
      </c>
      <c r="Y276">
        <v>8</v>
      </c>
      <c r="Z276">
        <v>0</v>
      </c>
      <c r="AC276">
        <v>2</v>
      </c>
      <c r="AD276">
        <v>4</v>
      </c>
      <c r="AE276">
        <v>0</v>
      </c>
      <c r="AF276">
        <v>2</v>
      </c>
      <c r="AK276">
        <v>0</v>
      </c>
      <c r="AL276">
        <v>0</v>
      </c>
      <c r="AM276">
        <v>0</v>
      </c>
      <c r="AN276">
        <v>0</v>
      </c>
      <c r="AS276">
        <v>0</v>
      </c>
      <c r="AT276">
        <v>1</v>
      </c>
      <c r="AU276">
        <v>0</v>
      </c>
      <c r="AV276">
        <v>0</v>
      </c>
      <c r="BC276">
        <v>0</v>
      </c>
      <c r="BD276">
        <v>11</v>
      </c>
      <c r="BE276">
        <v>282</v>
      </c>
      <c r="BF276">
        <v>282</v>
      </c>
      <c r="BG276">
        <v>408</v>
      </c>
      <c r="BJ276">
        <v>1</v>
      </c>
      <c r="BL276" t="s">
        <v>662</v>
      </c>
      <c r="BM276" s="4">
        <v>43283.270138888889</v>
      </c>
      <c r="BN276" s="4">
        <v>43283.314849537041</v>
      </c>
      <c r="BO276" s="4">
        <v>43283.314849537041</v>
      </c>
      <c r="BP276" t="s">
        <v>92</v>
      </c>
      <c r="BQ276" t="s">
        <v>93</v>
      </c>
      <c r="BR276" t="s">
        <v>94</v>
      </c>
    </row>
    <row r="277" spans="1:70" x14ac:dyDescent="0.3">
      <c r="A277" t="str">
        <f>"200189B0100"</f>
        <v>200189B0100</v>
      </c>
      <c r="B277" t="s">
        <v>663</v>
      </c>
      <c r="C277">
        <v>20</v>
      </c>
      <c r="D277" t="s">
        <v>88</v>
      </c>
      <c r="E277">
        <v>32</v>
      </c>
      <c r="F277" t="s">
        <v>664</v>
      </c>
      <c r="G277">
        <v>189</v>
      </c>
      <c r="H277">
        <v>1</v>
      </c>
      <c r="I277" t="s">
        <v>90</v>
      </c>
      <c r="J277">
        <v>0</v>
      </c>
      <c r="K277">
        <v>1</v>
      </c>
      <c r="L277">
        <v>5</v>
      </c>
      <c r="BG277">
        <v>420</v>
      </c>
      <c r="BI277" t="s">
        <v>365</v>
      </c>
      <c r="BJ277">
        <v>0</v>
      </c>
      <c r="BL277" t="s">
        <v>665</v>
      </c>
      <c r="BM277" s="4">
        <v>43283.605555555558</v>
      </c>
      <c r="BN277" s="4">
        <v>43283.608402777776</v>
      </c>
      <c r="BO277" s="4">
        <v>43283.608402777776</v>
      </c>
      <c r="BP277" t="s">
        <v>92</v>
      </c>
      <c r="BQ277" t="s">
        <v>93</v>
      </c>
      <c r="BR277" t="s">
        <v>94</v>
      </c>
    </row>
    <row r="278" spans="1:70" x14ac:dyDescent="0.3">
      <c r="A278" t="str">
        <f>"200190B0100"</f>
        <v>200190B0100</v>
      </c>
      <c r="B278" t="s">
        <v>666</v>
      </c>
      <c r="C278">
        <v>20</v>
      </c>
      <c r="D278" t="s">
        <v>88</v>
      </c>
      <c r="E278">
        <v>32</v>
      </c>
      <c r="F278" t="s">
        <v>664</v>
      </c>
      <c r="G278">
        <v>190</v>
      </c>
      <c r="H278">
        <v>1</v>
      </c>
      <c r="I278" t="s">
        <v>90</v>
      </c>
      <c r="J278">
        <v>0</v>
      </c>
      <c r="K278">
        <v>1</v>
      </c>
      <c r="L278">
        <v>5</v>
      </c>
      <c r="M278">
        <v>150</v>
      </c>
      <c r="N278">
        <v>290</v>
      </c>
      <c r="O278">
        <v>4</v>
      </c>
      <c r="P278">
        <v>290</v>
      </c>
      <c r="Q278">
        <v>0</v>
      </c>
      <c r="R278">
        <v>116</v>
      </c>
      <c r="S278">
        <v>34</v>
      </c>
      <c r="T278">
        <v>1</v>
      </c>
      <c r="U278">
        <v>111</v>
      </c>
      <c r="V278">
        <v>2</v>
      </c>
      <c r="X278">
        <v>0</v>
      </c>
      <c r="Y278">
        <v>4</v>
      </c>
      <c r="Z278">
        <v>0</v>
      </c>
      <c r="AC278">
        <v>1</v>
      </c>
      <c r="AD278">
        <v>0</v>
      </c>
      <c r="AE278">
        <v>0</v>
      </c>
      <c r="AF278">
        <v>0</v>
      </c>
      <c r="AG278">
        <v>1</v>
      </c>
      <c r="AH278">
        <v>3</v>
      </c>
      <c r="AI278">
        <v>0</v>
      </c>
      <c r="AJ278">
        <v>0</v>
      </c>
      <c r="AK278">
        <v>3</v>
      </c>
      <c r="AL278">
        <v>1</v>
      </c>
      <c r="AM278">
        <v>0</v>
      </c>
      <c r="AN278">
        <v>0</v>
      </c>
      <c r="BC278">
        <v>0</v>
      </c>
      <c r="BD278">
        <v>13</v>
      </c>
      <c r="BE278">
        <v>290</v>
      </c>
      <c r="BF278">
        <v>290</v>
      </c>
      <c r="BG278">
        <v>292</v>
      </c>
      <c r="BJ278">
        <v>1</v>
      </c>
      <c r="BL278" t="s">
        <v>667</v>
      </c>
      <c r="BM278" s="4">
        <v>43283.538888888892</v>
      </c>
      <c r="BN278" s="4">
        <v>43283.550034722219</v>
      </c>
      <c r="BO278" s="4">
        <v>43283.550034722219</v>
      </c>
      <c r="BP278" t="s">
        <v>92</v>
      </c>
      <c r="BQ278" t="s">
        <v>93</v>
      </c>
      <c r="BR278" t="s">
        <v>94</v>
      </c>
    </row>
    <row r="279" spans="1:70" x14ac:dyDescent="0.3">
      <c r="A279" t="str">
        <f>"200191B0100"</f>
        <v>200191B0100</v>
      </c>
      <c r="B279" t="s">
        <v>668</v>
      </c>
      <c r="C279">
        <v>20</v>
      </c>
      <c r="D279" t="s">
        <v>88</v>
      </c>
      <c r="E279">
        <v>32</v>
      </c>
      <c r="F279" t="s">
        <v>664</v>
      </c>
      <c r="G279">
        <v>191</v>
      </c>
      <c r="H279">
        <v>1</v>
      </c>
      <c r="I279" t="s">
        <v>90</v>
      </c>
      <c r="J279">
        <v>0</v>
      </c>
      <c r="K279">
        <v>2</v>
      </c>
      <c r="L279">
        <v>5</v>
      </c>
      <c r="M279">
        <v>115</v>
      </c>
      <c r="N279">
        <v>281</v>
      </c>
      <c r="O279">
        <v>1</v>
      </c>
      <c r="P279">
        <v>281</v>
      </c>
      <c r="Q279">
        <v>1</v>
      </c>
      <c r="R279">
        <v>125</v>
      </c>
      <c r="S279">
        <v>70</v>
      </c>
      <c r="T279">
        <v>0</v>
      </c>
      <c r="U279">
        <v>33</v>
      </c>
      <c r="V279">
        <v>3</v>
      </c>
      <c r="X279">
        <v>2</v>
      </c>
      <c r="Y279">
        <v>21</v>
      </c>
      <c r="Z279">
        <v>1</v>
      </c>
      <c r="AC279">
        <v>1</v>
      </c>
      <c r="AD279">
        <v>2</v>
      </c>
      <c r="AE279">
        <v>0</v>
      </c>
      <c r="AF279">
        <v>0</v>
      </c>
      <c r="AG279">
        <v>0</v>
      </c>
      <c r="AH279">
        <v>1</v>
      </c>
      <c r="AI279">
        <v>1</v>
      </c>
      <c r="AJ279">
        <v>0</v>
      </c>
      <c r="AK279">
        <v>2</v>
      </c>
      <c r="AL279">
        <v>3</v>
      </c>
      <c r="AM279">
        <v>0</v>
      </c>
      <c r="AN279">
        <v>0</v>
      </c>
      <c r="BC279">
        <v>0</v>
      </c>
      <c r="BD279">
        <v>15</v>
      </c>
      <c r="BE279">
        <v>281</v>
      </c>
      <c r="BF279">
        <v>281</v>
      </c>
      <c r="BG279">
        <v>374</v>
      </c>
      <c r="BJ279">
        <v>1</v>
      </c>
      <c r="BL279" t="s">
        <v>669</v>
      </c>
      <c r="BM279" s="4">
        <v>43283.538194444445</v>
      </c>
      <c r="BN279" s="4">
        <v>43283.544108796297</v>
      </c>
      <c r="BO279" s="4">
        <v>43283.544108796297</v>
      </c>
      <c r="BP279" t="s">
        <v>92</v>
      </c>
      <c r="BQ279" t="s">
        <v>93</v>
      </c>
      <c r="BR279" t="s">
        <v>94</v>
      </c>
    </row>
    <row r="280" spans="1:70" x14ac:dyDescent="0.3">
      <c r="A280" t="str">
        <f>"200201B0100"</f>
        <v>200201B0100</v>
      </c>
      <c r="B280" t="s">
        <v>670</v>
      </c>
      <c r="C280">
        <v>20</v>
      </c>
      <c r="D280" t="s">
        <v>88</v>
      </c>
      <c r="E280">
        <v>37</v>
      </c>
      <c r="F280" t="s">
        <v>671</v>
      </c>
      <c r="G280">
        <v>201</v>
      </c>
      <c r="H280">
        <v>1</v>
      </c>
      <c r="I280" t="s">
        <v>90</v>
      </c>
      <c r="J280">
        <v>0</v>
      </c>
      <c r="K280">
        <v>1</v>
      </c>
      <c r="L280">
        <v>5</v>
      </c>
      <c r="M280">
        <v>303</v>
      </c>
      <c r="N280">
        <v>388</v>
      </c>
      <c r="O280">
        <v>0</v>
      </c>
      <c r="P280">
        <v>388</v>
      </c>
      <c r="Q280">
        <v>34</v>
      </c>
      <c r="R280">
        <v>95</v>
      </c>
      <c r="S280">
        <v>1</v>
      </c>
      <c r="T280">
        <v>51</v>
      </c>
      <c r="U280">
        <v>4</v>
      </c>
      <c r="V280">
        <v>2</v>
      </c>
      <c r="W280">
        <v>13</v>
      </c>
      <c r="X280">
        <v>2</v>
      </c>
      <c r="Y280">
        <v>113</v>
      </c>
      <c r="Z280">
        <v>4</v>
      </c>
      <c r="AA280">
        <v>4</v>
      </c>
      <c r="AB280">
        <v>4</v>
      </c>
      <c r="AC280">
        <v>0</v>
      </c>
      <c r="AD280">
        <v>0</v>
      </c>
      <c r="AE280">
        <v>0</v>
      </c>
      <c r="AF280">
        <v>0</v>
      </c>
      <c r="AK280">
        <v>1</v>
      </c>
      <c r="AL280">
        <v>2</v>
      </c>
      <c r="AM280">
        <v>0</v>
      </c>
      <c r="AN280">
        <v>2</v>
      </c>
      <c r="AZ280">
        <v>17</v>
      </c>
      <c r="BC280">
        <v>26</v>
      </c>
      <c r="BD280">
        <v>13</v>
      </c>
      <c r="BE280">
        <v>388</v>
      </c>
      <c r="BF280">
        <v>388</v>
      </c>
      <c r="BG280">
        <v>668</v>
      </c>
      <c r="BJ280">
        <v>1</v>
      </c>
      <c r="BL280" t="s">
        <v>672</v>
      </c>
      <c r="BM280" s="4">
        <v>43283.213194444441</v>
      </c>
      <c r="BN280" s="4">
        <v>43283.236273148148</v>
      </c>
      <c r="BO280" s="4">
        <v>43283.236273148148</v>
      </c>
      <c r="BP280" t="s">
        <v>92</v>
      </c>
      <c r="BQ280" t="s">
        <v>93</v>
      </c>
      <c r="BR280" t="s">
        <v>94</v>
      </c>
    </row>
    <row r="281" spans="1:70" x14ac:dyDescent="0.3">
      <c r="A281" t="str">
        <f>"200201C0100"</f>
        <v>200201C0100</v>
      </c>
      <c r="B281" t="s">
        <v>673</v>
      </c>
      <c r="C281">
        <v>20</v>
      </c>
      <c r="D281" t="s">
        <v>88</v>
      </c>
      <c r="E281">
        <v>37</v>
      </c>
      <c r="F281" t="s">
        <v>671</v>
      </c>
      <c r="G281">
        <v>201</v>
      </c>
      <c r="H281">
        <v>1</v>
      </c>
      <c r="I281" t="s">
        <v>98</v>
      </c>
      <c r="J281">
        <v>0</v>
      </c>
      <c r="K281">
        <v>1</v>
      </c>
      <c r="L281">
        <v>5</v>
      </c>
      <c r="M281">
        <v>297</v>
      </c>
      <c r="N281">
        <v>394</v>
      </c>
      <c r="O281">
        <v>1</v>
      </c>
      <c r="P281">
        <v>394</v>
      </c>
      <c r="Q281">
        <v>40</v>
      </c>
      <c r="R281">
        <v>90</v>
      </c>
      <c r="S281">
        <v>2</v>
      </c>
      <c r="T281">
        <v>47</v>
      </c>
      <c r="U281">
        <v>9</v>
      </c>
      <c r="V281">
        <v>3</v>
      </c>
      <c r="W281">
        <v>10</v>
      </c>
      <c r="X281">
        <v>5</v>
      </c>
      <c r="Y281">
        <v>109</v>
      </c>
      <c r="Z281">
        <v>5</v>
      </c>
      <c r="AA281">
        <v>5</v>
      </c>
      <c r="AB281">
        <v>3</v>
      </c>
      <c r="AC281">
        <v>0</v>
      </c>
      <c r="AD281">
        <v>0</v>
      </c>
      <c r="AE281">
        <v>0</v>
      </c>
      <c r="AF281">
        <v>0</v>
      </c>
      <c r="AK281">
        <v>3</v>
      </c>
      <c r="AL281">
        <v>1</v>
      </c>
      <c r="AM281">
        <v>0</v>
      </c>
      <c r="AN281">
        <v>1</v>
      </c>
      <c r="AZ281">
        <v>17</v>
      </c>
      <c r="BC281">
        <v>35</v>
      </c>
      <c r="BD281">
        <v>9</v>
      </c>
      <c r="BE281">
        <v>394</v>
      </c>
      <c r="BF281">
        <v>394</v>
      </c>
      <c r="BG281">
        <v>668</v>
      </c>
      <c r="BJ281">
        <v>1</v>
      </c>
      <c r="BL281" t="s">
        <v>674</v>
      </c>
      <c r="BM281" s="4">
        <v>43283.21875</v>
      </c>
      <c r="BN281" s="4">
        <v>43283.244201388887</v>
      </c>
      <c r="BO281" s="4">
        <v>43283.244201388887</v>
      </c>
      <c r="BP281" t="s">
        <v>92</v>
      </c>
      <c r="BQ281" t="s">
        <v>93</v>
      </c>
      <c r="BR281" t="s">
        <v>94</v>
      </c>
    </row>
    <row r="282" spans="1:70" x14ac:dyDescent="0.3">
      <c r="A282" t="str">
        <f>"200201C0200"</f>
        <v>200201C0200</v>
      </c>
      <c r="B282" t="s">
        <v>675</v>
      </c>
      <c r="C282">
        <v>20</v>
      </c>
      <c r="D282" t="s">
        <v>88</v>
      </c>
      <c r="E282">
        <v>37</v>
      </c>
      <c r="F282" t="s">
        <v>671</v>
      </c>
      <c r="G282">
        <v>201</v>
      </c>
      <c r="H282">
        <v>2</v>
      </c>
      <c r="I282" t="s">
        <v>98</v>
      </c>
      <c r="J282">
        <v>0</v>
      </c>
      <c r="K282">
        <v>1</v>
      </c>
      <c r="L282">
        <v>5</v>
      </c>
      <c r="M282">
        <v>299</v>
      </c>
      <c r="N282">
        <v>391</v>
      </c>
      <c r="O282">
        <v>1</v>
      </c>
      <c r="P282">
        <v>391</v>
      </c>
      <c r="Q282">
        <v>38</v>
      </c>
      <c r="R282">
        <v>101</v>
      </c>
      <c r="S282">
        <v>4</v>
      </c>
      <c r="T282">
        <v>33</v>
      </c>
      <c r="U282">
        <v>10</v>
      </c>
      <c r="V282">
        <v>3</v>
      </c>
      <c r="W282">
        <v>11</v>
      </c>
      <c r="X282">
        <v>3</v>
      </c>
      <c r="Y282">
        <v>121</v>
      </c>
      <c r="Z282">
        <v>3</v>
      </c>
      <c r="AA282">
        <v>2</v>
      </c>
      <c r="AB282">
        <v>1</v>
      </c>
      <c r="AC282">
        <v>0</v>
      </c>
      <c r="AD282">
        <v>0</v>
      </c>
      <c r="AE282">
        <v>0</v>
      </c>
      <c r="AF282">
        <v>0</v>
      </c>
      <c r="AK282">
        <v>2</v>
      </c>
      <c r="AL282">
        <v>1</v>
      </c>
      <c r="AM282">
        <v>1</v>
      </c>
      <c r="AN282">
        <v>0</v>
      </c>
      <c r="AZ282">
        <v>16</v>
      </c>
      <c r="BC282">
        <v>24</v>
      </c>
      <c r="BD282">
        <v>17</v>
      </c>
      <c r="BE282">
        <v>391</v>
      </c>
      <c r="BF282">
        <v>391</v>
      </c>
      <c r="BG282">
        <v>667</v>
      </c>
      <c r="BJ282">
        <v>1</v>
      </c>
      <c r="BL282" t="s">
        <v>676</v>
      </c>
      <c r="BM282" s="4">
        <v>43283.211111111108</v>
      </c>
      <c r="BN282" s="4">
        <v>43283.23646990741</v>
      </c>
      <c r="BO282" s="4">
        <v>43283.23646990741</v>
      </c>
      <c r="BP282" t="s">
        <v>92</v>
      </c>
      <c r="BQ282" t="s">
        <v>93</v>
      </c>
      <c r="BR282" t="s">
        <v>94</v>
      </c>
    </row>
    <row r="283" spans="1:70" x14ac:dyDescent="0.3">
      <c r="A283" t="str">
        <f>"200201C0300"</f>
        <v>200201C0300</v>
      </c>
      <c r="B283" t="s">
        <v>677</v>
      </c>
      <c r="C283">
        <v>20</v>
      </c>
      <c r="D283" t="s">
        <v>88</v>
      </c>
      <c r="E283">
        <v>37</v>
      </c>
      <c r="F283" t="s">
        <v>671</v>
      </c>
      <c r="G283">
        <v>201</v>
      </c>
      <c r="H283">
        <v>3</v>
      </c>
      <c r="I283" t="s">
        <v>98</v>
      </c>
      <c r="J283">
        <v>0</v>
      </c>
      <c r="K283">
        <v>1</v>
      </c>
      <c r="L283">
        <v>5</v>
      </c>
      <c r="BG283">
        <v>667</v>
      </c>
      <c r="BI283" t="s">
        <v>365</v>
      </c>
      <c r="BJ283">
        <v>0</v>
      </c>
      <c r="BL283" t="s">
        <v>678</v>
      </c>
      <c r="BM283" s="4">
        <v>43283.535416666666</v>
      </c>
      <c r="BN283" s="4">
        <v>43283.537499999999</v>
      </c>
      <c r="BO283" s="4">
        <v>43283.537499999999</v>
      </c>
      <c r="BP283" t="s">
        <v>92</v>
      </c>
      <c r="BQ283" t="s">
        <v>93</v>
      </c>
      <c r="BR283" t="s">
        <v>94</v>
      </c>
    </row>
    <row r="284" spans="1:70" x14ac:dyDescent="0.3">
      <c r="A284" t="str">
        <f>"200201C0400"</f>
        <v>200201C0400</v>
      </c>
      <c r="B284" t="s">
        <v>679</v>
      </c>
      <c r="C284">
        <v>20</v>
      </c>
      <c r="D284" t="s">
        <v>88</v>
      </c>
      <c r="E284">
        <v>37</v>
      </c>
      <c r="F284" t="s">
        <v>671</v>
      </c>
      <c r="G284">
        <v>201</v>
      </c>
      <c r="H284">
        <v>4</v>
      </c>
      <c r="I284" t="s">
        <v>98</v>
      </c>
      <c r="J284">
        <v>0</v>
      </c>
      <c r="K284">
        <v>1</v>
      </c>
      <c r="L284">
        <v>5</v>
      </c>
      <c r="M284">
        <v>305</v>
      </c>
      <c r="N284">
        <v>385</v>
      </c>
      <c r="O284">
        <v>1</v>
      </c>
      <c r="P284">
        <v>385</v>
      </c>
      <c r="Q284">
        <v>39</v>
      </c>
      <c r="R284">
        <v>95</v>
      </c>
      <c r="S284">
        <v>5</v>
      </c>
      <c r="T284">
        <v>40</v>
      </c>
      <c r="U284">
        <v>8</v>
      </c>
      <c r="V284">
        <v>0</v>
      </c>
      <c r="W284">
        <v>7</v>
      </c>
      <c r="X284">
        <v>1</v>
      </c>
      <c r="Y284">
        <v>111</v>
      </c>
      <c r="Z284">
        <v>6</v>
      </c>
      <c r="AA284">
        <v>1</v>
      </c>
      <c r="AB284">
        <v>6</v>
      </c>
      <c r="AC284">
        <v>2</v>
      </c>
      <c r="AD284">
        <v>0</v>
      </c>
      <c r="AE284">
        <v>0</v>
      </c>
      <c r="AF284">
        <v>0</v>
      </c>
      <c r="AK284">
        <v>3</v>
      </c>
      <c r="AL284">
        <v>1</v>
      </c>
      <c r="AM284">
        <v>0</v>
      </c>
      <c r="AN284">
        <v>0</v>
      </c>
      <c r="AZ284">
        <v>14</v>
      </c>
      <c r="BC284">
        <v>36</v>
      </c>
      <c r="BD284">
        <v>10</v>
      </c>
      <c r="BE284">
        <v>385</v>
      </c>
      <c r="BF284">
        <v>385</v>
      </c>
      <c r="BG284">
        <v>667</v>
      </c>
      <c r="BJ284">
        <v>1</v>
      </c>
      <c r="BL284" t="s">
        <v>680</v>
      </c>
      <c r="BM284" s="4">
        <v>43283.251388888886</v>
      </c>
      <c r="BN284" s="4">
        <v>43283.301828703705</v>
      </c>
      <c r="BO284" s="4">
        <v>43283.301828703705</v>
      </c>
      <c r="BP284" t="s">
        <v>92</v>
      </c>
      <c r="BQ284" t="s">
        <v>93</v>
      </c>
      <c r="BR284" t="s">
        <v>94</v>
      </c>
    </row>
    <row r="285" spans="1:70" x14ac:dyDescent="0.3">
      <c r="A285" t="str">
        <f>"200202B0100"</f>
        <v>200202B0100</v>
      </c>
      <c r="B285" t="s">
        <v>681</v>
      </c>
      <c r="C285">
        <v>20</v>
      </c>
      <c r="D285" t="s">
        <v>88</v>
      </c>
      <c r="E285">
        <v>37</v>
      </c>
      <c r="F285" t="s">
        <v>671</v>
      </c>
      <c r="G285">
        <v>202</v>
      </c>
      <c r="H285">
        <v>1</v>
      </c>
      <c r="I285" t="s">
        <v>90</v>
      </c>
      <c r="J285">
        <v>0</v>
      </c>
      <c r="K285">
        <v>1</v>
      </c>
      <c r="L285">
        <v>5</v>
      </c>
      <c r="M285">
        <v>288</v>
      </c>
      <c r="N285">
        <v>375</v>
      </c>
      <c r="O285">
        <v>8</v>
      </c>
      <c r="P285">
        <v>375</v>
      </c>
      <c r="Q285">
        <v>35</v>
      </c>
      <c r="R285">
        <v>80</v>
      </c>
      <c r="S285">
        <v>3</v>
      </c>
      <c r="T285">
        <v>37</v>
      </c>
      <c r="U285">
        <v>14</v>
      </c>
      <c r="V285">
        <v>3</v>
      </c>
      <c r="W285">
        <v>7</v>
      </c>
      <c r="X285">
        <v>7</v>
      </c>
      <c r="Y285">
        <v>118</v>
      </c>
      <c r="Z285">
        <v>1</v>
      </c>
      <c r="AA285">
        <v>0</v>
      </c>
      <c r="AB285">
        <v>5</v>
      </c>
      <c r="AC285">
        <v>0</v>
      </c>
      <c r="AD285">
        <v>0</v>
      </c>
      <c r="AE285">
        <v>0</v>
      </c>
      <c r="AF285">
        <v>0</v>
      </c>
      <c r="AK285">
        <v>2</v>
      </c>
      <c r="AL285">
        <v>0</v>
      </c>
      <c r="AM285">
        <v>4</v>
      </c>
      <c r="AN285">
        <v>0</v>
      </c>
      <c r="AZ285">
        <v>24</v>
      </c>
      <c r="BC285">
        <v>29</v>
      </c>
      <c r="BD285">
        <v>6</v>
      </c>
      <c r="BE285" t="s">
        <v>105</v>
      </c>
      <c r="BF285">
        <v>375</v>
      </c>
      <c r="BG285">
        <v>640</v>
      </c>
      <c r="BJ285">
        <v>1</v>
      </c>
      <c r="BL285" t="s">
        <v>682</v>
      </c>
      <c r="BM285" s="4">
        <v>43283.152083333334</v>
      </c>
      <c r="BN285" s="4">
        <v>43283.162106481483</v>
      </c>
      <c r="BO285" s="4">
        <v>43283.162106481483</v>
      </c>
      <c r="BP285" t="s">
        <v>92</v>
      </c>
      <c r="BQ285" t="s">
        <v>93</v>
      </c>
      <c r="BR285" t="s">
        <v>94</v>
      </c>
    </row>
    <row r="286" spans="1:70" x14ac:dyDescent="0.3">
      <c r="A286" t="str">
        <f>"200202C0100"</f>
        <v>200202C0100</v>
      </c>
      <c r="B286" t="s">
        <v>683</v>
      </c>
      <c r="C286">
        <v>20</v>
      </c>
      <c r="D286" t="s">
        <v>88</v>
      </c>
      <c r="E286">
        <v>37</v>
      </c>
      <c r="F286" t="s">
        <v>671</v>
      </c>
      <c r="G286">
        <v>202</v>
      </c>
      <c r="H286">
        <v>1</v>
      </c>
      <c r="I286" t="s">
        <v>98</v>
      </c>
      <c r="J286">
        <v>0</v>
      </c>
      <c r="K286">
        <v>1</v>
      </c>
      <c r="L286">
        <v>5</v>
      </c>
      <c r="M286">
        <v>298</v>
      </c>
      <c r="N286">
        <v>365</v>
      </c>
      <c r="O286">
        <v>6</v>
      </c>
      <c r="P286">
        <v>365</v>
      </c>
      <c r="Q286">
        <v>56</v>
      </c>
      <c r="R286">
        <v>68</v>
      </c>
      <c r="S286">
        <v>5</v>
      </c>
      <c r="T286">
        <v>50</v>
      </c>
      <c r="U286">
        <v>11</v>
      </c>
      <c r="V286">
        <v>3</v>
      </c>
      <c r="W286">
        <v>10</v>
      </c>
      <c r="X286">
        <v>2</v>
      </c>
      <c r="Y286">
        <v>100</v>
      </c>
      <c r="Z286">
        <v>1</v>
      </c>
      <c r="AA286">
        <v>0</v>
      </c>
      <c r="AB286">
        <v>2</v>
      </c>
      <c r="AC286">
        <v>1</v>
      </c>
      <c r="AD286">
        <v>0</v>
      </c>
      <c r="AE286">
        <v>0</v>
      </c>
      <c r="AF286">
        <v>0</v>
      </c>
      <c r="AK286">
        <v>0</v>
      </c>
      <c r="AL286">
        <v>0</v>
      </c>
      <c r="AM286">
        <v>0</v>
      </c>
      <c r="AN286">
        <v>3</v>
      </c>
      <c r="AZ286">
        <v>14</v>
      </c>
      <c r="BC286">
        <v>32</v>
      </c>
      <c r="BD286">
        <v>7</v>
      </c>
      <c r="BE286">
        <v>375</v>
      </c>
      <c r="BF286">
        <v>365</v>
      </c>
      <c r="BG286">
        <v>640</v>
      </c>
      <c r="BJ286">
        <v>1</v>
      </c>
      <c r="BL286" t="s">
        <v>684</v>
      </c>
      <c r="BM286" s="4">
        <v>43283.149305555555</v>
      </c>
      <c r="BN286" s="4">
        <v>43283.158460648148</v>
      </c>
      <c r="BO286" s="4">
        <v>43283.158460648148</v>
      </c>
      <c r="BP286" t="s">
        <v>92</v>
      </c>
      <c r="BQ286" t="s">
        <v>93</v>
      </c>
      <c r="BR286" t="s">
        <v>94</v>
      </c>
    </row>
    <row r="287" spans="1:70" x14ac:dyDescent="0.3">
      <c r="A287" t="str">
        <f>"200202C0200"</f>
        <v>200202C0200</v>
      </c>
      <c r="B287" t="s">
        <v>685</v>
      </c>
      <c r="C287">
        <v>20</v>
      </c>
      <c r="D287" t="s">
        <v>88</v>
      </c>
      <c r="E287">
        <v>37</v>
      </c>
      <c r="F287" t="s">
        <v>671</v>
      </c>
      <c r="G287">
        <v>202</v>
      </c>
      <c r="H287">
        <v>2</v>
      </c>
      <c r="I287" t="s">
        <v>98</v>
      </c>
      <c r="J287">
        <v>0</v>
      </c>
      <c r="K287">
        <v>1</v>
      </c>
      <c r="L287">
        <v>5</v>
      </c>
      <c r="M287">
        <v>318</v>
      </c>
      <c r="N287">
        <v>345</v>
      </c>
      <c r="O287">
        <v>0</v>
      </c>
      <c r="P287">
        <v>344</v>
      </c>
      <c r="Q287">
        <v>41</v>
      </c>
      <c r="R287">
        <v>72</v>
      </c>
      <c r="S287">
        <v>4</v>
      </c>
      <c r="T287">
        <v>36</v>
      </c>
      <c r="U287">
        <v>4</v>
      </c>
      <c r="V287">
        <v>3</v>
      </c>
      <c r="W287">
        <v>5</v>
      </c>
      <c r="X287">
        <v>5</v>
      </c>
      <c r="Y287">
        <v>108</v>
      </c>
      <c r="Z287">
        <v>2</v>
      </c>
      <c r="AA287">
        <v>2</v>
      </c>
      <c r="AB287">
        <v>1</v>
      </c>
      <c r="AC287">
        <v>1</v>
      </c>
      <c r="AD287">
        <v>0</v>
      </c>
      <c r="AE287">
        <v>0</v>
      </c>
      <c r="AF287">
        <v>0</v>
      </c>
      <c r="AK287">
        <v>4</v>
      </c>
      <c r="AL287">
        <v>5</v>
      </c>
      <c r="AM287">
        <v>0</v>
      </c>
      <c r="AN287">
        <v>0</v>
      </c>
      <c r="AZ287">
        <v>14</v>
      </c>
      <c r="BC287">
        <v>24</v>
      </c>
      <c r="BD287">
        <v>13</v>
      </c>
      <c r="BE287">
        <v>344</v>
      </c>
      <c r="BF287">
        <v>344</v>
      </c>
      <c r="BG287">
        <v>640</v>
      </c>
      <c r="BJ287">
        <v>1</v>
      </c>
      <c r="BL287" t="s">
        <v>686</v>
      </c>
      <c r="BM287" s="4">
        <v>43283.154166666667</v>
      </c>
      <c r="BN287" s="4">
        <v>43283.164618055554</v>
      </c>
      <c r="BO287" s="4">
        <v>43283.164618055554</v>
      </c>
      <c r="BP287" t="s">
        <v>92</v>
      </c>
      <c r="BQ287" t="s">
        <v>93</v>
      </c>
      <c r="BR287" t="s">
        <v>94</v>
      </c>
    </row>
    <row r="288" spans="1:70" x14ac:dyDescent="0.3">
      <c r="A288" t="str">
        <f>"200202C0300"</f>
        <v>200202C0300</v>
      </c>
      <c r="B288" t="s">
        <v>687</v>
      </c>
      <c r="C288">
        <v>20</v>
      </c>
      <c r="D288" t="s">
        <v>88</v>
      </c>
      <c r="E288">
        <v>37</v>
      </c>
      <c r="F288" t="s">
        <v>671</v>
      </c>
      <c r="G288">
        <v>202</v>
      </c>
      <c r="H288">
        <v>3</v>
      </c>
      <c r="I288" t="s">
        <v>98</v>
      </c>
      <c r="J288">
        <v>0</v>
      </c>
      <c r="K288">
        <v>1</v>
      </c>
      <c r="L288">
        <v>5</v>
      </c>
      <c r="M288">
        <v>307</v>
      </c>
      <c r="N288">
        <v>356</v>
      </c>
      <c r="O288">
        <v>3</v>
      </c>
      <c r="P288">
        <v>356</v>
      </c>
      <c r="Q288">
        <v>45</v>
      </c>
      <c r="R288">
        <v>78</v>
      </c>
      <c r="S288">
        <v>3</v>
      </c>
      <c r="T288">
        <v>29</v>
      </c>
      <c r="U288">
        <v>4</v>
      </c>
      <c r="V288">
        <v>6</v>
      </c>
      <c r="W288">
        <v>17</v>
      </c>
      <c r="X288">
        <v>1</v>
      </c>
      <c r="Y288">
        <v>119</v>
      </c>
      <c r="Z288">
        <v>4</v>
      </c>
      <c r="AA288">
        <v>0</v>
      </c>
      <c r="AB288">
        <v>7</v>
      </c>
      <c r="AC288">
        <v>1</v>
      </c>
      <c r="AD288">
        <v>0</v>
      </c>
      <c r="AE288">
        <v>0</v>
      </c>
      <c r="AF288">
        <v>0</v>
      </c>
      <c r="AK288">
        <v>2</v>
      </c>
      <c r="AL288">
        <v>0</v>
      </c>
      <c r="AM288">
        <v>0</v>
      </c>
      <c r="AN288">
        <v>1</v>
      </c>
      <c r="AZ288">
        <v>7</v>
      </c>
      <c r="BC288">
        <v>23</v>
      </c>
      <c r="BD288">
        <v>8</v>
      </c>
      <c r="BE288">
        <v>356</v>
      </c>
      <c r="BF288">
        <v>355</v>
      </c>
      <c r="BG288">
        <v>639</v>
      </c>
      <c r="BJ288">
        <v>1</v>
      </c>
      <c r="BL288" t="s">
        <v>688</v>
      </c>
      <c r="BM288" s="4">
        <v>43283.154861111114</v>
      </c>
      <c r="BN288" s="4">
        <v>43283.166064814817</v>
      </c>
      <c r="BO288" s="4">
        <v>43283.166064814817</v>
      </c>
      <c r="BP288" t="s">
        <v>92</v>
      </c>
      <c r="BQ288" t="s">
        <v>93</v>
      </c>
      <c r="BR288" t="s">
        <v>94</v>
      </c>
    </row>
    <row r="289" spans="1:70" x14ac:dyDescent="0.3">
      <c r="A289" t="str">
        <f>"200203B0100"</f>
        <v>200203B0100</v>
      </c>
      <c r="B289" t="s">
        <v>689</v>
      </c>
      <c r="C289">
        <v>20</v>
      </c>
      <c r="D289" t="s">
        <v>88</v>
      </c>
      <c r="E289">
        <v>37</v>
      </c>
      <c r="F289" t="s">
        <v>671</v>
      </c>
      <c r="G289">
        <v>203</v>
      </c>
      <c r="H289">
        <v>1</v>
      </c>
      <c r="I289" t="s">
        <v>90</v>
      </c>
      <c r="J289">
        <v>0</v>
      </c>
      <c r="K289">
        <v>1</v>
      </c>
      <c r="L289">
        <v>5</v>
      </c>
      <c r="M289">
        <v>305</v>
      </c>
      <c r="N289">
        <v>443</v>
      </c>
      <c r="O289">
        <v>5</v>
      </c>
      <c r="P289">
        <v>440</v>
      </c>
      <c r="Q289">
        <v>41</v>
      </c>
      <c r="R289">
        <v>142</v>
      </c>
      <c r="S289">
        <v>7</v>
      </c>
      <c r="T289">
        <v>38</v>
      </c>
      <c r="U289">
        <v>6</v>
      </c>
      <c r="V289">
        <v>1</v>
      </c>
      <c r="W289">
        <v>16</v>
      </c>
      <c r="X289">
        <v>5</v>
      </c>
      <c r="Y289">
        <v>129</v>
      </c>
      <c r="Z289">
        <v>3</v>
      </c>
      <c r="AA289">
        <v>1</v>
      </c>
      <c r="AB289">
        <v>3</v>
      </c>
      <c r="AC289">
        <v>2</v>
      </c>
      <c r="AD289">
        <v>0</v>
      </c>
      <c r="AE289">
        <v>0</v>
      </c>
      <c r="AF289">
        <v>0</v>
      </c>
      <c r="AK289">
        <v>1</v>
      </c>
      <c r="AL289">
        <v>0</v>
      </c>
      <c r="AM289">
        <v>0</v>
      </c>
      <c r="AN289">
        <v>0</v>
      </c>
      <c r="AZ289">
        <v>9</v>
      </c>
      <c r="BC289">
        <v>32</v>
      </c>
      <c r="BD289">
        <v>2</v>
      </c>
      <c r="BE289" t="s">
        <v>105</v>
      </c>
      <c r="BF289">
        <v>438</v>
      </c>
      <c r="BG289">
        <v>725</v>
      </c>
      <c r="BJ289">
        <v>1</v>
      </c>
      <c r="BL289" t="s">
        <v>690</v>
      </c>
      <c r="BM289" s="4">
        <v>43283.302083333336</v>
      </c>
      <c r="BN289" s="4">
        <v>43283.327048611114</v>
      </c>
      <c r="BO289" s="4">
        <v>43283.327048611114</v>
      </c>
      <c r="BP289" t="s">
        <v>92</v>
      </c>
      <c r="BQ289" t="s">
        <v>93</v>
      </c>
      <c r="BR289" t="s">
        <v>94</v>
      </c>
    </row>
    <row r="290" spans="1:70" x14ac:dyDescent="0.3">
      <c r="A290" t="str">
        <f>"200203C0100"</f>
        <v>200203C0100</v>
      </c>
      <c r="B290" t="s">
        <v>691</v>
      </c>
      <c r="C290">
        <v>20</v>
      </c>
      <c r="D290" t="s">
        <v>88</v>
      </c>
      <c r="E290">
        <v>37</v>
      </c>
      <c r="F290" t="s">
        <v>671</v>
      </c>
      <c r="G290">
        <v>203</v>
      </c>
      <c r="H290">
        <v>1</v>
      </c>
      <c r="I290" t="s">
        <v>98</v>
      </c>
      <c r="J290">
        <v>0</v>
      </c>
      <c r="K290">
        <v>1</v>
      </c>
      <c r="L290">
        <v>5</v>
      </c>
      <c r="M290">
        <v>312</v>
      </c>
      <c r="N290">
        <v>444</v>
      </c>
      <c r="O290">
        <v>8</v>
      </c>
      <c r="P290">
        <v>436</v>
      </c>
      <c r="Q290">
        <v>25</v>
      </c>
      <c r="R290">
        <v>113</v>
      </c>
      <c r="S290">
        <v>5</v>
      </c>
      <c r="T290">
        <v>57</v>
      </c>
      <c r="U290">
        <v>7</v>
      </c>
      <c r="V290">
        <v>2</v>
      </c>
      <c r="W290">
        <v>9</v>
      </c>
      <c r="X290">
        <v>3</v>
      </c>
      <c r="Y290">
        <v>150</v>
      </c>
      <c r="Z290">
        <v>7</v>
      </c>
      <c r="AA290">
        <v>2</v>
      </c>
      <c r="AB290">
        <v>2</v>
      </c>
      <c r="AC290">
        <v>2</v>
      </c>
      <c r="AD290" t="s">
        <v>105</v>
      </c>
      <c r="AE290" t="s">
        <v>105</v>
      </c>
      <c r="AF290" t="s">
        <v>105</v>
      </c>
      <c r="AK290">
        <v>2</v>
      </c>
      <c r="AL290" t="s">
        <v>105</v>
      </c>
      <c r="AM290" t="s">
        <v>105</v>
      </c>
      <c r="AN290" t="s">
        <v>105</v>
      </c>
      <c r="AZ290">
        <v>5</v>
      </c>
      <c r="BC290">
        <v>25</v>
      </c>
      <c r="BD290">
        <v>20</v>
      </c>
      <c r="BE290">
        <v>436</v>
      </c>
      <c r="BF290">
        <v>436</v>
      </c>
      <c r="BG290">
        <v>725</v>
      </c>
      <c r="BI290" t="s">
        <v>106</v>
      </c>
      <c r="BJ290">
        <v>1</v>
      </c>
      <c r="BL290" t="s">
        <v>692</v>
      </c>
      <c r="BM290" s="4">
        <v>43283.094444444447</v>
      </c>
      <c r="BN290" s="4">
        <v>43283.100358796299</v>
      </c>
      <c r="BO290" s="4">
        <v>43283.100358796299</v>
      </c>
      <c r="BP290" t="s">
        <v>92</v>
      </c>
      <c r="BQ290" t="s">
        <v>93</v>
      </c>
      <c r="BR290" t="s">
        <v>94</v>
      </c>
    </row>
    <row r="291" spans="1:70" x14ac:dyDescent="0.3">
      <c r="A291" t="str">
        <f>"200203C0200"</f>
        <v>200203C0200</v>
      </c>
      <c r="B291" t="s">
        <v>693</v>
      </c>
      <c r="C291">
        <v>20</v>
      </c>
      <c r="D291" t="s">
        <v>88</v>
      </c>
      <c r="E291">
        <v>37</v>
      </c>
      <c r="F291" t="s">
        <v>671</v>
      </c>
      <c r="G291">
        <v>203</v>
      </c>
      <c r="H291">
        <v>2</v>
      </c>
      <c r="I291" t="s">
        <v>98</v>
      </c>
      <c r="J291">
        <v>0</v>
      </c>
      <c r="K291">
        <v>1</v>
      </c>
      <c r="L291">
        <v>5</v>
      </c>
      <c r="BG291">
        <v>725</v>
      </c>
      <c r="BI291" t="s">
        <v>365</v>
      </c>
      <c r="BJ291">
        <v>0</v>
      </c>
      <c r="BL291" t="s">
        <v>694</v>
      </c>
      <c r="BM291" s="4">
        <v>43283.535416666666</v>
      </c>
      <c r="BN291" s="4">
        <v>43283.5393287037</v>
      </c>
      <c r="BO291" s="4">
        <v>43283.5393287037</v>
      </c>
      <c r="BP291" t="s">
        <v>92</v>
      </c>
      <c r="BQ291" t="s">
        <v>93</v>
      </c>
      <c r="BR291" t="s">
        <v>94</v>
      </c>
    </row>
    <row r="292" spans="1:70" x14ac:dyDescent="0.3">
      <c r="A292" t="str">
        <f>"200203C0300"</f>
        <v>200203C0300</v>
      </c>
      <c r="B292" t="s">
        <v>695</v>
      </c>
      <c r="C292">
        <v>20</v>
      </c>
      <c r="D292" t="s">
        <v>88</v>
      </c>
      <c r="E292">
        <v>37</v>
      </c>
      <c r="F292" t="s">
        <v>671</v>
      </c>
      <c r="G292">
        <v>203</v>
      </c>
      <c r="H292">
        <v>3</v>
      </c>
      <c r="I292" t="s">
        <v>98</v>
      </c>
      <c r="J292">
        <v>0</v>
      </c>
      <c r="K292">
        <v>1</v>
      </c>
      <c r="L292">
        <v>5</v>
      </c>
      <c r="M292">
        <v>303</v>
      </c>
      <c r="N292">
        <v>440</v>
      </c>
      <c r="O292">
        <v>6</v>
      </c>
      <c r="P292">
        <v>440</v>
      </c>
      <c r="Q292">
        <v>38</v>
      </c>
      <c r="R292">
        <v>105</v>
      </c>
      <c r="S292">
        <v>1</v>
      </c>
      <c r="T292">
        <v>51</v>
      </c>
      <c r="U292">
        <v>11</v>
      </c>
      <c r="V292">
        <v>2</v>
      </c>
      <c r="W292">
        <v>12</v>
      </c>
      <c r="X292">
        <v>2</v>
      </c>
      <c r="Y292">
        <v>130</v>
      </c>
      <c r="Z292">
        <v>5</v>
      </c>
      <c r="AA292">
        <v>0</v>
      </c>
      <c r="AB292">
        <v>4</v>
      </c>
      <c r="AC292" t="s">
        <v>105</v>
      </c>
      <c r="AD292" t="s">
        <v>105</v>
      </c>
      <c r="AE292">
        <v>1</v>
      </c>
      <c r="AF292" t="s">
        <v>105</v>
      </c>
      <c r="AK292">
        <v>4</v>
      </c>
      <c r="AL292" t="s">
        <v>105</v>
      </c>
      <c r="AM292" t="s">
        <v>105</v>
      </c>
      <c r="AN292" t="s">
        <v>105</v>
      </c>
      <c r="AZ292" t="s">
        <v>105</v>
      </c>
      <c r="BC292">
        <v>55</v>
      </c>
      <c r="BD292">
        <v>12</v>
      </c>
      <c r="BE292">
        <v>434</v>
      </c>
      <c r="BF292">
        <v>433</v>
      </c>
      <c r="BG292">
        <v>724</v>
      </c>
      <c r="BI292" t="s">
        <v>106</v>
      </c>
      <c r="BJ292">
        <v>1</v>
      </c>
      <c r="BL292" t="s">
        <v>696</v>
      </c>
      <c r="BM292" s="4">
        <v>43283.098611111112</v>
      </c>
      <c r="BN292" s="4">
        <v>43283.108981481484</v>
      </c>
      <c r="BO292" s="4">
        <v>43283.108981481484</v>
      </c>
      <c r="BP292" t="s">
        <v>92</v>
      </c>
      <c r="BQ292" t="s">
        <v>93</v>
      </c>
      <c r="BR292" t="s">
        <v>94</v>
      </c>
    </row>
    <row r="293" spans="1:70" x14ac:dyDescent="0.3">
      <c r="A293" t="str">
        <f>"200204B0100"</f>
        <v>200204B0100</v>
      </c>
      <c r="B293" t="s">
        <v>697</v>
      </c>
      <c r="C293">
        <v>20</v>
      </c>
      <c r="D293" t="s">
        <v>88</v>
      </c>
      <c r="E293">
        <v>37</v>
      </c>
      <c r="F293" t="s">
        <v>671</v>
      </c>
      <c r="G293">
        <v>204</v>
      </c>
      <c r="H293">
        <v>1</v>
      </c>
      <c r="I293" t="s">
        <v>90</v>
      </c>
      <c r="J293">
        <v>0</v>
      </c>
      <c r="K293">
        <v>2</v>
      </c>
      <c r="L293">
        <v>5</v>
      </c>
      <c r="M293">
        <v>188</v>
      </c>
      <c r="N293">
        <v>365</v>
      </c>
      <c r="O293">
        <v>4</v>
      </c>
      <c r="P293">
        <v>365</v>
      </c>
      <c r="Q293">
        <v>31</v>
      </c>
      <c r="R293">
        <v>75</v>
      </c>
      <c r="S293">
        <v>5</v>
      </c>
      <c r="T293">
        <v>43</v>
      </c>
      <c r="U293">
        <v>9</v>
      </c>
      <c r="V293">
        <v>0</v>
      </c>
      <c r="W293">
        <v>18</v>
      </c>
      <c r="X293">
        <v>1</v>
      </c>
      <c r="Y293">
        <v>125</v>
      </c>
      <c r="Z293">
        <v>3</v>
      </c>
      <c r="AA293">
        <v>0</v>
      </c>
      <c r="AB293">
        <v>5</v>
      </c>
      <c r="AC293">
        <v>1</v>
      </c>
      <c r="AD293">
        <v>0</v>
      </c>
      <c r="AE293">
        <v>0</v>
      </c>
      <c r="AF293">
        <v>0</v>
      </c>
      <c r="AK293">
        <v>3</v>
      </c>
      <c r="AL293">
        <v>1</v>
      </c>
      <c r="AM293">
        <v>0</v>
      </c>
      <c r="AN293">
        <v>2</v>
      </c>
      <c r="AZ293">
        <v>11</v>
      </c>
      <c r="BC293">
        <v>27</v>
      </c>
      <c r="BD293">
        <v>5</v>
      </c>
      <c r="BE293">
        <v>365</v>
      </c>
      <c r="BF293">
        <v>365</v>
      </c>
      <c r="BG293">
        <v>530</v>
      </c>
      <c r="BJ293">
        <v>1</v>
      </c>
      <c r="BL293" t="s">
        <v>698</v>
      </c>
      <c r="BM293" s="4">
        <v>43283.055555555555</v>
      </c>
      <c r="BN293" s="4">
        <v>43283.064918981479</v>
      </c>
      <c r="BO293" s="4">
        <v>43283.064918981479</v>
      </c>
      <c r="BP293" t="s">
        <v>92</v>
      </c>
      <c r="BQ293" t="s">
        <v>93</v>
      </c>
      <c r="BR293" t="s">
        <v>94</v>
      </c>
    </row>
    <row r="294" spans="1:70" x14ac:dyDescent="0.3">
      <c r="A294" t="str">
        <f>"200204C0100"</f>
        <v>200204C0100</v>
      </c>
      <c r="B294" t="s">
        <v>699</v>
      </c>
      <c r="C294">
        <v>20</v>
      </c>
      <c r="D294" t="s">
        <v>88</v>
      </c>
      <c r="E294">
        <v>37</v>
      </c>
      <c r="F294" t="s">
        <v>671</v>
      </c>
      <c r="G294">
        <v>204</v>
      </c>
      <c r="H294">
        <v>1</v>
      </c>
      <c r="I294" t="s">
        <v>98</v>
      </c>
      <c r="J294">
        <v>0</v>
      </c>
      <c r="K294">
        <v>2</v>
      </c>
      <c r="L294">
        <v>5</v>
      </c>
      <c r="M294">
        <v>224</v>
      </c>
      <c r="N294">
        <v>328</v>
      </c>
      <c r="O294">
        <v>10</v>
      </c>
      <c r="P294">
        <v>328</v>
      </c>
      <c r="Q294">
        <v>31</v>
      </c>
      <c r="R294">
        <v>61</v>
      </c>
      <c r="S294">
        <v>7</v>
      </c>
      <c r="T294">
        <v>44</v>
      </c>
      <c r="U294">
        <v>1</v>
      </c>
      <c r="V294">
        <v>0</v>
      </c>
      <c r="W294">
        <v>9</v>
      </c>
      <c r="X294">
        <v>2</v>
      </c>
      <c r="Y294">
        <v>111</v>
      </c>
      <c r="Z294">
        <v>1</v>
      </c>
      <c r="AA294">
        <v>1</v>
      </c>
      <c r="AB294">
        <v>4</v>
      </c>
      <c r="AC294">
        <v>1</v>
      </c>
      <c r="AD294">
        <v>0</v>
      </c>
      <c r="AE294">
        <v>0</v>
      </c>
      <c r="AF294">
        <v>0</v>
      </c>
      <c r="AK294">
        <v>3</v>
      </c>
      <c r="AL294">
        <v>0</v>
      </c>
      <c r="AM294">
        <v>0</v>
      </c>
      <c r="AN294">
        <v>1</v>
      </c>
      <c r="AZ294">
        <v>17</v>
      </c>
      <c r="BC294">
        <v>28</v>
      </c>
      <c r="BD294">
        <v>7</v>
      </c>
      <c r="BE294">
        <v>329</v>
      </c>
      <c r="BF294">
        <v>329</v>
      </c>
      <c r="BG294">
        <v>529</v>
      </c>
      <c r="BJ294">
        <v>1</v>
      </c>
      <c r="BL294" t="s">
        <v>700</v>
      </c>
      <c r="BM294" s="4">
        <v>43283.054861111108</v>
      </c>
      <c r="BN294" s="4">
        <v>43283.063460648147</v>
      </c>
      <c r="BO294" s="4">
        <v>43283.063460648147</v>
      </c>
      <c r="BP294" t="s">
        <v>92</v>
      </c>
      <c r="BQ294" t="s">
        <v>93</v>
      </c>
      <c r="BR294" t="s">
        <v>94</v>
      </c>
    </row>
    <row r="295" spans="1:70" x14ac:dyDescent="0.3">
      <c r="A295" t="str">
        <f>"200204C0200"</f>
        <v>200204C0200</v>
      </c>
      <c r="B295" t="s">
        <v>701</v>
      </c>
      <c r="C295">
        <v>20</v>
      </c>
      <c r="D295" t="s">
        <v>88</v>
      </c>
      <c r="E295">
        <v>37</v>
      </c>
      <c r="F295" t="s">
        <v>671</v>
      </c>
      <c r="G295">
        <v>204</v>
      </c>
      <c r="H295">
        <v>2</v>
      </c>
      <c r="I295" t="s">
        <v>98</v>
      </c>
      <c r="J295">
        <v>0</v>
      </c>
      <c r="K295">
        <v>2</v>
      </c>
      <c r="L295">
        <v>5</v>
      </c>
      <c r="M295">
        <v>195</v>
      </c>
      <c r="N295">
        <v>356</v>
      </c>
      <c r="O295">
        <v>7</v>
      </c>
      <c r="P295">
        <v>356</v>
      </c>
      <c r="Q295">
        <v>38</v>
      </c>
      <c r="R295">
        <v>64</v>
      </c>
      <c r="S295">
        <v>5</v>
      </c>
      <c r="T295">
        <v>53</v>
      </c>
      <c r="U295">
        <v>8</v>
      </c>
      <c r="V295">
        <v>0</v>
      </c>
      <c r="W295">
        <v>10</v>
      </c>
      <c r="X295">
        <v>4</v>
      </c>
      <c r="Y295">
        <v>97</v>
      </c>
      <c r="Z295">
        <v>2</v>
      </c>
      <c r="AA295">
        <v>2</v>
      </c>
      <c r="AB295">
        <v>5</v>
      </c>
      <c r="AC295">
        <v>2</v>
      </c>
      <c r="AD295">
        <v>1</v>
      </c>
      <c r="AE295">
        <v>0</v>
      </c>
      <c r="AF295">
        <v>0</v>
      </c>
      <c r="AK295">
        <v>0</v>
      </c>
      <c r="AL295">
        <v>0</v>
      </c>
      <c r="AM295">
        <v>0</v>
      </c>
      <c r="AN295">
        <v>0</v>
      </c>
      <c r="AZ295">
        <v>14</v>
      </c>
      <c r="BC295">
        <v>45</v>
      </c>
      <c r="BD295">
        <v>6</v>
      </c>
      <c r="BE295">
        <v>356</v>
      </c>
      <c r="BF295">
        <v>356</v>
      </c>
      <c r="BG295">
        <v>529</v>
      </c>
      <c r="BJ295">
        <v>1</v>
      </c>
      <c r="BL295" t="s">
        <v>702</v>
      </c>
      <c r="BM295" s="4">
        <v>43283.059027777781</v>
      </c>
      <c r="BN295" s="4">
        <v>43283.066250000003</v>
      </c>
      <c r="BO295" s="4">
        <v>43283.066250000003</v>
      </c>
      <c r="BP295" t="s">
        <v>92</v>
      </c>
      <c r="BQ295" t="s">
        <v>93</v>
      </c>
      <c r="BR295" t="s">
        <v>94</v>
      </c>
    </row>
    <row r="296" spans="1:70" x14ac:dyDescent="0.3">
      <c r="A296" t="str">
        <f>"200204E0100"</f>
        <v>200204E0100</v>
      </c>
      <c r="B296" s="2" t="s">
        <v>703</v>
      </c>
      <c r="C296">
        <v>20</v>
      </c>
      <c r="D296" t="s">
        <v>88</v>
      </c>
      <c r="E296">
        <v>37</v>
      </c>
      <c r="F296" t="s">
        <v>671</v>
      </c>
      <c r="G296">
        <v>204</v>
      </c>
      <c r="H296">
        <v>1</v>
      </c>
      <c r="I296" t="s">
        <v>156</v>
      </c>
      <c r="J296">
        <v>0</v>
      </c>
      <c r="K296">
        <v>2</v>
      </c>
      <c r="L296">
        <v>5</v>
      </c>
      <c r="M296">
        <v>147</v>
      </c>
      <c r="N296" t="s">
        <v>127</v>
      </c>
      <c r="O296">
        <v>8</v>
      </c>
      <c r="P296">
        <v>260</v>
      </c>
      <c r="Q296">
        <v>49</v>
      </c>
      <c r="R296">
        <v>62</v>
      </c>
      <c r="S296">
        <v>4</v>
      </c>
      <c r="T296">
        <v>27</v>
      </c>
      <c r="U296">
        <v>6</v>
      </c>
      <c r="V296">
        <v>1</v>
      </c>
      <c r="W296">
        <v>15</v>
      </c>
      <c r="X296">
        <v>2</v>
      </c>
      <c r="Y296">
        <v>62</v>
      </c>
      <c r="Z296">
        <v>3</v>
      </c>
      <c r="AA296">
        <v>2</v>
      </c>
      <c r="AB296">
        <v>2</v>
      </c>
      <c r="AC296">
        <v>0</v>
      </c>
      <c r="AD296">
        <v>0</v>
      </c>
      <c r="AE296">
        <v>0</v>
      </c>
      <c r="AF296">
        <v>0</v>
      </c>
      <c r="AK296">
        <v>3</v>
      </c>
      <c r="AL296">
        <v>0</v>
      </c>
      <c r="AM296">
        <v>0</v>
      </c>
      <c r="AN296">
        <v>0</v>
      </c>
      <c r="AZ296">
        <v>11</v>
      </c>
      <c r="BC296">
        <v>5</v>
      </c>
      <c r="BD296">
        <v>5</v>
      </c>
      <c r="BE296">
        <v>259</v>
      </c>
      <c r="BF296">
        <v>259</v>
      </c>
      <c r="BG296">
        <v>384</v>
      </c>
      <c r="BJ296">
        <v>1</v>
      </c>
      <c r="BL296" t="s">
        <v>704</v>
      </c>
      <c r="BM296" s="4">
        <v>43283.060416666667</v>
      </c>
      <c r="BN296" s="4">
        <v>43283.066134259258</v>
      </c>
      <c r="BO296" s="4">
        <v>43283.066134259258</v>
      </c>
      <c r="BP296" t="s">
        <v>92</v>
      </c>
      <c r="BQ296" t="s">
        <v>93</v>
      </c>
      <c r="BR296" t="s">
        <v>94</v>
      </c>
    </row>
    <row r="297" spans="1:70" x14ac:dyDescent="0.3">
      <c r="A297" t="str">
        <f>"200204E0101"</f>
        <v>200204E0101</v>
      </c>
      <c r="B297" s="2" t="s">
        <v>705</v>
      </c>
      <c r="C297">
        <v>20</v>
      </c>
      <c r="D297" t="s">
        <v>88</v>
      </c>
      <c r="E297">
        <v>37</v>
      </c>
      <c r="F297" t="s">
        <v>671</v>
      </c>
      <c r="G297">
        <v>204</v>
      </c>
      <c r="H297">
        <v>1</v>
      </c>
      <c r="I297" t="s">
        <v>156</v>
      </c>
      <c r="J297">
        <v>1</v>
      </c>
      <c r="K297">
        <v>2</v>
      </c>
      <c r="L297">
        <v>5</v>
      </c>
      <c r="M297">
        <v>153</v>
      </c>
      <c r="N297">
        <v>255</v>
      </c>
      <c r="O297">
        <v>10</v>
      </c>
      <c r="P297">
        <v>255</v>
      </c>
      <c r="Q297">
        <v>41</v>
      </c>
      <c r="R297">
        <v>62</v>
      </c>
      <c r="S297">
        <v>2</v>
      </c>
      <c r="T297">
        <v>28</v>
      </c>
      <c r="U297">
        <v>12</v>
      </c>
      <c r="V297">
        <v>1</v>
      </c>
      <c r="W297">
        <v>19</v>
      </c>
      <c r="X297">
        <v>5</v>
      </c>
      <c r="Y297">
        <v>52</v>
      </c>
      <c r="Z297">
        <v>2</v>
      </c>
      <c r="AA297">
        <v>0</v>
      </c>
      <c r="AB297">
        <v>0</v>
      </c>
      <c r="AC297">
        <v>0</v>
      </c>
      <c r="AD297">
        <v>4</v>
      </c>
      <c r="AE297">
        <v>0</v>
      </c>
      <c r="AF297">
        <v>0</v>
      </c>
      <c r="AK297">
        <v>1</v>
      </c>
      <c r="AL297">
        <v>2</v>
      </c>
      <c r="AM297">
        <v>0</v>
      </c>
      <c r="AN297">
        <v>0</v>
      </c>
      <c r="AZ297">
        <v>0</v>
      </c>
      <c r="BC297">
        <v>10</v>
      </c>
      <c r="BD297">
        <v>15</v>
      </c>
      <c r="BE297">
        <v>256</v>
      </c>
      <c r="BF297">
        <v>256</v>
      </c>
      <c r="BG297">
        <v>383</v>
      </c>
      <c r="BJ297">
        <v>1</v>
      </c>
      <c r="BL297" s="2" t="s">
        <v>706</v>
      </c>
      <c r="BM297" s="4">
        <v>43283.05</v>
      </c>
      <c r="BN297" s="4">
        <v>43283.06</v>
      </c>
      <c r="BO297" s="4">
        <v>43283.06</v>
      </c>
      <c r="BP297" t="s">
        <v>92</v>
      </c>
      <c r="BQ297" t="s">
        <v>93</v>
      </c>
      <c r="BR297" t="s">
        <v>94</v>
      </c>
    </row>
    <row r="298" spans="1:70" x14ac:dyDescent="0.3">
      <c r="A298" t="str">
        <f>"200205B0100"</f>
        <v>200205B0100</v>
      </c>
      <c r="B298" t="s">
        <v>707</v>
      </c>
      <c r="C298">
        <v>20</v>
      </c>
      <c r="D298" t="s">
        <v>88</v>
      </c>
      <c r="E298">
        <v>37</v>
      </c>
      <c r="F298" t="s">
        <v>671</v>
      </c>
      <c r="G298">
        <v>205</v>
      </c>
      <c r="H298">
        <v>1</v>
      </c>
      <c r="I298" t="s">
        <v>90</v>
      </c>
      <c r="J298">
        <v>0</v>
      </c>
      <c r="K298">
        <v>1</v>
      </c>
      <c r="L298">
        <v>5</v>
      </c>
      <c r="M298">
        <v>218</v>
      </c>
      <c r="N298">
        <v>377</v>
      </c>
      <c r="O298">
        <v>7</v>
      </c>
      <c r="P298">
        <v>377</v>
      </c>
      <c r="Q298">
        <v>41</v>
      </c>
      <c r="R298">
        <v>51</v>
      </c>
      <c r="S298">
        <v>4</v>
      </c>
      <c r="T298">
        <v>49</v>
      </c>
      <c r="U298">
        <v>8</v>
      </c>
      <c r="V298">
        <v>0</v>
      </c>
      <c r="W298">
        <v>10</v>
      </c>
      <c r="X298">
        <v>2</v>
      </c>
      <c r="Y298">
        <v>137</v>
      </c>
      <c r="Z298">
        <v>2</v>
      </c>
      <c r="AA298">
        <v>2</v>
      </c>
      <c r="AB298">
        <v>5</v>
      </c>
      <c r="AC298">
        <v>0</v>
      </c>
      <c r="AD298">
        <v>0</v>
      </c>
      <c r="AE298">
        <v>0</v>
      </c>
      <c r="AF298">
        <v>0</v>
      </c>
      <c r="AK298">
        <v>2</v>
      </c>
      <c r="AL298">
        <v>0</v>
      </c>
      <c r="AM298">
        <v>0</v>
      </c>
      <c r="AN298">
        <v>1</v>
      </c>
      <c r="AZ298">
        <v>12</v>
      </c>
      <c r="BC298">
        <v>34</v>
      </c>
      <c r="BD298">
        <v>17</v>
      </c>
      <c r="BE298">
        <v>377</v>
      </c>
      <c r="BF298">
        <v>377</v>
      </c>
      <c r="BG298">
        <v>572</v>
      </c>
      <c r="BJ298">
        <v>1</v>
      </c>
      <c r="BL298" t="s">
        <v>708</v>
      </c>
      <c r="BM298" s="4">
        <v>43283.103472222225</v>
      </c>
      <c r="BN298" s="4">
        <v>43283.109930555554</v>
      </c>
      <c r="BO298" s="4">
        <v>43283.109930555554</v>
      </c>
      <c r="BP298" t="s">
        <v>92</v>
      </c>
      <c r="BQ298" t="s">
        <v>93</v>
      </c>
      <c r="BR298" t="s">
        <v>94</v>
      </c>
    </row>
    <row r="299" spans="1:70" x14ac:dyDescent="0.3">
      <c r="A299" t="str">
        <f>"200205C0100"</f>
        <v>200205C0100</v>
      </c>
      <c r="B299" t="s">
        <v>709</v>
      </c>
      <c r="C299">
        <v>20</v>
      </c>
      <c r="D299" t="s">
        <v>88</v>
      </c>
      <c r="E299">
        <v>37</v>
      </c>
      <c r="F299" t="s">
        <v>671</v>
      </c>
      <c r="G299">
        <v>205</v>
      </c>
      <c r="H299">
        <v>1</v>
      </c>
      <c r="I299" t="s">
        <v>98</v>
      </c>
      <c r="J299">
        <v>0</v>
      </c>
      <c r="K299">
        <v>1</v>
      </c>
      <c r="L299">
        <v>5</v>
      </c>
      <c r="M299">
        <v>242</v>
      </c>
      <c r="N299">
        <v>353</v>
      </c>
      <c r="O299">
        <v>3</v>
      </c>
      <c r="P299">
        <v>0</v>
      </c>
      <c r="Q299">
        <v>57</v>
      </c>
      <c r="R299">
        <v>55</v>
      </c>
      <c r="S299">
        <v>3</v>
      </c>
      <c r="T299">
        <v>45</v>
      </c>
      <c r="U299">
        <v>5</v>
      </c>
      <c r="V299">
        <v>1</v>
      </c>
      <c r="W299">
        <v>7</v>
      </c>
      <c r="X299">
        <v>3</v>
      </c>
      <c r="Y299">
        <v>108</v>
      </c>
      <c r="Z299">
        <v>8</v>
      </c>
      <c r="AA299">
        <v>1</v>
      </c>
      <c r="AB299">
        <v>5</v>
      </c>
      <c r="AC299">
        <v>0</v>
      </c>
      <c r="AD299">
        <v>0</v>
      </c>
      <c r="AE299">
        <v>0</v>
      </c>
      <c r="AF299">
        <v>4</v>
      </c>
      <c r="AK299">
        <v>0</v>
      </c>
      <c r="AL299">
        <v>0</v>
      </c>
      <c r="AM299">
        <v>0</v>
      </c>
      <c r="AN299">
        <v>0</v>
      </c>
      <c r="AZ299">
        <v>3</v>
      </c>
      <c r="BC299">
        <v>11</v>
      </c>
      <c r="BD299">
        <v>11</v>
      </c>
      <c r="BE299">
        <v>352</v>
      </c>
      <c r="BF299">
        <v>327</v>
      </c>
      <c r="BG299">
        <v>572</v>
      </c>
      <c r="BJ299">
        <v>1</v>
      </c>
      <c r="BL299" t="s">
        <v>710</v>
      </c>
      <c r="BM299" s="4">
        <v>43283.113888888889</v>
      </c>
      <c r="BN299" s="4">
        <v>43283.137708333335</v>
      </c>
      <c r="BO299" s="4">
        <v>43283.137708333335</v>
      </c>
      <c r="BP299" t="s">
        <v>92</v>
      </c>
      <c r="BQ299" t="s">
        <v>93</v>
      </c>
      <c r="BR299" t="s">
        <v>94</v>
      </c>
    </row>
    <row r="300" spans="1:70" x14ac:dyDescent="0.3">
      <c r="A300" t="str">
        <f>"200205C0200"</f>
        <v>200205C0200</v>
      </c>
      <c r="B300" t="s">
        <v>711</v>
      </c>
      <c r="C300">
        <v>20</v>
      </c>
      <c r="D300" t="s">
        <v>88</v>
      </c>
      <c r="E300">
        <v>37</v>
      </c>
      <c r="F300" t="s">
        <v>671</v>
      </c>
      <c r="G300">
        <v>205</v>
      </c>
      <c r="H300">
        <v>2</v>
      </c>
      <c r="I300" t="s">
        <v>98</v>
      </c>
      <c r="J300">
        <v>0</v>
      </c>
      <c r="K300">
        <v>1</v>
      </c>
      <c r="L300">
        <v>5</v>
      </c>
      <c r="M300">
        <v>257</v>
      </c>
      <c r="N300">
        <v>338</v>
      </c>
      <c r="O300">
        <v>3</v>
      </c>
      <c r="P300">
        <v>338</v>
      </c>
      <c r="Q300">
        <v>45</v>
      </c>
      <c r="R300">
        <v>35</v>
      </c>
      <c r="S300">
        <v>6</v>
      </c>
      <c r="T300">
        <v>48</v>
      </c>
      <c r="U300">
        <v>9</v>
      </c>
      <c r="V300">
        <v>1</v>
      </c>
      <c r="W300">
        <v>8</v>
      </c>
      <c r="X300">
        <v>0</v>
      </c>
      <c r="Y300">
        <v>107</v>
      </c>
      <c r="Z300">
        <v>4</v>
      </c>
      <c r="AA300">
        <v>1</v>
      </c>
      <c r="AB300">
        <v>4</v>
      </c>
      <c r="AC300">
        <v>0</v>
      </c>
      <c r="AD300">
        <v>0</v>
      </c>
      <c r="AE300">
        <v>0</v>
      </c>
      <c r="AF300">
        <v>0</v>
      </c>
      <c r="AK300">
        <v>4</v>
      </c>
      <c r="AL300">
        <v>0</v>
      </c>
      <c r="AM300">
        <v>0</v>
      </c>
      <c r="AN300">
        <v>2</v>
      </c>
      <c r="AZ300">
        <v>6</v>
      </c>
      <c r="BC300">
        <v>38</v>
      </c>
      <c r="BD300">
        <v>20</v>
      </c>
      <c r="BE300">
        <v>338</v>
      </c>
      <c r="BF300">
        <v>338</v>
      </c>
      <c r="BG300">
        <v>572</v>
      </c>
      <c r="BJ300">
        <v>1</v>
      </c>
      <c r="BL300" t="s">
        <v>712</v>
      </c>
      <c r="BM300" s="4">
        <v>43283.106249999997</v>
      </c>
      <c r="BN300" s="4">
        <v>43283.121851851851</v>
      </c>
      <c r="BO300" s="4">
        <v>43283.121851851851</v>
      </c>
      <c r="BP300" t="s">
        <v>92</v>
      </c>
      <c r="BQ300" t="s">
        <v>93</v>
      </c>
      <c r="BR300" t="s">
        <v>94</v>
      </c>
    </row>
    <row r="301" spans="1:70" x14ac:dyDescent="0.3">
      <c r="A301" t="str">
        <f>"200206B0100"</f>
        <v>200206B0100</v>
      </c>
      <c r="B301" t="s">
        <v>713</v>
      </c>
      <c r="C301">
        <v>20</v>
      </c>
      <c r="D301" t="s">
        <v>88</v>
      </c>
      <c r="E301">
        <v>37</v>
      </c>
      <c r="F301" t="s">
        <v>671</v>
      </c>
      <c r="G301">
        <v>206</v>
      </c>
      <c r="H301">
        <v>1</v>
      </c>
      <c r="I301" t="s">
        <v>90</v>
      </c>
      <c r="J301">
        <v>0</v>
      </c>
      <c r="K301">
        <v>1</v>
      </c>
      <c r="L301">
        <v>5</v>
      </c>
      <c r="BG301">
        <v>570</v>
      </c>
      <c r="BI301" t="s">
        <v>365</v>
      </c>
      <c r="BJ301">
        <v>0</v>
      </c>
      <c r="BL301" t="s">
        <v>714</v>
      </c>
      <c r="BM301" s="4">
        <v>43283.535416666666</v>
      </c>
      <c r="BN301" s="4">
        <v>43283.536886574075</v>
      </c>
      <c r="BO301" s="4">
        <v>43283.536886574075</v>
      </c>
      <c r="BP301" t="s">
        <v>92</v>
      </c>
      <c r="BQ301" t="s">
        <v>93</v>
      </c>
      <c r="BR301" t="s">
        <v>94</v>
      </c>
    </row>
    <row r="302" spans="1:70" x14ac:dyDescent="0.3">
      <c r="A302" t="str">
        <f>"200206C0100"</f>
        <v>200206C0100</v>
      </c>
      <c r="B302" t="s">
        <v>715</v>
      </c>
      <c r="C302">
        <v>20</v>
      </c>
      <c r="D302" t="s">
        <v>88</v>
      </c>
      <c r="E302">
        <v>37</v>
      </c>
      <c r="F302" t="s">
        <v>671</v>
      </c>
      <c r="G302">
        <v>206</v>
      </c>
      <c r="H302">
        <v>1</v>
      </c>
      <c r="I302" t="s">
        <v>98</v>
      </c>
      <c r="J302">
        <v>0</v>
      </c>
      <c r="K302">
        <v>1</v>
      </c>
      <c r="L302">
        <v>5</v>
      </c>
      <c r="M302">
        <v>250</v>
      </c>
      <c r="N302">
        <v>343</v>
      </c>
      <c r="O302">
        <v>5</v>
      </c>
      <c r="P302">
        <v>343</v>
      </c>
      <c r="Q302">
        <v>63</v>
      </c>
      <c r="R302">
        <v>60</v>
      </c>
      <c r="S302">
        <v>4</v>
      </c>
      <c r="T302">
        <v>48</v>
      </c>
      <c r="U302">
        <v>4</v>
      </c>
      <c r="V302">
        <v>2</v>
      </c>
      <c r="W302">
        <v>9</v>
      </c>
      <c r="X302">
        <v>5</v>
      </c>
      <c r="Y302">
        <v>85</v>
      </c>
      <c r="Z302">
        <v>6</v>
      </c>
      <c r="AA302">
        <v>0</v>
      </c>
      <c r="AB302">
        <v>4</v>
      </c>
      <c r="AC302">
        <v>0</v>
      </c>
      <c r="AD302">
        <v>0</v>
      </c>
      <c r="AE302">
        <v>0</v>
      </c>
      <c r="AF302">
        <v>0</v>
      </c>
      <c r="AK302">
        <v>2</v>
      </c>
      <c r="AL302">
        <v>2</v>
      </c>
      <c r="AM302">
        <v>0</v>
      </c>
      <c r="AN302">
        <v>0</v>
      </c>
      <c r="AZ302">
        <v>5</v>
      </c>
      <c r="BC302">
        <v>24</v>
      </c>
      <c r="BD302">
        <v>20</v>
      </c>
      <c r="BE302">
        <v>343</v>
      </c>
      <c r="BF302">
        <v>343</v>
      </c>
      <c r="BG302">
        <v>570</v>
      </c>
      <c r="BJ302">
        <v>1</v>
      </c>
      <c r="BL302" t="s">
        <v>716</v>
      </c>
      <c r="BM302" s="4">
        <v>43283.200694444444</v>
      </c>
      <c r="BN302" s="4">
        <v>43283.218032407407</v>
      </c>
      <c r="BO302" s="4">
        <v>43283.218032407407</v>
      </c>
      <c r="BP302" t="s">
        <v>92</v>
      </c>
      <c r="BQ302" t="s">
        <v>93</v>
      </c>
      <c r="BR302" t="s">
        <v>94</v>
      </c>
    </row>
    <row r="303" spans="1:70" x14ac:dyDescent="0.3">
      <c r="A303" t="str">
        <f>"200206C0200"</f>
        <v>200206C0200</v>
      </c>
      <c r="B303" t="s">
        <v>717</v>
      </c>
      <c r="C303">
        <v>20</v>
      </c>
      <c r="D303" t="s">
        <v>88</v>
      </c>
      <c r="E303">
        <v>37</v>
      </c>
      <c r="F303" t="s">
        <v>671</v>
      </c>
      <c r="G303">
        <v>206</v>
      </c>
      <c r="H303">
        <v>2</v>
      </c>
      <c r="I303" t="s">
        <v>98</v>
      </c>
      <c r="J303">
        <v>0</v>
      </c>
      <c r="K303">
        <v>1</v>
      </c>
      <c r="L303">
        <v>5</v>
      </c>
      <c r="BG303">
        <v>569</v>
      </c>
      <c r="BI303" t="s">
        <v>365</v>
      </c>
      <c r="BJ303">
        <v>0</v>
      </c>
      <c r="BL303" t="s">
        <v>718</v>
      </c>
      <c r="BM303" s="4">
        <v>43283.535416666666</v>
      </c>
      <c r="BN303" s="4">
        <v>43283.5390625</v>
      </c>
      <c r="BO303" s="4">
        <v>43283.5390625</v>
      </c>
      <c r="BP303" t="s">
        <v>92</v>
      </c>
      <c r="BQ303" t="s">
        <v>93</v>
      </c>
      <c r="BR303" t="s">
        <v>94</v>
      </c>
    </row>
    <row r="304" spans="1:70" x14ac:dyDescent="0.3">
      <c r="A304" t="str">
        <f>"200206C0300"</f>
        <v>200206C0300</v>
      </c>
      <c r="B304" t="s">
        <v>719</v>
      </c>
      <c r="C304">
        <v>20</v>
      </c>
      <c r="D304" t="s">
        <v>88</v>
      </c>
      <c r="E304">
        <v>37</v>
      </c>
      <c r="F304" t="s">
        <v>671</v>
      </c>
      <c r="G304">
        <v>206</v>
      </c>
      <c r="H304">
        <v>3</v>
      </c>
      <c r="I304" t="s">
        <v>98</v>
      </c>
      <c r="J304">
        <v>0</v>
      </c>
      <c r="K304">
        <v>1</v>
      </c>
      <c r="L304">
        <v>5</v>
      </c>
      <c r="BG304">
        <v>569</v>
      </c>
      <c r="BI304" t="s">
        <v>365</v>
      </c>
      <c r="BJ304">
        <v>0</v>
      </c>
      <c r="BL304" t="s">
        <v>720</v>
      </c>
      <c r="BM304" s="4">
        <v>43283.535416666666</v>
      </c>
      <c r="BN304" s="4">
        <v>43283.537233796298</v>
      </c>
      <c r="BO304" s="4">
        <v>43283.537233796298</v>
      </c>
      <c r="BP304" t="s">
        <v>92</v>
      </c>
      <c r="BQ304" t="s">
        <v>93</v>
      </c>
      <c r="BR304" t="s">
        <v>94</v>
      </c>
    </row>
    <row r="305" spans="1:70" x14ac:dyDescent="0.3">
      <c r="A305" t="str">
        <f>"200207B0100"</f>
        <v>200207B0100</v>
      </c>
      <c r="B305" t="s">
        <v>721</v>
      </c>
      <c r="C305">
        <v>20</v>
      </c>
      <c r="D305" t="s">
        <v>88</v>
      </c>
      <c r="E305">
        <v>37</v>
      </c>
      <c r="F305" t="s">
        <v>671</v>
      </c>
      <c r="G305">
        <v>207</v>
      </c>
      <c r="H305">
        <v>1</v>
      </c>
      <c r="I305" t="s">
        <v>90</v>
      </c>
      <c r="J305">
        <v>0</v>
      </c>
      <c r="K305">
        <v>1</v>
      </c>
      <c r="L305">
        <v>5</v>
      </c>
      <c r="M305">
        <v>244</v>
      </c>
      <c r="N305">
        <v>366</v>
      </c>
      <c r="O305">
        <v>4</v>
      </c>
      <c r="P305">
        <v>366</v>
      </c>
      <c r="Q305">
        <v>64</v>
      </c>
      <c r="R305">
        <v>65</v>
      </c>
      <c r="S305">
        <v>2</v>
      </c>
      <c r="T305">
        <v>61</v>
      </c>
      <c r="U305">
        <v>4</v>
      </c>
      <c r="V305">
        <v>1</v>
      </c>
      <c r="W305">
        <v>9</v>
      </c>
      <c r="X305">
        <v>3</v>
      </c>
      <c r="Y305">
        <v>101</v>
      </c>
      <c r="Z305">
        <v>5</v>
      </c>
      <c r="AA305">
        <v>2</v>
      </c>
      <c r="AB305">
        <v>3</v>
      </c>
      <c r="AC305">
        <v>2</v>
      </c>
      <c r="AD305">
        <v>1</v>
      </c>
      <c r="AE305">
        <v>1</v>
      </c>
      <c r="AF305">
        <v>0</v>
      </c>
      <c r="AK305">
        <v>0</v>
      </c>
      <c r="AL305">
        <v>2</v>
      </c>
      <c r="AM305">
        <v>0</v>
      </c>
      <c r="AN305">
        <v>1</v>
      </c>
      <c r="AZ305">
        <v>12</v>
      </c>
      <c r="BC305">
        <v>17</v>
      </c>
      <c r="BD305">
        <v>10</v>
      </c>
      <c r="BE305">
        <v>366</v>
      </c>
      <c r="BF305">
        <v>366</v>
      </c>
      <c r="BG305">
        <v>587</v>
      </c>
      <c r="BJ305">
        <v>1</v>
      </c>
      <c r="BL305" t="s">
        <v>722</v>
      </c>
      <c r="BM305" s="4">
        <v>43283.047222222223</v>
      </c>
      <c r="BN305" s="4">
        <v>43283.056018518517</v>
      </c>
      <c r="BO305" s="4">
        <v>43283.056018518517</v>
      </c>
      <c r="BP305" t="s">
        <v>92</v>
      </c>
      <c r="BQ305" t="s">
        <v>93</v>
      </c>
      <c r="BR305" t="s">
        <v>94</v>
      </c>
    </row>
    <row r="306" spans="1:70" x14ac:dyDescent="0.3">
      <c r="A306" t="str">
        <f>"200207C0100"</f>
        <v>200207C0100</v>
      </c>
      <c r="B306" t="s">
        <v>723</v>
      </c>
      <c r="C306">
        <v>20</v>
      </c>
      <c r="D306" t="s">
        <v>88</v>
      </c>
      <c r="E306">
        <v>37</v>
      </c>
      <c r="F306" t="s">
        <v>671</v>
      </c>
      <c r="G306">
        <v>207</v>
      </c>
      <c r="H306">
        <v>1</v>
      </c>
      <c r="I306" t="s">
        <v>98</v>
      </c>
      <c r="J306">
        <v>0</v>
      </c>
      <c r="K306">
        <v>1</v>
      </c>
      <c r="L306">
        <v>5</v>
      </c>
      <c r="M306">
        <v>275</v>
      </c>
      <c r="N306">
        <v>335</v>
      </c>
      <c r="O306">
        <v>6</v>
      </c>
      <c r="P306">
        <v>335</v>
      </c>
      <c r="Q306">
        <v>43</v>
      </c>
      <c r="R306">
        <v>96</v>
      </c>
      <c r="S306">
        <v>3</v>
      </c>
      <c r="T306">
        <v>42</v>
      </c>
      <c r="U306">
        <v>4</v>
      </c>
      <c r="V306">
        <v>1</v>
      </c>
      <c r="W306">
        <v>7</v>
      </c>
      <c r="X306">
        <v>3</v>
      </c>
      <c r="Y306">
        <v>88</v>
      </c>
      <c r="Z306">
        <v>2</v>
      </c>
      <c r="AA306">
        <v>0</v>
      </c>
      <c r="AB306">
        <v>4</v>
      </c>
      <c r="AC306">
        <v>0</v>
      </c>
      <c r="AD306">
        <v>1</v>
      </c>
      <c r="AE306">
        <v>0</v>
      </c>
      <c r="AF306">
        <v>0</v>
      </c>
      <c r="AK306">
        <v>2</v>
      </c>
      <c r="AL306">
        <v>1</v>
      </c>
      <c r="AM306">
        <v>0</v>
      </c>
      <c r="AN306">
        <v>0</v>
      </c>
      <c r="AZ306">
        <v>16</v>
      </c>
      <c r="BC306">
        <v>13</v>
      </c>
      <c r="BD306">
        <v>9</v>
      </c>
      <c r="BE306">
        <v>335</v>
      </c>
      <c r="BF306">
        <v>335</v>
      </c>
      <c r="BG306">
        <v>587</v>
      </c>
      <c r="BJ306">
        <v>1</v>
      </c>
      <c r="BL306" t="s">
        <v>724</v>
      </c>
      <c r="BM306" s="4">
        <v>43283.049305555556</v>
      </c>
      <c r="BN306" s="4">
        <v>43283.058159722219</v>
      </c>
      <c r="BO306" s="4">
        <v>43283.058159722219</v>
      </c>
      <c r="BP306" t="s">
        <v>92</v>
      </c>
      <c r="BQ306" t="s">
        <v>93</v>
      </c>
      <c r="BR306" t="s">
        <v>94</v>
      </c>
    </row>
    <row r="307" spans="1:70" x14ac:dyDescent="0.3">
      <c r="A307" t="str">
        <f>"200207C0200"</f>
        <v>200207C0200</v>
      </c>
      <c r="B307" t="s">
        <v>725</v>
      </c>
      <c r="C307">
        <v>20</v>
      </c>
      <c r="D307" t="s">
        <v>88</v>
      </c>
      <c r="E307">
        <v>37</v>
      </c>
      <c r="F307" t="s">
        <v>671</v>
      </c>
      <c r="G307">
        <v>207</v>
      </c>
      <c r="H307">
        <v>2</v>
      </c>
      <c r="I307" t="s">
        <v>98</v>
      </c>
      <c r="J307">
        <v>0</v>
      </c>
      <c r="K307">
        <v>1</v>
      </c>
      <c r="L307">
        <v>5</v>
      </c>
      <c r="M307">
        <v>233</v>
      </c>
      <c r="N307">
        <v>377</v>
      </c>
      <c r="O307">
        <v>5</v>
      </c>
      <c r="P307">
        <v>377</v>
      </c>
      <c r="Q307">
        <v>31</v>
      </c>
      <c r="R307">
        <v>103</v>
      </c>
      <c r="S307">
        <v>8</v>
      </c>
      <c r="T307">
        <v>53</v>
      </c>
      <c r="U307">
        <v>10</v>
      </c>
      <c r="V307">
        <v>2</v>
      </c>
      <c r="W307">
        <v>8</v>
      </c>
      <c r="X307">
        <v>1</v>
      </c>
      <c r="Y307">
        <v>107</v>
      </c>
      <c r="Z307">
        <v>6</v>
      </c>
      <c r="AA307">
        <v>1</v>
      </c>
      <c r="AB307">
        <v>3</v>
      </c>
      <c r="AC307">
        <v>0</v>
      </c>
      <c r="AD307">
        <v>0</v>
      </c>
      <c r="AE307">
        <v>0</v>
      </c>
      <c r="AF307">
        <v>0</v>
      </c>
      <c r="AK307">
        <v>3</v>
      </c>
      <c r="AL307">
        <v>1</v>
      </c>
      <c r="AM307">
        <v>0</v>
      </c>
      <c r="AN307">
        <v>1</v>
      </c>
      <c r="AZ307">
        <v>10</v>
      </c>
      <c r="BC307">
        <v>14</v>
      </c>
      <c r="BD307">
        <v>15</v>
      </c>
      <c r="BE307">
        <v>377</v>
      </c>
      <c r="BF307">
        <v>377</v>
      </c>
      <c r="BG307">
        <v>587</v>
      </c>
      <c r="BJ307">
        <v>1</v>
      </c>
      <c r="BL307" t="s">
        <v>726</v>
      </c>
      <c r="BM307" s="4">
        <v>43283.011805555558</v>
      </c>
      <c r="BN307" s="4">
        <v>43283.019537037035</v>
      </c>
      <c r="BO307" s="4">
        <v>43283.019537037035</v>
      </c>
      <c r="BP307" t="s">
        <v>92</v>
      </c>
      <c r="BQ307" t="s">
        <v>93</v>
      </c>
      <c r="BR307" t="s">
        <v>94</v>
      </c>
    </row>
    <row r="308" spans="1:70" x14ac:dyDescent="0.3">
      <c r="A308" t="str">
        <f>"200207C0300"</f>
        <v>200207C0300</v>
      </c>
      <c r="B308" t="s">
        <v>727</v>
      </c>
      <c r="C308">
        <v>20</v>
      </c>
      <c r="D308" t="s">
        <v>88</v>
      </c>
      <c r="E308">
        <v>37</v>
      </c>
      <c r="F308" t="s">
        <v>671</v>
      </c>
      <c r="G308">
        <v>207</v>
      </c>
      <c r="H308">
        <v>3</v>
      </c>
      <c r="I308" t="s">
        <v>98</v>
      </c>
      <c r="J308">
        <v>0</v>
      </c>
      <c r="K308">
        <v>1</v>
      </c>
      <c r="L308">
        <v>5</v>
      </c>
      <c r="M308">
        <v>253</v>
      </c>
      <c r="N308">
        <v>357</v>
      </c>
      <c r="O308">
        <v>8</v>
      </c>
      <c r="P308">
        <v>357</v>
      </c>
      <c r="Q308">
        <v>51</v>
      </c>
      <c r="R308">
        <v>84</v>
      </c>
      <c r="S308">
        <v>2</v>
      </c>
      <c r="T308">
        <v>35</v>
      </c>
      <c r="U308">
        <v>4</v>
      </c>
      <c r="V308">
        <v>0</v>
      </c>
      <c r="W308">
        <v>14</v>
      </c>
      <c r="X308">
        <v>1</v>
      </c>
      <c r="Y308">
        <v>115</v>
      </c>
      <c r="Z308">
        <v>2</v>
      </c>
      <c r="AA308">
        <v>1</v>
      </c>
      <c r="AB308">
        <v>4</v>
      </c>
      <c r="AC308">
        <v>0</v>
      </c>
      <c r="AD308">
        <v>0</v>
      </c>
      <c r="AE308">
        <v>0</v>
      </c>
      <c r="AF308">
        <v>0</v>
      </c>
      <c r="AK308">
        <v>0</v>
      </c>
      <c r="AL308">
        <v>2</v>
      </c>
      <c r="AM308">
        <v>0</v>
      </c>
      <c r="AN308">
        <v>0</v>
      </c>
      <c r="AZ308">
        <v>9</v>
      </c>
      <c r="BC308">
        <v>25</v>
      </c>
      <c r="BD308">
        <v>8</v>
      </c>
      <c r="BE308">
        <v>357</v>
      </c>
      <c r="BF308">
        <v>357</v>
      </c>
      <c r="BG308">
        <v>587</v>
      </c>
      <c r="BJ308">
        <v>1</v>
      </c>
      <c r="BL308" t="s">
        <v>728</v>
      </c>
      <c r="BM308" s="4">
        <v>43283.054166666669</v>
      </c>
      <c r="BN308" s="4">
        <v>43283.067847222221</v>
      </c>
      <c r="BO308" s="4">
        <v>43283.067847222221</v>
      </c>
      <c r="BP308" t="s">
        <v>92</v>
      </c>
      <c r="BQ308" t="s">
        <v>93</v>
      </c>
      <c r="BR308" t="s">
        <v>94</v>
      </c>
    </row>
    <row r="309" spans="1:70" x14ac:dyDescent="0.3">
      <c r="A309" t="str">
        <f>"200208B0100"</f>
        <v>200208B0100</v>
      </c>
      <c r="B309" t="s">
        <v>729</v>
      </c>
      <c r="C309">
        <v>20</v>
      </c>
      <c r="D309" t="s">
        <v>88</v>
      </c>
      <c r="E309">
        <v>37</v>
      </c>
      <c r="F309" t="s">
        <v>671</v>
      </c>
      <c r="G309">
        <v>208</v>
      </c>
      <c r="H309">
        <v>1</v>
      </c>
      <c r="I309" t="s">
        <v>90</v>
      </c>
      <c r="J309">
        <v>0</v>
      </c>
      <c r="K309">
        <v>1</v>
      </c>
      <c r="L309">
        <v>5</v>
      </c>
      <c r="BG309">
        <v>729</v>
      </c>
      <c r="BI309" t="s">
        <v>365</v>
      </c>
      <c r="BJ309">
        <v>0</v>
      </c>
      <c r="BL309" t="s">
        <v>730</v>
      </c>
      <c r="BM309" s="4">
        <v>43283.535416666666</v>
      </c>
      <c r="BN309" s="4">
        <v>43283.54010416667</v>
      </c>
      <c r="BO309" s="4">
        <v>43283.54010416667</v>
      </c>
      <c r="BP309" t="s">
        <v>92</v>
      </c>
      <c r="BQ309" t="s">
        <v>93</v>
      </c>
      <c r="BR309" t="s">
        <v>94</v>
      </c>
    </row>
    <row r="310" spans="1:70" x14ac:dyDescent="0.3">
      <c r="A310" t="str">
        <f>"200208C0100"</f>
        <v>200208C0100</v>
      </c>
      <c r="B310" t="s">
        <v>731</v>
      </c>
      <c r="C310">
        <v>20</v>
      </c>
      <c r="D310" t="s">
        <v>88</v>
      </c>
      <c r="E310">
        <v>37</v>
      </c>
      <c r="F310" t="s">
        <v>671</v>
      </c>
      <c r="G310">
        <v>208</v>
      </c>
      <c r="H310">
        <v>1</v>
      </c>
      <c r="I310" t="s">
        <v>98</v>
      </c>
      <c r="J310">
        <v>0</v>
      </c>
      <c r="K310">
        <v>1</v>
      </c>
      <c r="L310">
        <v>5</v>
      </c>
      <c r="BG310">
        <v>729</v>
      </c>
      <c r="BI310" t="s">
        <v>365</v>
      </c>
      <c r="BJ310">
        <v>0</v>
      </c>
      <c r="BL310" t="s">
        <v>732</v>
      </c>
      <c r="BM310" s="4">
        <v>43283.535416666666</v>
      </c>
      <c r="BN310" s="4">
        <v>43283.540347222224</v>
      </c>
      <c r="BO310" s="4">
        <v>43283.540347222224</v>
      </c>
      <c r="BP310" t="s">
        <v>92</v>
      </c>
      <c r="BQ310" t="s">
        <v>93</v>
      </c>
      <c r="BR310" t="s">
        <v>94</v>
      </c>
    </row>
    <row r="311" spans="1:70" x14ac:dyDescent="0.3">
      <c r="A311" t="str">
        <f>"200208C0200"</f>
        <v>200208C0200</v>
      </c>
      <c r="B311" t="s">
        <v>733</v>
      </c>
      <c r="C311">
        <v>20</v>
      </c>
      <c r="D311" t="s">
        <v>88</v>
      </c>
      <c r="E311">
        <v>37</v>
      </c>
      <c r="F311" t="s">
        <v>671</v>
      </c>
      <c r="G311">
        <v>208</v>
      </c>
      <c r="H311">
        <v>2</v>
      </c>
      <c r="I311" t="s">
        <v>98</v>
      </c>
      <c r="J311">
        <v>0</v>
      </c>
      <c r="K311">
        <v>1</v>
      </c>
      <c r="L311">
        <v>5</v>
      </c>
      <c r="M311">
        <v>329</v>
      </c>
      <c r="N311">
        <v>422</v>
      </c>
      <c r="O311">
        <v>2</v>
      </c>
      <c r="P311">
        <v>422</v>
      </c>
      <c r="Q311">
        <v>33</v>
      </c>
      <c r="R311">
        <v>97</v>
      </c>
      <c r="S311">
        <v>5</v>
      </c>
      <c r="T311">
        <v>52</v>
      </c>
      <c r="U311">
        <v>10</v>
      </c>
      <c r="V311">
        <v>1</v>
      </c>
      <c r="W311">
        <v>5</v>
      </c>
      <c r="X311">
        <v>3</v>
      </c>
      <c r="Y311">
        <v>144</v>
      </c>
      <c r="Z311">
        <v>3</v>
      </c>
      <c r="AA311">
        <v>0</v>
      </c>
      <c r="AB311">
        <v>5</v>
      </c>
      <c r="AC311">
        <v>0</v>
      </c>
      <c r="AD311">
        <v>0</v>
      </c>
      <c r="AE311">
        <v>0</v>
      </c>
      <c r="AF311">
        <v>0</v>
      </c>
      <c r="AK311">
        <v>7</v>
      </c>
      <c r="AL311">
        <v>1</v>
      </c>
      <c r="AM311">
        <v>0</v>
      </c>
      <c r="AN311">
        <v>0</v>
      </c>
      <c r="AZ311">
        <v>5</v>
      </c>
      <c r="BC311">
        <v>32</v>
      </c>
      <c r="BD311">
        <v>19</v>
      </c>
      <c r="BE311">
        <v>422</v>
      </c>
      <c r="BF311">
        <v>422</v>
      </c>
      <c r="BG311">
        <v>728</v>
      </c>
      <c r="BJ311">
        <v>1</v>
      </c>
      <c r="BL311" t="s">
        <v>734</v>
      </c>
      <c r="BM311" s="4">
        <v>43283.212500000001</v>
      </c>
      <c r="BN311" s="4">
        <v>43283.236747685187</v>
      </c>
      <c r="BO311" s="4">
        <v>43283.236747685187</v>
      </c>
      <c r="BP311" t="s">
        <v>92</v>
      </c>
      <c r="BQ311" t="s">
        <v>93</v>
      </c>
      <c r="BR311" t="s">
        <v>94</v>
      </c>
    </row>
    <row r="312" spans="1:70" x14ac:dyDescent="0.3">
      <c r="A312" t="str">
        <f>"200208C0300"</f>
        <v>200208C0300</v>
      </c>
      <c r="B312" t="s">
        <v>735</v>
      </c>
      <c r="C312">
        <v>20</v>
      </c>
      <c r="D312" t="s">
        <v>88</v>
      </c>
      <c r="E312">
        <v>37</v>
      </c>
      <c r="F312" t="s">
        <v>671</v>
      </c>
      <c r="G312">
        <v>208</v>
      </c>
      <c r="H312">
        <v>3</v>
      </c>
      <c r="I312" t="s">
        <v>98</v>
      </c>
      <c r="J312">
        <v>0</v>
      </c>
      <c r="K312">
        <v>1</v>
      </c>
      <c r="L312">
        <v>5</v>
      </c>
      <c r="BG312">
        <v>728</v>
      </c>
      <c r="BI312" t="s">
        <v>365</v>
      </c>
      <c r="BJ312">
        <v>0</v>
      </c>
      <c r="BL312" t="s">
        <v>736</v>
      </c>
      <c r="BM312" s="4">
        <v>43283.535416666666</v>
      </c>
      <c r="BN312" s="4">
        <v>43283.540381944447</v>
      </c>
      <c r="BO312" s="4">
        <v>43283.540381944447</v>
      </c>
      <c r="BP312" t="s">
        <v>92</v>
      </c>
      <c r="BQ312" t="s">
        <v>93</v>
      </c>
      <c r="BR312" t="s">
        <v>94</v>
      </c>
    </row>
    <row r="313" spans="1:70" x14ac:dyDescent="0.3">
      <c r="A313" t="str">
        <f>"200209B0100"</f>
        <v>200209B0100</v>
      </c>
      <c r="B313" t="s">
        <v>737</v>
      </c>
      <c r="C313">
        <v>20</v>
      </c>
      <c r="D313" t="s">
        <v>88</v>
      </c>
      <c r="E313">
        <v>37</v>
      </c>
      <c r="F313" t="s">
        <v>671</v>
      </c>
      <c r="G313">
        <v>209</v>
      </c>
      <c r="H313">
        <v>1</v>
      </c>
      <c r="I313" t="s">
        <v>90</v>
      </c>
      <c r="J313">
        <v>0</v>
      </c>
      <c r="K313">
        <v>1</v>
      </c>
      <c r="L313">
        <v>5</v>
      </c>
      <c r="M313">
        <v>223</v>
      </c>
      <c r="N313">
        <v>315</v>
      </c>
      <c r="O313">
        <v>2</v>
      </c>
      <c r="P313">
        <v>316</v>
      </c>
      <c r="Q313">
        <v>47</v>
      </c>
      <c r="R313">
        <v>68</v>
      </c>
      <c r="S313">
        <v>2</v>
      </c>
      <c r="T313">
        <v>33</v>
      </c>
      <c r="U313">
        <v>4</v>
      </c>
      <c r="V313">
        <v>1</v>
      </c>
      <c r="W313">
        <v>13</v>
      </c>
      <c r="X313">
        <v>0</v>
      </c>
      <c r="Y313">
        <v>76</v>
      </c>
      <c r="Z313">
        <v>3</v>
      </c>
      <c r="AA313">
        <v>1</v>
      </c>
      <c r="AB313">
        <v>11</v>
      </c>
      <c r="AC313">
        <v>0</v>
      </c>
      <c r="AD313">
        <v>0</v>
      </c>
      <c r="AE313">
        <v>1</v>
      </c>
      <c r="AF313">
        <v>0</v>
      </c>
      <c r="AK313">
        <v>4</v>
      </c>
      <c r="AL313">
        <v>0</v>
      </c>
      <c r="AM313">
        <v>0</v>
      </c>
      <c r="AN313">
        <v>1</v>
      </c>
      <c r="AZ313">
        <v>14</v>
      </c>
      <c r="BC313">
        <v>24</v>
      </c>
      <c r="BD313">
        <v>13</v>
      </c>
      <c r="BE313">
        <v>316</v>
      </c>
      <c r="BF313">
        <v>316</v>
      </c>
      <c r="BG313">
        <v>515</v>
      </c>
      <c r="BJ313">
        <v>1</v>
      </c>
      <c r="BL313" t="s">
        <v>738</v>
      </c>
      <c r="BM313" s="4">
        <v>43282.977083333331</v>
      </c>
      <c r="BN313" s="4">
        <v>43282.989085648151</v>
      </c>
      <c r="BO313" s="4">
        <v>43282.989085648151</v>
      </c>
      <c r="BP313" t="s">
        <v>92</v>
      </c>
      <c r="BQ313" t="s">
        <v>93</v>
      </c>
      <c r="BR313" t="s">
        <v>94</v>
      </c>
    </row>
    <row r="314" spans="1:70" x14ac:dyDescent="0.3">
      <c r="A314" t="str">
        <f>"200209C0100"</f>
        <v>200209C0100</v>
      </c>
      <c r="B314" t="s">
        <v>739</v>
      </c>
      <c r="C314">
        <v>20</v>
      </c>
      <c r="D314" t="s">
        <v>88</v>
      </c>
      <c r="E314">
        <v>37</v>
      </c>
      <c r="F314" t="s">
        <v>671</v>
      </c>
      <c r="G314">
        <v>209</v>
      </c>
      <c r="H314">
        <v>1</v>
      </c>
      <c r="I314" t="s">
        <v>98</v>
      </c>
      <c r="J314">
        <v>0</v>
      </c>
      <c r="K314">
        <v>1</v>
      </c>
      <c r="L314">
        <v>5</v>
      </c>
      <c r="M314">
        <v>198</v>
      </c>
      <c r="N314">
        <v>340</v>
      </c>
      <c r="O314">
        <v>7</v>
      </c>
      <c r="P314">
        <v>340</v>
      </c>
      <c r="Q314">
        <v>59</v>
      </c>
      <c r="R314">
        <v>51</v>
      </c>
      <c r="S314">
        <v>5</v>
      </c>
      <c r="T314">
        <v>59</v>
      </c>
      <c r="U314">
        <v>1</v>
      </c>
      <c r="V314">
        <v>1</v>
      </c>
      <c r="W314">
        <v>6</v>
      </c>
      <c r="X314">
        <v>3</v>
      </c>
      <c r="Y314">
        <v>80</v>
      </c>
      <c r="Z314">
        <v>1</v>
      </c>
      <c r="AA314">
        <v>2</v>
      </c>
      <c r="AB314">
        <v>3</v>
      </c>
      <c r="AC314">
        <v>0</v>
      </c>
      <c r="AD314">
        <v>0</v>
      </c>
      <c r="AE314">
        <v>0</v>
      </c>
      <c r="AF314">
        <v>0</v>
      </c>
      <c r="AK314">
        <v>1</v>
      </c>
      <c r="AL314">
        <v>0</v>
      </c>
      <c r="AM314">
        <v>0</v>
      </c>
      <c r="AN314">
        <v>0</v>
      </c>
      <c r="AZ314">
        <v>11</v>
      </c>
      <c r="BC314">
        <v>45</v>
      </c>
      <c r="BD314">
        <v>12</v>
      </c>
      <c r="BE314">
        <v>340</v>
      </c>
      <c r="BF314">
        <v>340</v>
      </c>
      <c r="BG314">
        <v>514</v>
      </c>
      <c r="BJ314">
        <v>1</v>
      </c>
      <c r="BL314" t="s">
        <v>740</v>
      </c>
      <c r="BM314" s="4">
        <v>43282.990972222222</v>
      </c>
      <c r="BN314" s="4">
        <v>43282.996666666666</v>
      </c>
      <c r="BO314" s="4">
        <v>43282.996666666666</v>
      </c>
      <c r="BP314" t="s">
        <v>92</v>
      </c>
      <c r="BQ314" t="s">
        <v>93</v>
      </c>
      <c r="BR314" t="s">
        <v>94</v>
      </c>
    </row>
    <row r="315" spans="1:70" x14ac:dyDescent="0.3">
      <c r="A315" t="str">
        <f>"200209C0200"</f>
        <v>200209C0200</v>
      </c>
      <c r="B315" t="s">
        <v>741</v>
      </c>
      <c r="C315">
        <v>20</v>
      </c>
      <c r="D315" t="s">
        <v>88</v>
      </c>
      <c r="E315">
        <v>37</v>
      </c>
      <c r="F315" t="s">
        <v>671</v>
      </c>
      <c r="G315">
        <v>209</v>
      </c>
      <c r="H315">
        <v>2</v>
      </c>
      <c r="I315" t="s">
        <v>98</v>
      </c>
      <c r="J315">
        <v>0</v>
      </c>
      <c r="K315">
        <v>1</v>
      </c>
      <c r="L315">
        <v>5</v>
      </c>
      <c r="M315">
        <v>230</v>
      </c>
      <c r="N315">
        <v>307</v>
      </c>
      <c r="O315">
        <v>6</v>
      </c>
      <c r="P315">
        <v>307</v>
      </c>
      <c r="Q315">
        <v>57</v>
      </c>
      <c r="R315">
        <v>62</v>
      </c>
      <c r="S315">
        <v>5</v>
      </c>
      <c r="T315">
        <v>41</v>
      </c>
      <c r="U315">
        <v>1</v>
      </c>
      <c r="V315">
        <v>1</v>
      </c>
      <c r="W315">
        <v>9</v>
      </c>
      <c r="X315">
        <v>0</v>
      </c>
      <c r="Y315">
        <v>84</v>
      </c>
      <c r="Z315">
        <v>1</v>
      </c>
      <c r="AA315">
        <v>0</v>
      </c>
      <c r="AB315">
        <v>0</v>
      </c>
      <c r="AC315">
        <v>1</v>
      </c>
      <c r="AD315">
        <v>0</v>
      </c>
      <c r="AE315">
        <v>0</v>
      </c>
      <c r="AF315">
        <v>0</v>
      </c>
      <c r="AK315">
        <v>4</v>
      </c>
      <c r="AL315">
        <v>1</v>
      </c>
      <c r="AM315">
        <v>0</v>
      </c>
      <c r="AN315">
        <v>1</v>
      </c>
      <c r="AZ315">
        <v>8</v>
      </c>
      <c r="BC315">
        <v>17</v>
      </c>
      <c r="BD315">
        <v>14</v>
      </c>
      <c r="BE315">
        <v>307</v>
      </c>
      <c r="BF315">
        <v>307</v>
      </c>
      <c r="BG315">
        <v>514</v>
      </c>
      <c r="BJ315">
        <v>1</v>
      </c>
      <c r="BL315" t="s">
        <v>742</v>
      </c>
      <c r="BM315" s="4">
        <v>43283.036111111112</v>
      </c>
      <c r="BN315" s="4">
        <v>43283.042743055557</v>
      </c>
      <c r="BO315" s="4">
        <v>43283.042743055557</v>
      </c>
      <c r="BP315" t="s">
        <v>92</v>
      </c>
      <c r="BQ315" t="s">
        <v>93</v>
      </c>
      <c r="BR315" t="s">
        <v>94</v>
      </c>
    </row>
    <row r="316" spans="1:70" x14ac:dyDescent="0.3">
      <c r="A316" t="str">
        <f>"200210B0100"</f>
        <v>200210B0100</v>
      </c>
      <c r="B316" t="s">
        <v>743</v>
      </c>
      <c r="C316">
        <v>20</v>
      </c>
      <c r="D316" t="s">
        <v>88</v>
      </c>
      <c r="E316">
        <v>37</v>
      </c>
      <c r="F316" t="s">
        <v>671</v>
      </c>
      <c r="G316">
        <v>210</v>
      </c>
      <c r="H316">
        <v>1</v>
      </c>
      <c r="I316" t="s">
        <v>90</v>
      </c>
      <c r="J316">
        <v>0</v>
      </c>
      <c r="K316">
        <v>1</v>
      </c>
      <c r="L316">
        <v>5</v>
      </c>
      <c r="M316">
        <v>216</v>
      </c>
      <c r="N316">
        <v>356</v>
      </c>
      <c r="O316">
        <v>8</v>
      </c>
      <c r="P316">
        <v>356</v>
      </c>
      <c r="Q316">
        <v>66</v>
      </c>
      <c r="R316">
        <v>91</v>
      </c>
      <c r="S316">
        <v>2</v>
      </c>
      <c r="T316">
        <v>35</v>
      </c>
      <c r="U316">
        <v>5</v>
      </c>
      <c r="V316">
        <v>1</v>
      </c>
      <c r="W316">
        <v>23</v>
      </c>
      <c r="X316">
        <v>2</v>
      </c>
      <c r="Y316">
        <v>81</v>
      </c>
      <c r="Z316">
        <v>1</v>
      </c>
      <c r="AA316">
        <v>1</v>
      </c>
      <c r="AB316">
        <v>3</v>
      </c>
      <c r="AC316">
        <v>0</v>
      </c>
      <c r="AD316">
        <v>0</v>
      </c>
      <c r="AE316">
        <v>0</v>
      </c>
      <c r="AF316">
        <v>0</v>
      </c>
      <c r="AK316">
        <v>2</v>
      </c>
      <c r="AL316">
        <v>0</v>
      </c>
      <c r="AM316">
        <v>0</v>
      </c>
      <c r="AN316">
        <v>0</v>
      </c>
      <c r="AZ316">
        <v>8</v>
      </c>
      <c r="BC316">
        <v>16</v>
      </c>
      <c r="BD316">
        <v>19</v>
      </c>
      <c r="BE316">
        <v>356</v>
      </c>
      <c r="BF316">
        <v>356</v>
      </c>
      <c r="BG316">
        <v>549</v>
      </c>
      <c r="BJ316">
        <v>1</v>
      </c>
      <c r="BL316" t="s">
        <v>744</v>
      </c>
      <c r="BM316" s="4">
        <v>43283.087500000001</v>
      </c>
      <c r="BN316" s="4">
        <v>43283.095150462963</v>
      </c>
      <c r="BO316" s="4">
        <v>43283.095150462963</v>
      </c>
      <c r="BP316" t="s">
        <v>92</v>
      </c>
      <c r="BQ316" t="s">
        <v>93</v>
      </c>
      <c r="BR316" t="s">
        <v>94</v>
      </c>
    </row>
    <row r="317" spans="1:70" x14ac:dyDescent="0.3">
      <c r="A317" t="str">
        <f>"200210C0100"</f>
        <v>200210C0100</v>
      </c>
      <c r="B317" t="s">
        <v>745</v>
      </c>
      <c r="C317">
        <v>20</v>
      </c>
      <c r="D317" t="s">
        <v>88</v>
      </c>
      <c r="E317">
        <v>37</v>
      </c>
      <c r="F317" t="s">
        <v>671</v>
      </c>
      <c r="G317">
        <v>210</v>
      </c>
      <c r="H317">
        <v>1</v>
      </c>
      <c r="I317" t="s">
        <v>98</v>
      </c>
      <c r="J317">
        <v>0</v>
      </c>
      <c r="K317">
        <v>1</v>
      </c>
      <c r="L317">
        <v>5</v>
      </c>
      <c r="M317">
        <v>208</v>
      </c>
      <c r="N317">
        <v>363</v>
      </c>
      <c r="O317">
        <v>9</v>
      </c>
      <c r="P317">
        <v>357</v>
      </c>
      <c r="Q317">
        <v>60</v>
      </c>
      <c r="R317">
        <v>88</v>
      </c>
      <c r="S317">
        <v>7</v>
      </c>
      <c r="T317">
        <v>39</v>
      </c>
      <c r="U317">
        <v>4</v>
      </c>
      <c r="V317">
        <v>3</v>
      </c>
      <c r="W317">
        <v>12</v>
      </c>
      <c r="X317">
        <v>1</v>
      </c>
      <c r="Y317">
        <v>96</v>
      </c>
      <c r="Z317">
        <v>2</v>
      </c>
      <c r="AA317">
        <v>1</v>
      </c>
      <c r="AB317">
        <v>3</v>
      </c>
      <c r="AC317">
        <v>1</v>
      </c>
      <c r="AD317">
        <v>2</v>
      </c>
      <c r="AE317">
        <v>0</v>
      </c>
      <c r="AF317">
        <v>0</v>
      </c>
      <c r="AK317">
        <v>1</v>
      </c>
      <c r="AL317">
        <v>1</v>
      </c>
      <c r="AM317">
        <v>0</v>
      </c>
      <c r="AN317">
        <v>2</v>
      </c>
      <c r="AZ317">
        <v>8</v>
      </c>
      <c r="BC317">
        <v>20</v>
      </c>
      <c r="BD317">
        <v>12</v>
      </c>
      <c r="BE317">
        <v>363</v>
      </c>
      <c r="BF317">
        <v>363</v>
      </c>
      <c r="BG317">
        <v>548</v>
      </c>
      <c r="BJ317">
        <v>1</v>
      </c>
      <c r="BL317" t="s">
        <v>746</v>
      </c>
      <c r="BM317" s="4">
        <v>43283.300694444442</v>
      </c>
      <c r="BN317" s="4">
        <v>43283.32540509259</v>
      </c>
      <c r="BO317" s="4">
        <v>43283.32540509259</v>
      </c>
      <c r="BP317" t="s">
        <v>92</v>
      </c>
      <c r="BQ317" t="s">
        <v>93</v>
      </c>
      <c r="BR317" t="s">
        <v>94</v>
      </c>
    </row>
    <row r="318" spans="1:70" x14ac:dyDescent="0.3">
      <c r="A318" t="str">
        <f>"200211B0100"</f>
        <v>200211B0100</v>
      </c>
      <c r="B318" t="s">
        <v>747</v>
      </c>
      <c r="C318">
        <v>20</v>
      </c>
      <c r="D318" t="s">
        <v>88</v>
      </c>
      <c r="E318">
        <v>37</v>
      </c>
      <c r="F318" t="s">
        <v>671</v>
      </c>
      <c r="G318">
        <v>211</v>
      </c>
      <c r="H318">
        <v>1</v>
      </c>
      <c r="I318" t="s">
        <v>90</v>
      </c>
      <c r="J318">
        <v>0</v>
      </c>
      <c r="K318">
        <v>1</v>
      </c>
      <c r="L318">
        <v>5</v>
      </c>
      <c r="M318">
        <v>243</v>
      </c>
      <c r="N318">
        <v>407</v>
      </c>
      <c r="O318">
        <v>6</v>
      </c>
      <c r="P318">
        <v>407</v>
      </c>
      <c r="Q318">
        <v>87</v>
      </c>
      <c r="R318">
        <v>84</v>
      </c>
      <c r="S318">
        <v>2</v>
      </c>
      <c r="T318">
        <v>50</v>
      </c>
      <c r="U318">
        <v>4</v>
      </c>
      <c r="V318">
        <v>1</v>
      </c>
      <c r="W318">
        <v>16</v>
      </c>
      <c r="X318">
        <v>1</v>
      </c>
      <c r="Y318">
        <v>81</v>
      </c>
      <c r="Z318">
        <v>1</v>
      </c>
      <c r="AA318">
        <v>0</v>
      </c>
      <c r="AB318">
        <v>1</v>
      </c>
      <c r="AC318">
        <v>1</v>
      </c>
      <c r="AD318">
        <v>0</v>
      </c>
      <c r="AE318">
        <v>0</v>
      </c>
      <c r="AF318">
        <v>0</v>
      </c>
      <c r="AK318">
        <v>4</v>
      </c>
      <c r="AL318">
        <v>0</v>
      </c>
      <c r="AM318">
        <v>0</v>
      </c>
      <c r="AN318">
        <v>2</v>
      </c>
      <c r="AZ318">
        <v>19</v>
      </c>
      <c r="BC318">
        <v>41</v>
      </c>
      <c r="BD318">
        <v>12</v>
      </c>
      <c r="BE318">
        <v>407</v>
      </c>
      <c r="BF318">
        <v>407</v>
      </c>
      <c r="BG318">
        <v>627</v>
      </c>
      <c r="BJ318">
        <v>1</v>
      </c>
      <c r="BL318" t="s">
        <v>748</v>
      </c>
      <c r="BM318" s="4">
        <v>43283.015972222223</v>
      </c>
      <c r="BN318" s="4">
        <v>43283.02039351852</v>
      </c>
      <c r="BO318" s="4">
        <v>43283.02039351852</v>
      </c>
      <c r="BP318" t="s">
        <v>92</v>
      </c>
      <c r="BQ318" t="s">
        <v>93</v>
      </c>
      <c r="BR318" t="s">
        <v>94</v>
      </c>
    </row>
    <row r="319" spans="1:70" x14ac:dyDescent="0.3">
      <c r="A319" t="str">
        <f>"200212B0100"</f>
        <v>200212B0100</v>
      </c>
      <c r="B319" t="s">
        <v>749</v>
      </c>
      <c r="C319">
        <v>20</v>
      </c>
      <c r="D319" t="s">
        <v>88</v>
      </c>
      <c r="E319">
        <v>37</v>
      </c>
      <c r="F319" t="s">
        <v>671</v>
      </c>
      <c r="G319">
        <v>212</v>
      </c>
      <c r="H319">
        <v>1</v>
      </c>
      <c r="I319" t="s">
        <v>90</v>
      </c>
      <c r="J319">
        <v>0</v>
      </c>
      <c r="K319">
        <v>1</v>
      </c>
      <c r="L319">
        <v>5</v>
      </c>
      <c r="M319">
        <v>243</v>
      </c>
      <c r="N319">
        <v>374</v>
      </c>
      <c r="O319">
        <v>7</v>
      </c>
      <c r="P319">
        <v>376</v>
      </c>
      <c r="Q319">
        <v>68</v>
      </c>
      <c r="R319">
        <v>91</v>
      </c>
      <c r="S319">
        <v>4</v>
      </c>
      <c r="T319">
        <v>35</v>
      </c>
      <c r="U319">
        <v>4</v>
      </c>
      <c r="V319">
        <v>1</v>
      </c>
      <c r="W319">
        <v>9</v>
      </c>
      <c r="X319">
        <v>0</v>
      </c>
      <c r="Y319">
        <v>92</v>
      </c>
      <c r="Z319">
        <v>6</v>
      </c>
      <c r="AA319">
        <v>0</v>
      </c>
      <c r="AB319">
        <v>4</v>
      </c>
      <c r="AC319">
        <v>1</v>
      </c>
      <c r="AD319">
        <v>0</v>
      </c>
      <c r="AE319">
        <v>0</v>
      </c>
      <c r="AF319">
        <v>0</v>
      </c>
      <c r="AK319">
        <v>3</v>
      </c>
      <c r="AL319">
        <v>0</v>
      </c>
      <c r="AM319">
        <v>0</v>
      </c>
      <c r="AN319">
        <v>0</v>
      </c>
      <c r="AZ319">
        <v>13</v>
      </c>
      <c r="BC319">
        <v>35</v>
      </c>
      <c r="BD319">
        <v>10</v>
      </c>
      <c r="BE319">
        <v>376</v>
      </c>
      <c r="BF319">
        <v>376</v>
      </c>
      <c r="BG319">
        <v>594</v>
      </c>
      <c r="BJ319">
        <v>1</v>
      </c>
      <c r="BL319" t="s">
        <v>750</v>
      </c>
      <c r="BM319" s="4">
        <v>43283.029166666667</v>
      </c>
      <c r="BN319" s="4">
        <v>43283.034560185188</v>
      </c>
      <c r="BO319" s="4">
        <v>43283.034560185188</v>
      </c>
      <c r="BP319" t="s">
        <v>92</v>
      </c>
      <c r="BQ319" t="s">
        <v>93</v>
      </c>
      <c r="BR319" t="s">
        <v>94</v>
      </c>
    </row>
    <row r="320" spans="1:70" x14ac:dyDescent="0.3">
      <c r="A320" t="str">
        <f>"200212C0100"</f>
        <v>200212C0100</v>
      </c>
      <c r="B320" t="s">
        <v>751</v>
      </c>
      <c r="C320">
        <v>20</v>
      </c>
      <c r="D320" t="s">
        <v>88</v>
      </c>
      <c r="E320">
        <v>37</v>
      </c>
      <c r="F320" t="s">
        <v>671</v>
      </c>
      <c r="G320">
        <v>212</v>
      </c>
      <c r="H320">
        <v>1</v>
      </c>
      <c r="I320" t="s">
        <v>98</v>
      </c>
      <c r="J320">
        <v>0</v>
      </c>
      <c r="K320">
        <v>1</v>
      </c>
      <c r="L320">
        <v>5</v>
      </c>
      <c r="M320">
        <v>262</v>
      </c>
      <c r="N320">
        <v>351</v>
      </c>
      <c r="O320">
        <v>3</v>
      </c>
      <c r="P320">
        <v>332</v>
      </c>
      <c r="Q320">
        <v>64</v>
      </c>
      <c r="R320">
        <v>80</v>
      </c>
      <c r="S320">
        <v>5</v>
      </c>
      <c r="T320">
        <v>30</v>
      </c>
      <c r="U320">
        <v>5</v>
      </c>
      <c r="V320">
        <v>0</v>
      </c>
      <c r="W320">
        <v>4</v>
      </c>
      <c r="X320">
        <v>1</v>
      </c>
      <c r="Y320">
        <v>100</v>
      </c>
      <c r="Z320">
        <v>4</v>
      </c>
      <c r="AA320">
        <v>2</v>
      </c>
      <c r="AB320">
        <v>5</v>
      </c>
      <c r="AC320">
        <v>1</v>
      </c>
      <c r="AD320">
        <v>0</v>
      </c>
      <c r="AE320">
        <v>1</v>
      </c>
      <c r="AF320">
        <v>0</v>
      </c>
      <c r="AK320">
        <v>0</v>
      </c>
      <c r="AL320">
        <v>0</v>
      </c>
      <c r="AM320">
        <v>1</v>
      </c>
      <c r="AN320">
        <v>1</v>
      </c>
      <c r="AZ320">
        <v>8</v>
      </c>
      <c r="BC320">
        <v>32</v>
      </c>
      <c r="BD320">
        <v>7</v>
      </c>
      <c r="BE320">
        <v>351</v>
      </c>
      <c r="BF320">
        <v>351</v>
      </c>
      <c r="BG320">
        <v>593</v>
      </c>
      <c r="BJ320">
        <v>1</v>
      </c>
      <c r="BL320" t="s">
        <v>752</v>
      </c>
      <c r="BM320" s="4">
        <v>43283.030555555553</v>
      </c>
      <c r="BN320" s="4">
        <v>43283.034618055557</v>
      </c>
      <c r="BO320" s="4">
        <v>43283.034618055557</v>
      </c>
      <c r="BP320" t="s">
        <v>92</v>
      </c>
      <c r="BQ320" t="s">
        <v>93</v>
      </c>
      <c r="BR320" t="s">
        <v>94</v>
      </c>
    </row>
    <row r="321" spans="1:70" x14ac:dyDescent="0.3">
      <c r="A321" t="str">
        <f>"200212S0100"</f>
        <v>200212S0100</v>
      </c>
      <c r="B321" t="s">
        <v>753</v>
      </c>
      <c r="C321">
        <v>20</v>
      </c>
      <c r="D321" t="s">
        <v>88</v>
      </c>
      <c r="E321">
        <v>37</v>
      </c>
      <c r="F321" t="s">
        <v>671</v>
      </c>
      <c r="G321">
        <v>212</v>
      </c>
      <c r="H321">
        <v>1</v>
      </c>
      <c r="I321" t="s">
        <v>113</v>
      </c>
      <c r="J321">
        <v>0</v>
      </c>
      <c r="K321">
        <v>1</v>
      </c>
      <c r="L321">
        <v>6</v>
      </c>
      <c r="M321">
        <v>752</v>
      </c>
      <c r="N321">
        <v>21</v>
      </c>
      <c r="O321">
        <v>0</v>
      </c>
      <c r="P321">
        <v>21</v>
      </c>
      <c r="Q321">
        <v>1</v>
      </c>
      <c r="R321">
        <v>9</v>
      </c>
      <c r="S321">
        <v>0</v>
      </c>
      <c r="T321">
        <v>3</v>
      </c>
      <c r="U321">
        <v>1</v>
      </c>
      <c r="V321">
        <v>0</v>
      </c>
      <c r="W321">
        <v>0</v>
      </c>
      <c r="X321">
        <v>0</v>
      </c>
      <c r="Y321">
        <v>4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K321">
        <v>0</v>
      </c>
      <c r="AL321">
        <v>0</v>
      </c>
      <c r="AM321">
        <v>0</v>
      </c>
      <c r="AN321">
        <v>0</v>
      </c>
      <c r="AZ321">
        <v>0</v>
      </c>
      <c r="BC321">
        <v>0</v>
      </c>
      <c r="BD321">
        <v>3</v>
      </c>
      <c r="BE321">
        <v>21</v>
      </c>
      <c r="BF321">
        <v>21</v>
      </c>
      <c r="BG321">
        <v>0</v>
      </c>
      <c r="BJ321">
        <v>1</v>
      </c>
      <c r="BL321" t="s">
        <v>754</v>
      </c>
      <c r="BM321" s="4">
        <v>43283.105555555558</v>
      </c>
      <c r="BN321" s="4">
        <v>43283.113020833334</v>
      </c>
      <c r="BO321" s="4">
        <v>43283.113020833334</v>
      </c>
      <c r="BP321" t="s">
        <v>92</v>
      </c>
      <c r="BQ321" t="s">
        <v>93</v>
      </c>
      <c r="BR321" t="s">
        <v>94</v>
      </c>
    </row>
    <row r="322" spans="1:70" x14ac:dyDescent="0.3">
      <c r="A322" t="str">
        <f>"200213B0100"</f>
        <v>200213B0100</v>
      </c>
      <c r="B322" t="s">
        <v>755</v>
      </c>
      <c r="C322">
        <v>20</v>
      </c>
      <c r="D322" t="s">
        <v>88</v>
      </c>
      <c r="E322">
        <v>37</v>
      </c>
      <c r="F322" t="s">
        <v>671</v>
      </c>
      <c r="G322">
        <v>213</v>
      </c>
      <c r="H322">
        <v>1</v>
      </c>
      <c r="I322" t="s">
        <v>90</v>
      </c>
      <c r="J322">
        <v>0</v>
      </c>
      <c r="K322">
        <v>1</v>
      </c>
      <c r="L322">
        <v>5</v>
      </c>
      <c r="M322">
        <v>180</v>
      </c>
      <c r="N322">
        <v>345</v>
      </c>
      <c r="O322">
        <v>7</v>
      </c>
      <c r="P322">
        <v>344</v>
      </c>
      <c r="Q322">
        <v>77</v>
      </c>
      <c r="R322">
        <v>85</v>
      </c>
      <c r="S322">
        <v>3</v>
      </c>
      <c r="T322">
        <v>34</v>
      </c>
      <c r="U322">
        <v>4</v>
      </c>
      <c r="V322">
        <v>2</v>
      </c>
      <c r="W322">
        <v>15</v>
      </c>
      <c r="X322">
        <v>0</v>
      </c>
      <c r="Y322">
        <v>71</v>
      </c>
      <c r="Z322">
        <v>2</v>
      </c>
      <c r="AA322">
        <v>0</v>
      </c>
      <c r="AB322">
        <v>2</v>
      </c>
      <c r="AC322">
        <v>1</v>
      </c>
      <c r="AD322">
        <v>0</v>
      </c>
      <c r="AE322">
        <v>0</v>
      </c>
      <c r="AF322">
        <v>0</v>
      </c>
      <c r="AK322">
        <v>0</v>
      </c>
      <c r="AL322">
        <v>0</v>
      </c>
      <c r="AM322">
        <v>0</v>
      </c>
      <c r="AN322">
        <v>0</v>
      </c>
      <c r="AZ322">
        <v>11</v>
      </c>
      <c r="BC322">
        <v>31</v>
      </c>
      <c r="BD322">
        <v>6</v>
      </c>
      <c r="BE322">
        <v>344</v>
      </c>
      <c r="BF322">
        <v>344</v>
      </c>
      <c r="BG322">
        <v>502</v>
      </c>
      <c r="BJ322">
        <v>1</v>
      </c>
      <c r="BL322" t="s">
        <v>756</v>
      </c>
      <c r="BM322" s="4">
        <v>43283.0625</v>
      </c>
      <c r="BN322" s="4">
        <v>43283.06726851852</v>
      </c>
      <c r="BO322" s="4">
        <v>43283.06726851852</v>
      </c>
      <c r="BP322" t="s">
        <v>92</v>
      </c>
      <c r="BQ322" t="s">
        <v>93</v>
      </c>
      <c r="BR322" t="s">
        <v>94</v>
      </c>
    </row>
    <row r="323" spans="1:70" x14ac:dyDescent="0.3">
      <c r="A323" t="str">
        <f>"200213C0100"</f>
        <v>200213C0100</v>
      </c>
      <c r="B323" t="s">
        <v>757</v>
      </c>
      <c r="C323">
        <v>20</v>
      </c>
      <c r="D323" t="s">
        <v>88</v>
      </c>
      <c r="E323">
        <v>37</v>
      </c>
      <c r="F323" t="s">
        <v>671</v>
      </c>
      <c r="G323">
        <v>213</v>
      </c>
      <c r="H323">
        <v>1</v>
      </c>
      <c r="I323" t="s">
        <v>98</v>
      </c>
      <c r="J323">
        <v>0</v>
      </c>
      <c r="K323">
        <v>1</v>
      </c>
      <c r="L323">
        <v>5</v>
      </c>
      <c r="M323">
        <v>158</v>
      </c>
      <c r="N323">
        <v>366</v>
      </c>
      <c r="O323">
        <v>9</v>
      </c>
      <c r="P323">
        <v>366</v>
      </c>
      <c r="Q323">
        <v>75</v>
      </c>
      <c r="R323">
        <v>101</v>
      </c>
      <c r="S323">
        <v>3</v>
      </c>
      <c r="T323">
        <v>52</v>
      </c>
      <c r="U323">
        <v>2</v>
      </c>
      <c r="V323">
        <v>2</v>
      </c>
      <c r="W323">
        <v>8</v>
      </c>
      <c r="X323">
        <v>1</v>
      </c>
      <c r="Y323">
        <v>64</v>
      </c>
      <c r="Z323">
        <v>3</v>
      </c>
      <c r="AA323">
        <v>1</v>
      </c>
      <c r="AB323">
        <v>0</v>
      </c>
      <c r="AC323">
        <v>1</v>
      </c>
      <c r="AD323">
        <v>0</v>
      </c>
      <c r="AE323">
        <v>0</v>
      </c>
      <c r="AF323">
        <v>0</v>
      </c>
      <c r="AK323">
        <v>0</v>
      </c>
      <c r="AL323">
        <v>0</v>
      </c>
      <c r="AM323">
        <v>0</v>
      </c>
      <c r="AN323">
        <v>1</v>
      </c>
      <c r="AZ323">
        <v>21</v>
      </c>
      <c r="BC323">
        <v>24</v>
      </c>
      <c r="BD323">
        <v>7</v>
      </c>
      <c r="BE323">
        <v>366</v>
      </c>
      <c r="BF323">
        <v>366</v>
      </c>
      <c r="BG323">
        <v>501</v>
      </c>
      <c r="BJ323">
        <v>1</v>
      </c>
      <c r="BL323" t="s">
        <v>758</v>
      </c>
      <c r="BM323" s="4">
        <v>43283.061111111114</v>
      </c>
      <c r="BN323" s="4">
        <v>43283.069189814814</v>
      </c>
      <c r="BO323" s="4">
        <v>43283.069189814814</v>
      </c>
      <c r="BP323" t="s">
        <v>92</v>
      </c>
      <c r="BQ323" t="s">
        <v>93</v>
      </c>
      <c r="BR323" t="s">
        <v>94</v>
      </c>
    </row>
    <row r="324" spans="1:70" x14ac:dyDescent="0.3">
      <c r="A324" t="str">
        <f>"200214B0100"</f>
        <v>200214B0100</v>
      </c>
      <c r="B324" t="s">
        <v>759</v>
      </c>
      <c r="C324">
        <v>20</v>
      </c>
      <c r="D324" t="s">
        <v>88</v>
      </c>
      <c r="E324">
        <v>37</v>
      </c>
      <c r="F324" t="s">
        <v>671</v>
      </c>
      <c r="G324">
        <v>214</v>
      </c>
      <c r="H324">
        <v>1</v>
      </c>
      <c r="I324" t="s">
        <v>90</v>
      </c>
      <c r="J324">
        <v>0</v>
      </c>
      <c r="K324">
        <v>2</v>
      </c>
      <c r="L324">
        <v>5</v>
      </c>
      <c r="M324">
        <v>243</v>
      </c>
      <c r="N324">
        <v>418</v>
      </c>
      <c r="O324">
        <v>0</v>
      </c>
      <c r="P324">
        <v>418</v>
      </c>
      <c r="Q324">
        <v>94</v>
      </c>
      <c r="R324">
        <v>91</v>
      </c>
      <c r="S324">
        <v>2</v>
      </c>
      <c r="T324">
        <v>65</v>
      </c>
      <c r="U324">
        <v>14</v>
      </c>
      <c r="V324">
        <v>0</v>
      </c>
      <c r="W324">
        <v>17</v>
      </c>
      <c r="X324">
        <v>3</v>
      </c>
      <c r="Y324">
        <v>76</v>
      </c>
      <c r="Z324">
        <v>0</v>
      </c>
      <c r="AA324">
        <v>1</v>
      </c>
      <c r="AB324">
        <v>2</v>
      </c>
      <c r="AC324">
        <v>1</v>
      </c>
      <c r="AD324">
        <v>0</v>
      </c>
      <c r="AE324">
        <v>0</v>
      </c>
      <c r="AF324">
        <v>0</v>
      </c>
      <c r="AK324">
        <v>1</v>
      </c>
      <c r="AL324">
        <v>0</v>
      </c>
      <c r="AM324">
        <v>0</v>
      </c>
      <c r="AN324">
        <v>2</v>
      </c>
      <c r="AZ324">
        <v>16</v>
      </c>
      <c r="BC324">
        <v>0</v>
      </c>
      <c r="BD324">
        <v>19</v>
      </c>
      <c r="BE324">
        <v>418</v>
      </c>
      <c r="BF324">
        <v>404</v>
      </c>
      <c r="BG324">
        <v>637</v>
      </c>
      <c r="BJ324">
        <v>1</v>
      </c>
      <c r="BL324" t="s">
        <v>760</v>
      </c>
      <c r="BM324" s="4">
        <v>43283.081944444442</v>
      </c>
      <c r="BN324" s="4">
        <v>43283.088310185187</v>
      </c>
      <c r="BO324" s="4">
        <v>43283.088310185187</v>
      </c>
      <c r="BP324" t="s">
        <v>92</v>
      </c>
      <c r="BQ324" t="s">
        <v>93</v>
      </c>
      <c r="BR324" t="s">
        <v>94</v>
      </c>
    </row>
    <row r="325" spans="1:70" x14ac:dyDescent="0.3">
      <c r="A325" t="str">
        <f>"200214E0100"</f>
        <v>200214E0100</v>
      </c>
      <c r="B325" s="2" t="s">
        <v>761</v>
      </c>
      <c r="C325">
        <v>20</v>
      </c>
      <c r="D325" t="s">
        <v>88</v>
      </c>
      <c r="E325">
        <v>37</v>
      </c>
      <c r="F325" t="s">
        <v>671</v>
      </c>
      <c r="G325">
        <v>214</v>
      </c>
      <c r="H325">
        <v>1</v>
      </c>
      <c r="I325" t="s">
        <v>156</v>
      </c>
      <c r="J325">
        <v>0</v>
      </c>
      <c r="K325">
        <v>2</v>
      </c>
      <c r="L325">
        <v>5</v>
      </c>
      <c r="M325">
        <v>293</v>
      </c>
      <c r="N325">
        <v>384</v>
      </c>
      <c r="O325">
        <v>7</v>
      </c>
      <c r="P325">
        <v>387</v>
      </c>
      <c r="Q325">
        <v>44</v>
      </c>
      <c r="R325">
        <v>74</v>
      </c>
      <c r="S325">
        <v>3</v>
      </c>
      <c r="T325">
        <v>48</v>
      </c>
      <c r="U325">
        <v>8</v>
      </c>
      <c r="V325">
        <v>3</v>
      </c>
      <c r="W325">
        <v>20</v>
      </c>
      <c r="X325">
        <v>1</v>
      </c>
      <c r="Y325">
        <v>114</v>
      </c>
      <c r="Z325">
        <v>3</v>
      </c>
      <c r="AA325">
        <v>1</v>
      </c>
      <c r="AB325">
        <v>3</v>
      </c>
      <c r="AC325">
        <v>1</v>
      </c>
      <c r="AD325">
        <v>0</v>
      </c>
      <c r="AE325">
        <v>0</v>
      </c>
      <c r="AF325">
        <v>0</v>
      </c>
      <c r="AK325">
        <v>3</v>
      </c>
      <c r="AL325">
        <v>0</v>
      </c>
      <c r="AM325">
        <v>1</v>
      </c>
      <c r="AN325">
        <v>0</v>
      </c>
      <c r="AZ325">
        <v>9</v>
      </c>
      <c r="BC325">
        <v>31</v>
      </c>
      <c r="BD325">
        <v>20</v>
      </c>
      <c r="BE325">
        <v>387</v>
      </c>
      <c r="BF325">
        <v>387</v>
      </c>
      <c r="BG325">
        <v>657</v>
      </c>
      <c r="BJ325">
        <v>1</v>
      </c>
      <c r="BL325" t="s">
        <v>762</v>
      </c>
      <c r="BM325" s="4">
        <v>43283.072916666664</v>
      </c>
      <c r="BN325" s="4">
        <v>43283.077291666668</v>
      </c>
      <c r="BO325" s="4">
        <v>43283.077291666668</v>
      </c>
      <c r="BP325" t="s">
        <v>92</v>
      </c>
      <c r="BQ325" t="s">
        <v>93</v>
      </c>
      <c r="BR325" t="s">
        <v>94</v>
      </c>
    </row>
    <row r="326" spans="1:70" x14ac:dyDescent="0.3">
      <c r="A326" t="str">
        <f>"200214E0101"</f>
        <v>200214E0101</v>
      </c>
      <c r="B326" s="2" t="s">
        <v>763</v>
      </c>
      <c r="C326">
        <v>20</v>
      </c>
      <c r="D326" t="s">
        <v>88</v>
      </c>
      <c r="E326">
        <v>37</v>
      </c>
      <c r="F326" t="s">
        <v>671</v>
      </c>
      <c r="G326">
        <v>214</v>
      </c>
      <c r="H326">
        <v>1</v>
      </c>
      <c r="I326" t="s">
        <v>156</v>
      </c>
      <c r="J326">
        <v>1</v>
      </c>
      <c r="K326">
        <v>2</v>
      </c>
      <c r="L326">
        <v>5</v>
      </c>
      <c r="M326">
        <v>308</v>
      </c>
      <c r="N326">
        <v>377</v>
      </c>
      <c r="O326">
        <v>4</v>
      </c>
      <c r="P326">
        <v>364</v>
      </c>
      <c r="Q326">
        <v>32</v>
      </c>
      <c r="R326">
        <v>72</v>
      </c>
      <c r="S326">
        <v>2</v>
      </c>
      <c r="T326">
        <v>41</v>
      </c>
      <c r="U326">
        <v>11</v>
      </c>
      <c r="V326">
        <v>1</v>
      </c>
      <c r="W326">
        <v>19</v>
      </c>
      <c r="X326">
        <v>2</v>
      </c>
      <c r="Y326">
        <v>116</v>
      </c>
      <c r="Z326">
        <v>8</v>
      </c>
      <c r="AA326">
        <v>1</v>
      </c>
      <c r="AB326">
        <v>4</v>
      </c>
      <c r="AC326">
        <v>0</v>
      </c>
      <c r="AD326">
        <v>0</v>
      </c>
      <c r="AE326">
        <v>0</v>
      </c>
      <c r="AF326">
        <v>0</v>
      </c>
      <c r="AK326">
        <v>4</v>
      </c>
      <c r="AL326">
        <v>0</v>
      </c>
      <c r="AM326">
        <v>0</v>
      </c>
      <c r="AN326">
        <v>0</v>
      </c>
      <c r="AZ326">
        <v>7</v>
      </c>
      <c r="BC326">
        <v>28</v>
      </c>
      <c r="BD326">
        <v>15</v>
      </c>
      <c r="BE326">
        <v>364</v>
      </c>
      <c r="BF326">
        <v>363</v>
      </c>
      <c r="BG326">
        <v>657</v>
      </c>
      <c r="BJ326">
        <v>1</v>
      </c>
      <c r="BL326" t="s">
        <v>764</v>
      </c>
      <c r="BM326" s="4">
        <v>43283.072222222225</v>
      </c>
      <c r="BN326" s="4">
        <v>43283.077013888891</v>
      </c>
      <c r="BO326" s="4">
        <v>43283.077013888891</v>
      </c>
      <c r="BP326" t="s">
        <v>92</v>
      </c>
      <c r="BQ326" t="s">
        <v>93</v>
      </c>
      <c r="BR326" t="s">
        <v>94</v>
      </c>
    </row>
    <row r="327" spans="1:70" x14ac:dyDescent="0.3">
      <c r="A327" t="str">
        <f>"200214E0200"</f>
        <v>200214E0200</v>
      </c>
      <c r="B327" s="2" t="s">
        <v>765</v>
      </c>
      <c r="C327">
        <v>20</v>
      </c>
      <c r="D327" t="s">
        <v>88</v>
      </c>
      <c r="E327">
        <v>37</v>
      </c>
      <c r="F327" t="s">
        <v>671</v>
      </c>
      <c r="G327">
        <v>214</v>
      </c>
      <c r="H327">
        <v>2</v>
      </c>
      <c r="I327" t="s">
        <v>156</v>
      </c>
      <c r="J327">
        <v>0</v>
      </c>
      <c r="K327">
        <v>2</v>
      </c>
      <c r="L327">
        <v>5</v>
      </c>
      <c r="BG327">
        <v>404</v>
      </c>
      <c r="BI327" t="s">
        <v>365</v>
      </c>
      <c r="BJ327">
        <v>0</v>
      </c>
      <c r="BL327" t="s">
        <v>766</v>
      </c>
      <c r="BM327" s="4">
        <v>43283.535416666666</v>
      </c>
      <c r="BN327" s="4">
        <v>43283.540694444448</v>
      </c>
      <c r="BO327" s="4">
        <v>43283.540694444448</v>
      </c>
      <c r="BP327" t="s">
        <v>92</v>
      </c>
      <c r="BQ327" t="s">
        <v>93</v>
      </c>
      <c r="BR327" t="s">
        <v>94</v>
      </c>
    </row>
    <row r="328" spans="1:70" x14ac:dyDescent="0.3">
      <c r="A328" t="str">
        <f>"200215B0100"</f>
        <v>200215B0100</v>
      </c>
      <c r="B328" t="s">
        <v>767</v>
      </c>
      <c r="C328">
        <v>20</v>
      </c>
      <c r="D328" t="s">
        <v>88</v>
      </c>
      <c r="E328">
        <v>37</v>
      </c>
      <c r="F328" t="s">
        <v>671</v>
      </c>
      <c r="G328">
        <v>215</v>
      </c>
      <c r="H328">
        <v>1</v>
      </c>
      <c r="I328" t="s">
        <v>90</v>
      </c>
      <c r="J328">
        <v>0</v>
      </c>
      <c r="K328">
        <v>1</v>
      </c>
      <c r="L328">
        <v>5</v>
      </c>
      <c r="M328">
        <v>140</v>
      </c>
      <c r="N328">
        <v>259</v>
      </c>
      <c r="O328">
        <v>6</v>
      </c>
      <c r="P328">
        <v>259</v>
      </c>
      <c r="Q328">
        <v>60</v>
      </c>
      <c r="R328">
        <v>72</v>
      </c>
      <c r="S328">
        <v>2</v>
      </c>
      <c r="T328">
        <v>38</v>
      </c>
      <c r="U328">
        <v>5</v>
      </c>
      <c r="V328">
        <v>1</v>
      </c>
      <c r="W328">
        <v>2</v>
      </c>
      <c r="X328">
        <v>0</v>
      </c>
      <c r="Y328">
        <v>45</v>
      </c>
      <c r="Z328">
        <v>1</v>
      </c>
      <c r="AA328">
        <v>0</v>
      </c>
      <c r="AB328">
        <v>0</v>
      </c>
      <c r="AC328">
        <v>3</v>
      </c>
      <c r="AD328">
        <v>0</v>
      </c>
      <c r="AE328">
        <v>0</v>
      </c>
      <c r="AF328">
        <v>0</v>
      </c>
      <c r="AK328">
        <v>0</v>
      </c>
      <c r="AL328">
        <v>1</v>
      </c>
      <c r="AM328">
        <v>0</v>
      </c>
      <c r="AN328">
        <v>0</v>
      </c>
      <c r="AZ328">
        <v>5</v>
      </c>
      <c r="BC328">
        <v>20</v>
      </c>
      <c r="BD328">
        <v>4</v>
      </c>
      <c r="BE328">
        <v>259</v>
      </c>
      <c r="BF328">
        <v>259</v>
      </c>
      <c r="BG328">
        <v>376</v>
      </c>
      <c r="BJ328">
        <v>1</v>
      </c>
      <c r="BL328" t="s">
        <v>768</v>
      </c>
      <c r="BM328" s="4">
        <v>43283.032638888886</v>
      </c>
      <c r="BN328" s="4">
        <v>43283.041076388887</v>
      </c>
      <c r="BO328" s="4">
        <v>43283.041076388887</v>
      </c>
      <c r="BP328" t="s">
        <v>92</v>
      </c>
      <c r="BQ328" t="s">
        <v>93</v>
      </c>
      <c r="BR328" t="s">
        <v>94</v>
      </c>
    </row>
    <row r="329" spans="1:70" x14ac:dyDescent="0.3">
      <c r="A329" t="str">
        <f>"200215C0100"</f>
        <v>200215C0100</v>
      </c>
      <c r="B329" t="s">
        <v>769</v>
      </c>
      <c r="C329">
        <v>20</v>
      </c>
      <c r="D329" t="s">
        <v>88</v>
      </c>
      <c r="E329">
        <v>37</v>
      </c>
      <c r="F329" t="s">
        <v>671</v>
      </c>
      <c r="G329">
        <v>215</v>
      </c>
      <c r="H329">
        <v>1</v>
      </c>
      <c r="I329" t="s">
        <v>98</v>
      </c>
      <c r="J329">
        <v>0</v>
      </c>
      <c r="K329">
        <v>1</v>
      </c>
      <c r="L329">
        <v>5</v>
      </c>
      <c r="M329">
        <v>149</v>
      </c>
      <c r="N329">
        <v>250</v>
      </c>
      <c r="O329">
        <v>7</v>
      </c>
      <c r="P329">
        <v>250</v>
      </c>
      <c r="Q329">
        <v>43</v>
      </c>
      <c r="R329">
        <v>71</v>
      </c>
      <c r="S329">
        <v>1</v>
      </c>
      <c r="T329">
        <v>38</v>
      </c>
      <c r="U329">
        <v>2</v>
      </c>
      <c r="V329">
        <v>0</v>
      </c>
      <c r="W329">
        <v>6</v>
      </c>
      <c r="X329">
        <v>2</v>
      </c>
      <c r="Y329">
        <v>51</v>
      </c>
      <c r="Z329">
        <v>0</v>
      </c>
      <c r="AA329">
        <v>1</v>
      </c>
      <c r="AB329">
        <v>2</v>
      </c>
      <c r="AC329">
        <v>0</v>
      </c>
      <c r="AD329">
        <v>0</v>
      </c>
      <c r="AE329">
        <v>0</v>
      </c>
      <c r="AF329">
        <v>0</v>
      </c>
      <c r="AK329">
        <v>0</v>
      </c>
      <c r="AL329">
        <v>0</v>
      </c>
      <c r="AM329">
        <v>0</v>
      </c>
      <c r="AN329">
        <v>0</v>
      </c>
      <c r="AZ329">
        <v>10</v>
      </c>
      <c r="BC329">
        <v>17</v>
      </c>
      <c r="BD329">
        <v>6</v>
      </c>
      <c r="BE329">
        <v>250</v>
      </c>
      <c r="BF329">
        <v>250</v>
      </c>
      <c r="BG329">
        <v>376</v>
      </c>
      <c r="BJ329">
        <v>1</v>
      </c>
      <c r="BL329" t="s">
        <v>770</v>
      </c>
      <c r="BM329" s="4">
        <v>43283.033333333333</v>
      </c>
      <c r="BN329" s="4">
        <v>43283.03875</v>
      </c>
      <c r="BO329" s="4">
        <v>43283.03875</v>
      </c>
      <c r="BP329" t="s">
        <v>92</v>
      </c>
      <c r="BQ329" t="s">
        <v>93</v>
      </c>
      <c r="BR329" t="s">
        <v>94</v>
      </c>
    </row>
    <row r="330" spans="1:70" x14ac:dyDescent="0.3">
      <c r="A330" t="str">
        <f>"200216B0100"</f>
        <v>200216B0100</v>
      </c>
      <c r="B330" t="s">
        <v>771</v>
      </c>
      <c r="C330">
        <v>20</v>
      </c>
      <c r="D330" t="s">
        <v>88</v>
      </c>
      <c r="E330">
        <v>37</v>
      </c>
      <c r="F330" t="s">
        <v>671</v>
      </c>
      <c r="G330">
        <v>216</v>
      </c>
      <c r="H330">
        <v>1</v>
      </c>
      <c r="I330" t="s">
        <v>90</v>
      </c>
      <c r="J330">
        <v>0</v>
      </c>
      <c r="K330">
        <v>2</v>
      </c>
      <c r="L330">
        <v>5</v>
      </c>
      <c r="M330">
        <v>330</v>
      </c>
      <c r="N330">
        <v>428</v>
      </c>
      <c r="O330">
        <v>7</v>
      </c>
      <c r="P330">
        <v>428</v>
      </c>
      <c r="Q330">
        <v>56</v>
      </c>
      <c r="R330">
        <v>114</v>
      </c>
      <c r="S330">
        <v>4</v>
      </c>
      <c r="T330">
        <v>55</v>
      </c>
      <c r="U330">
        <v>6</v>
      </c>
      <c r="V330">
        <v>6</v>
      </c>
      <c r="W330">
        <v>22</v>
      </c>
      <c r="X330">
        <v>0</v>
      </c>
      <c r="Y330">
        <v>108</v>
      </c>
      <c r="Z330">
        <v>3</v>
      </c>
      <c r="AA330">
        <v>1</v>
      </c>
      <c r="AB330">
        <v>5</v>
      </c>
      <c r="AC330">
        <v>0</v>
      </c>
      <c r="AD330">
        <v>0</v>
      </c>
      <c r="AE330">
        <v>0</v>
      </c>
      <c r="AF330">
        <v>0</v>
      </c>
      <c r="AK330">
        <v>0</v>
      </c>
      <c r="AL330">
        <v>0</v>
      </c>
      <c r="AM330">
        <v>0</v>
      </c>
      <c r="AN330">
        <v>1</v>
      </c>
      <c r="AZ330">
        <v>11</v>
      </c>
      <c r="BC330">
        <v>27</v>
      </c>
      <c r="BD330">
        <v>9</v>
      </c>
      <c r="BE330">
        <v>428</v>
      </c>
      <c r="BF330">
        <v>428</v>
      </c>
      <c r="BG330">
        <v>735</v>
      </c>
      <c r="BJ330">
        <v>1</v>
      </c>
      <c r="BL330" t="s">
        <v>772</v>
      </c>
      <c r="BM330" s="4">
        <v>43283.135416666664</v>
      </c>
      <c r="BN330" s="4">
        <v>43283.140289351853</v>
      </c>
      <c r="BO330" s="4">
        <v>43283.140289351853</v>
      </c>
      <c r="BP330" t="s">
        <v>92</v>
      </c>
      <c r="BQ330" t="s">
        <v>93</v>
      </c>
      <c r="BR330" t="s">
        <v>94</v>
      </c>
    </row>
    <row r="331" spans="1:70" x14ac:dyDescent="0.3">
      <c r="A331" t="str">
        <f>"200216C0100"</f>
        <v>200216C0100</v>
      </c>
      <c r="B331" t="s">
        <v>773</v>
      </c>
      <c r="C331">
        <v>20</v>
      </c>
      <c r="D331" t="s">
        <v>88</v>
      </c>
      <c r="E331">
        <v>37</v>
      </c>
      <c r="F331" t="s">
        <v>671</v>
      </c>
      <c r="G331">
        <v>216</v>
      </c>
      <c r="H331">
        <v>1</v>
      </c>
      <c r="I331" t="s">
        <v>98</v>
      </c>
      <c r="J331">
        <v>0</v>
      </c>
      <c r="K331">
        <v>2</v>
      </c>
      <c r="L331">
        <v>5</v>
      </c>
      <c r="M331">
        <v>316</v>
      </c>
      <c r="N331">
        <v>460</v>
      </c>
      <c r="O331">
        <v>5</v>
      </c>
      <c r="P331">
        <v>451</v>
      </c>
      <c r="Q331">
        <v>55</v>
      </c>
      <c r="R331">
        <v>131</v>
      </c>
      <c r="S331">
        <v>3</v>
      </c>
      <c r="T331">
        <v>35</v>
      </c>
      <c r="U331">
        <v>7</v>
      </c>
      <c r="V331">
        <v>4</v>
      </c>
      <c r="W331">
        <v>21</v>
      </c>
      <c r="X331">
        <v>1</v>
      </c>
      <c r="Y331">
        <v>148</v>
      </c>
      <c r="Z331">
        <v>1</v>
      </c>
      <c r="AA331">
        <v>0</v>
      </c>
      <c r="AB331">
        <v>3</v>
      </c>
      <c r="AC331">
        <v>0</v>
      </c>
      <c r="AD331">
        <v>0</v>
      </c>
      <c r="AE331">
        <v>0</v>
      </c>
      <c r="AF331">
        <v>0</v>
      </c>
      <c r="AK331">
        <v>1</v>
      </c>
      <c r="AL331">
        <v>1</v>
      </c>
      <c r="AM331">
        <v>0</v>
      </c>
      <c r="AN331">
        <v>0</v>
      </c>
      <c r="AZ331">
        <v>15</v>
      </c>
      <c r="BC331">
        <v>11</v>
      </c>
      <c r="BD331">
        <v>11</v>
      </c>
      <c r="BE331">
        <v>451</v>
      </c>
      <c r="BF331">
        <v>448</v>
      </c>
      <c r="BG331">
        <v>735</v>
      </c>
      <c r="BJ331">
        <v>1</v>
      </c>
      <c r="BL331" t="s">
        <v>774</v>
      </c>
      <c r="BM331" s="4">
        <v>43283.308333333334</v>
      </c>
      <c r="BN331" s="4">
        <v>43283.33625</v>
      </c>
      <c r="BO331" s="4">
        <v>43283.33625</v>
      </c>
      <c r="BP331" t="s">
        <v>92</v>
      </c>
      <c r="BQ331" t="s">
        <v>93</v>
      </c>
      <c r="BR331" t="s">
        <v>94</v>
      </c>
    </row>
    <row r="332" spans="1:70" x14ac:dyDescent="0.3">
      <c r="A332" t="str">
        <f>"200216E0100"</f>
        <v>200216E0100</v>
      </c>
      <c r="B332" s="2" t="s">
        <v>775</v>
      </c>
      <c r="C332">
        <v>20</v>
      </c>
      <c r="D332" t="s">
        <v>88</v>
      </c>
      <c r="E332">
        <v>37</v>
      </c>
      <c r="F332" t="s">
        <v>671</v>
      </c>
      <c r="G332">
        <v>216</v>
      </c>
      <c r="H332">
        <v>1</v>
      </c>
      <c r="I332" t="s">
        <v>156</v>
      </c>
      <c r="J332">
        <v>0</v>
      </c>
      <c r="K332">
        <v>2</v>
      </c>
      <c r="L332">
        <v>5</v>
      </c>
      <c r="M332">
        <v>228</v>
      </c>
      <c r="N332">
        <v>320</v>
      </c>
      <c r="O332">
        <v>6</v>
      </c>
      <c r="P332">
        <v>320</v>
      </c>
      <c r="Q332">
        <v>32</v>
      </c>
      <c r="R332">
        <v>85</v>
      </c>
      <c r="S332">
        <v>4</v>
      </c>
      <c r="T332">
        <v>26</v>
      </c>
      <c r="U332">
        <v>6</v>
      </c>
      <c r="V332">
        <v>4</v>
      </c>
      <c r="W332">
        <v>8</v>
      </c>
      <c r="X332">
        <v>3</v>
      </c>
      <c r="Y332">
        <v>96</v>
      </c>
      <c r="Z332">
        <v>0</v>
      </c>
      <c r="AA332">
        <v>0</v>
      </c>
      <c r="AB332">
        <v>6</v>
      </c>
      <c r="AC332">
        <v>0</v>
      </c>
      <c r="AD332">
        <v>1</v>
      </c>
      <c r="AE332">
        <v>0</v>
      </c>
      <c r="AF332">
        <v>0</v>
      </c>
      <c r="AK332">
        <v>2</v>
      </c>
      <c r="AL332">
        <v>0</v>
      </c>
      <c r="AM332">
        <v>0</v>
      </c>
      <c r="AN332">
        <v>0</v>
      </c>
      <c r="AZ332">
        <v>7</v>
      </c>
      <c r="BC332">
        <v>33</v>
      </c>
      <c r="BD332">
        <v>7</v>
      </c>
      <c r="BE332">
        <v>320</v>
      </c>
      <c r="BF332">
        <v>320</v>
      </c>
      <c r="BG332">
        <v>525</v>
      </c>
      <c r="BJ332">
        <v>1</v>
      </c>
      <c r="BL332" t="s">
        <v>776</v>
      </c>
      <c r="BM332" s="4">
        <v>43283.123611111114</v>
      </c>
      <c r="BN332" s="4">
        <v>43283.135162037041</v>
      </c>
      <c r="BO332" s="4">
        <v>43283.135162037041</v>
      </c>
      <c r="BP332" t="s">
        <v>92</v>
      </c>
      <c r="BQ332" t="s">
        <v>93</v>
      </c>
      <c r="BR332" t="s">
        <v>94</v>
      </c>
    </row>
    <row r="333" spans="1:70" x14ac:dyDescent="0.3">
      <c r="A333" t="str">
        <f>"200216E0101"</f>
        <v>200216E0101</v>
      </c>
      <c r="B333" s="2" t="s">
        <v>777</v>
      </c>
      <c r="C333">
        <v>20</v>
      </c>
      <c r="D333" t="s">
        <v>88</v>
      </c>
      <c r="E333">
        <v>37</v>
      </c>
      <c r="F333" t="s">
        <v>671</v>
      </c>
      <c r="G333">
        <v>216</v>
      </c>
      <c r="H333">
        <v>1</v>
      </c>
      <c r="I333" t="s">
        <v>156</v>
      </c>
      <c r="J333">
        <v>1</v>
      </c>
      <c r="K333">
        <v>2</v>
      </c>
      <c r="L333">
        <v>5</v>
      </c>
      <c r="M333">
        <v>234</v>
      </c>
      <c r="N333">
        <v>315</v>
      </c>
      <c r="O333">
        <v>3</v>
      </c>
      <c r="P333">
        <v>314</v>
      </c>
      <c r="Q333">
        <v>35</v>
      </c>
      <c r="R333">
        <v>81</v>
      </c>
      <c r="S333">
        <v>6</v>
      </c>
      <c r="T333">
        <v>21</v>
      </c>
      <c r="U333">
        <v>4</v>
      </c>
      <c r="V333">
        <v>1</v>
      </c>
      <c r="W333">
        <v>11</v>
      </c>
      <c r="X333">
        <v>3</v>
      </c>
      <c r="Y333">
        <v>101</v>
      </c>
      <c r="Z333">
        <v>1</v>
      </c>
      <c r="AA333">
        <v>0</v>
      </c>
      <c r="AB333">
        <v>7</v>
      </c>
      <c r="AC333">
        <v>0</v>
      </c>
      <c r="AD333">
        <v>0</v>
      </c>
      <c r="AE333">
        <v>0</v>
      </c>
      <c r="AF333">
        <v>0</v>
      </c>
      <c r="AK333">
        <v>5</v>
      </c>
      <c r="AL333">
        <v>1</v>
      </c>
      <c r="AM333">
        <v>0</v>
      </c>
      <c r="AN333">
        <v>0</v>
      </c>
      <c r="AZ333">
        <v>7</v>
      </c>
      <c r="BC333">
        <v>20</v>
      </c>
      <c r="BD333">
        <v>10</v>
      </c>
      <c r="BE333">
        <v>314</v>
      </c>
      <c r="BF333">
        <v>314</v>
      </c>
      <c r="BG333">
        <v>525</v>
      </c>
      <c r="BJ333">
        <v>1</v>
      </c>
      <c r="BL333" t="s">
        <v>778</v>
      </c>
      <c r="BM333" s="4">
        <v>43283.125694444447</v>
      </c>
      <c r="BN333" s="4">
        <v>43283.159837962965</v>
      </c>
      <c r="BO333" s="4">
        <v>43283.159837962965</v>
      </c>
      <c r="BP333" t="s">
        <v>92</v>
      </c>
      <c r="BQ333" t="s">
        <v>93</v>
      </c>
      <c r="BR333" t="s">
        <v>94</v>
      </c>
    </row>
    <row r="334" spans="1:70" x14ac:dyDescent="0.3">
      <c r="A334" t="str">
        <f>"200217B0100"</f>
        <v>200217B0100</v>
      </c>
      <c r="B334" t="s">
        <v>779</v>
      </c>
      <c r="C334">
        <v>20</v>
      </c>
      <c r="D334" t="s">
        <v>88</v>
      </c>
      <c r="E334">
        <v>37</v>
      </c>
      <c r="F334" t="s">
        <v>671</v>
      </c>
      <c r="G334">
        <v>217</v>
      </c>
      <c r="H334">
        <v>1</v>
      </c>
      <c r="I334" t="s">
        <v>90</v>
      </c>
      <c r="J334">
        <v>0</v>
      </c>
      <c r="K334">
        <v>1</v>
      </c>
      <c r="L334">
        <v>5</v>
      </c>
      <c r="BG334">
        <v>674</v>
      </c>
      <c r="BI334" t="s">
        <v>365</v>
      </c>
      <c r="BJ334">
        <v>0</v>
      </c>
      <c r="BL334" t="s">
        <v>780</v>
      </c>
      <c r="BM334" s="4">
        <v>43283.535416666666</v>
      </c>
      <c r="BN334" s="4">
        <v>43283.541250000002</v>
      </c>
      <c r="BO334" s="4">
        <v>43283.541250000002</v>
      </c>
      <c r="BP334" t="s">
        <v>92</v>
      </c>
      <c r="BQ334" t="s">
        <v>93</v>
      </c>
      <c r="BR334" t="s">
        <v>94</v>
      </c>
    </row>
    <row r="335" spans="1:70" x14ac:dyDescent="0.3">
      <c r="A335" t="str">
        <f>"200217C0100"</f>
        <v>200217C0100</v>
      </c>
      <c r="B335" t="s">
        <v>781</v>
      </c>
      <c r="C335">
        <v>20</v>
      </c>
      <c r="D335" t="s">
        <v>88</v>
      </c>
      <c r="E335">
        <v>37</v>
      </c>
      <c r="F335" t="s">
        <v>671</v>
      </c>
      <c r="G335">
        <v>217</v>
      </c>
      <c r="H335">
        <v>1</v>
      </c>
      <c r="I335" t="s">
        <v>98</v>
      </c>
      <c r="J335">
        <v>0</v>
      </c>
      <c r="K335">
        <v>1</v>
      </c>
      <c r="L335">
        <v>5</v>
      </c>
      <c r="M335">
        <v>334</v>
      </c>
      <c r="N335">
        <v>362</v>
      </c>
      <c r="O335">
        <v>2</v>
      </c>
      <c r="P335">
        <v>362</v>
      </c>
      <c r="Q335">
        <v>26</v>
      </c>
      <c r="R335">
        <v>87</v>
      </c>
      <c r="S335">
        <v>7</v>
      </c>
      <c r="T335">
        <v>38</v>
      </c>
      <c r="U335">
        <v>10</v>
      </c>
      <c r="V335">
        <v>2</v>
      </c>
      <c r="W335">
        <v>12</v>
      </c>
      <c r="X335">
        <v>2</v>
      </c>
      <c r="Y335">
        <v>116</v>
      </c>
      <c r="Z335">
        <v>2</v>
      </c>
      <c r="AA335">
        <v>1</v>
      </c>
      <c r="AB335">
        <v>13</v>
      </c>
      <c r="AC335">
        <v>1</v>
      </c>
      <c r="AD335">
        <v>1</v>
      </c>
      <c r="AE335">
        <v>0</v>
      </c>
      <c r="AF335">
        <v>0</v>
      </c>
      <c r="AK335">
        <v>7</v>
      </c>
      <c r="AL335">
        <v>5</v>
      </c>
      <c r="AM335">
        <v>0</v>
      </c>
      <c r="AN335">
        <v>0</v>
      </c>
      <c r="AZ335">
        <v>4</v>
      </c>
      <c r="BC335">
        <v>13</v>
      </c>
      <c r="BD335">
        <v>15</v>
      </c>
      <c r="BE335">
        <v>362</v>
      </c>
      <c r="BF335">
        <v>362</v>
      </c>
      <c r="BG335">
        <v>673</v>
      </c>
      <c r="BJ335">
        <v>1</v>
      </c>
      <c r="BL335" t="s">
        <v>782</v>
      </c>
      <c r="BM335" s="4">
        <v>43283.07916666667</v>
      </c>
      <c r="BN335" s="4">
        <v>43283.083344907405</v>
      </c>
      <c r="BO335" s="4">
        <v>43283.083344907405</v>
      </c>
      <c r="BP335" t="s">
        <v>92</v>
      </c>
      <c r="BQ335" t="s">
        <v>93</v>
      </c>
      <c r="BR335" t="s">
        <v>94</v>
      </c>
    </row>
    <row r="336" spans="1:70" x14ac:dyDescent="0.3">
      <c r="A336" t="str">
        <f>"200217C0200"</f>
        <v>200217C0200</v>
      </c>
      <c r="B336" t="s">
        <v>783</v>
      </c>
      <c r="C336">
        <v>20</v>
      </c>
      <c r="D336" t="s">
        <v>88</v>
      </c>
      <c r="E336">
        <v>37</v>
      </c>
      <c r="F336" t="s">
        <v>671</v>
      </c>
      <c r="G336">
        <v>217</v>
      </c>
      <c r="H336">
        <v>2</v>
      </c>
      <c r="I336" t="s">
        <v>98</v>
      </c>
      <c r="J336">
        <v>0</v>
      </c>
      <c r="K336">
        <v>1</v>
      </c>
      <c r="L336">
        <v>5</v>
      </c>
      <c r="M336">
        <v>326</v>
      </c>
      <c r="N336">
        <v>370</v>
      </c>
      <c r="O336">
        <v>1</v>
      </c>
      <c r="P336">
        <v>371</v>
      </c>
      <c r="Q336">
        <v>28</v>
      </c>
      <c r="R336">
        <v>67</v>
      </c>
      <c r="S336">
        <v>5</v>
      </c>
      <c r="T336">
        <v>39</v>
      </c>
      <c r="U336">
        <v>14</v>
      </c>
      <c r="V336">
        <v>3</v>
      </c>
      <c r="W336">
        <v>9</v>
      </c>
      <c r="X336">
        <v>2</v>
      </c>
      <c r="Y336">
        <v>141</v>
      </c>
      <c r="Z336">
        <v>4</v>
      </c>
      <c r="AA336">
        <v>1</v>
      </c>
      <c r="AB336">
        <v>5</v>
      </c>
      <c r="AC336" t="s">
        <v>105</v>
      </c>
      <c r="AD336" t="s">
        <v>105</v>
      </c>
      <c r="AE336" t="s">
        <v>105</v>
      </c>
      <c r="AF336" t="s">
        <v>105</v>
      </c>
      <c r="AK336">
        <v>7</v>
      </c>
      <c r="AL336" t="s">
        <v>105</v>
      </c>
      <c r="AM336">
        <v>1</v>
      </c>
      <c r="AN336" t="s">
        <v>105</v>
      </c>
      <c r="AZ336">
        <v>15</v>
      </c>
      <c r="BC336">
        <v>14</v>
      </c>
      <c r="BD336">
        <v>14</v>
      </c>
      <c r="BE336">
        <v>369</v>
      </c>
      <c r="BF336">
        <v>369</v>
      </c>
      <c r="BG336">
        <v>673</v>
      </c>
      <c r="BI336" t="s">
        <v>106</v>
      </c>
      <c r="BJ336">
        <v>1</v>
      </c>
      <c r="BL336" t="s">
        <v>784</v>
      </c>
      <c r="BM336" s="4">
        <v>43283.067361111112</v>
      </c>
      <c r="BN336" s="4">
        <v>43283.073113425926</v>
      </c>
      <c r="BO336" s="4">
        <v>43283.073113425926</v>
      </c>
      <c r="BP336" t="s">
        <v>92</v>
      </c>
      <c r="BQ336" t="s">
        <v>93</v>
      </c>
      <c r="BR336" t="s">
        <v>94</v>
      </c>
    </row>
    <row r="337" spans="1:70" x14ac:dyDescent="0.3">
      <c r="A337" t="str">
        <f>"200217C0300"</f>
        <v>200217C0300</v>
      </c>
      <c r="B337" t="s">
        <v>785</v>
      </c>
      <c r="C337">
        <v>20</v>
      </c>
      <c r="D337" t="s">
        <v>88</v>
      </c>
      <c r="E337">
        <v>37</v>
      </c>
      <c r="F337" t="s">
        <v>671</v>
      </c>
      <c r="G337">
        <v>217</v>
      </c>
      <c r="H337">
        <v>3</v>
      </c>
      <c r="I337" t="s">
        <v>98</v>
      </c>
      <c r="J337">
        <v>0</v>
      </c>
      <c r="K337">
        <v>1</v>
      </c>
      <c r="L337">
        <v>5</v>
      </c>
      <c r="M337">
        <v>332</v>
      </c>
      <c r="N337">
        <v>363</v>
      </c>
      <c r="O337">
        <v>6</v>
      </c>
      <c r="P337">
        <v>361</v>
      </c>
      <c r="Q337">
        <v>37</v>
      </c>
      <c r="R337">
        <v>75</v>
      </c>
      <c r="S337">
        <v>7</v>
      </c>
      <c r="T337">
        <v>35</v>
      </c>
      <c r="U337">
        <v>8</v>
      </c>
      <c r="V337">
        <v>1</v>
      </c>
      <c r="W337">
        <v>22</v>
      </c>
      <c r="X337">
        <v>0</v>
      </c>
      <c r="Y337">
        <v>121</v>
      </c>
      <c r="Z337">
        <v>2</v>
      </c>
      <c r="AA337">
        <v>1</v>
      </c>
      <c r="AB337">
        <v>1</v>
      </c>
      <c r="AC337">
        <v>0</v>
      </c>
      <c r="AD337">
        <v>4</v>
      </c>
      <c r="AE337">
        <v>0</v>
      </c>
      <c r="AF337">
        <v>0</v>
      </c>
      <c r="AK337">
        <v>5</v>
      </c>
      <c r="AL337">
        <v>2</v>
      </c>
      <c r="AM337">
        <v>1</v>
      </c>
      <c r="AN337">
        <v>1</v>
      </c>
      <c r="AZ337">
        <v>13</v>
      </c>
      <c r="BC337">
        <v>14</v>
      </c>
      <c r="BD337">
        <v>11</v>
      </c>
      <c r="BE337">
        <v>361</v>
      </c>
      <c r="BF337">
        <v>361</v>
      </c>
      <c r="BG337">
        <v>673</v>
      </c>
      <c r="BJ337">
        <v>1</v>
      </c>
      <c r="BL337" t="s">
        <v>786</v>
      </c>
      <c r="BM337" s="4">
        <v>43283.076388888891</v>
      </c>
      <c r="BN337" s="4">
        <v>43283.081145833334</v>
      </c>
      <c r="BO337" s="4">
        <v>43283.081145833334</v>
      </c>
      <c r="BP337" t="s">
        <v>92</v>
      </c>
      <c r="BQ337" t="s">
        <v>93</v>
      </c>
      <c r="BR337" t="s">
        <v>94</v>
      </c>
    </row>
    <row r="338" spans="1:70" x14ac:dyDescent="0.3">
      <c r="A338" t="str">
        <f>"200217C0400"</f>
        <v>200217C0400</v>
      </c>
      <c r="B338" t="s">
        <v>787</v>
      </c>
      <c r="C338">
        <v>20</v>
      </c>
      <c r="D338" t="s">
        <v>88</v>
      </c>
      <c r="E338">
        <v>37</v>
      </c>
      <c r="F338" t="s">
        <v>671</v>
      </c>
      <c r="G338">
        <v>217</v>
      </c>
      <c r="H338">
        <v>4</v>
      </c>
      <c r="I338" t="s">
        <v>98</v>
      </c>
      <c r="J338">
        <v>0</v>
      </c>
      <c r="K338">
        <v>1</v>
      </c>
      <c r="L338">
        <v>5</v>
      </c>
      <c r="M338">
        <v>350</v>
      </c>
      <c r="N338">
        <v>346</v>
      </c>
      <c r="O338">
        <v>1</v>
      </c>
      <c r="P338">
        <v>346</v>
      </c>
      <c r="Q338">
        <v>44</v>
      </c>
      <c r="R338">
        <v>73</v>
      </c>
      <c r="S338">
        <v>5</v>
      </c>
      <c r="T338">
        <v>36</v>
      </c>
      <c r="U338">
        <v>7</v>
      </c>
      <c r="V338">
        <v>3</v>
      </c>
      <c r="W338">
        <v>12</v>
      </c>
      <c r="X338">
        <v>3</v>
      </c>
      <c r="Y338">
        <v>104</v>
      </c>
      <c r="Z338">
        <v>6</v>
      </c>
      <c r="AA338">
        <v>0</v>
      </c>
      <c r="AB338">
        <v>5</v>
      </c>
      <c r="AC338">
        <v>0</v>
      </c>
      <c r="AD338">
        <v>0</v>
      </c>
      <c r="AE338">
        <v>0</v>
      </c>
      <c r="AF338">
        <v>0</v>
      </c>
      <c r="AK338">
        <v>1</v>
      </c>
      <c r="AL338">
        <v>0</v>
      </c>
      <c r="AM338">
        <v>0</v>
      </c>
      <c r="AN338">
        <v>0</v>
      </c>
      <c r="AZ338">
        <v>12</v>
      </c>
      <c r="BC338">
        <v>15</v>
      </c>
      <c r="BD338">
        <v>20</v>
      </c>
      <c r="BE338">
        <v>346</v>
      </c>
      <c r="BF338">
        <v>346</v>
      </c>
      <c r="BG338">
        <v>673</v>
      </c>
      <c r="BJ338">
        <v>1</v>
      </c>
      <c r="BL338" t="s">
        <v>788</v>
      </c>
      <c r="BM338" s="4">
        <v>43283.082638888889</v>
      </c>
      <c r="BN338" s="4">
        <v>43283.087696759256</v>
      </c>
      <c r="BO338" s="4">
        <v>43283.087696759256</v>
      </c>
      <c r="BP338" t="s">
        <v>92</v>
      </c>
      <c r="BQ338" t="s">
        <v>93</v>
      </c>
      <c r="BR338" t="s">
        <v>94</v>
      </c>
    </row>
    <row r="339" spans="1:70" x14ac:dyDescent="0.3">
      <c r="A339" t="str">
        <f>"200218B0100"</f>
        <v>200218B0100</v>
      </c>
      <c r="B339" t="s">
        <v>789</v>
      </c>
      <c r="C339">
        <v>20</v>
      </c>
      <c r="D339" t="s">
        <v>88</v>
      </c>
      <c r="E339">
        <v>37</v>
      </c>
      <c r="F339" t="s">
        <v>671</v>
      </c>
      <c r="G339">
        <v>218</v>
      </c>
      <c r="H339">
        <v>1</v>
      </c>
      <c r="I339" t="s">
        <v>90</v>
      </c>
      <c r="J339">
        <v>0</v>
      </c>
      <c r="K339">
        <v>1</v>
      </c>
      <c r="L339">
        <v>5</v>
      </c>
      <c r="M339">
        <v>351</v>
      </c>
      <c r="N339">
        <v>417</v>
      </c>
      <c r="O339">
        <v>5</v>
      </c>
      <c r="P339">
        <v>416</v>
      </c>
      <c r="Q339">
        <v>55</v>
      </c>
      <c r="R339">
        <v>86</v>
      </c>
      <c r="S339">
        <v>6</v>
      </c>
      <c r="T339">
        <v>53</v>
      </c>
      <c r="U339">
        <v>14</v>
      </c>
      <c r="V339">
        <v>4</v>
      </c>
      <c r="W339">
        <v>13</v>
      </c>
      <c r="X339">
        <v>1</v>
      </c>
      <c r="Y339">
        <v>125</v>
      </c>
      <c r="Z339">
        <v>5</v>
      </c>
      <c r="AA339">
        <v>1</v>
      </c>
      <c r="AB339">
        <v>6</v>
      </c>
      <c r="AC339">
        <v>0</v>
      </c>
      <c r="AD339">
        <v>0</v>
      </c>
      <c r="AE339">
        <v>0</v>
      </c>
      <c r="AF339">
        <v>0</v>
      </c>
      <c r="AK339">
        <v>3</v>
      </c>
      <c r="AL339">
        <v>2</v>
      </c>
      <c r="AM339">
        <v>0</v>
      </c>
      <c r="AN339">
        <v>0</v>
      </c>
      <c r="AZ339">
        <v>6</v>
      </c>
      <c r="BC339">
        <v>15</v>
      </c>
      <c r="BD339">
        <v>21</v>
      </c>
      <c r="BE339">
        <v>416</v>
      </c>
      <c r="BF339">
        <v>416</v>
      </c>
      <c r="BG339">
        <v>745</v>
      </c>
      <c r="BJ339">
        <v>1</v>
      </c>
      <c r="BL339" t="s">
        <v>790</v>
      </c>
      <c r="BM339" s="4">
        <v>43283.150694444441</v>
      </c>
      <c r="BN339" s="4">
        <v>43283.160081018519</v>
      </c>
      <c r="BO339" s="4">
        <v>43283.160081018519</v>
      </c>
      <c r="BP339" t="s">
        <v>92</v>
      </c>
      <c r="BQ339" t="s">
        <v>93</v>
      </c>
      <c r="BR339" t="s">
        <v>94</v>
      </c>
    </row>
    <row r="340" spans="1:70" x14ac:dyDescent="0.3">
      <c r="A340" t="str">
        <f>"200218C0100"</f>
        <v>200218C0100</v>
      </c>
      <c r="B340" t="s">
        <v>791</v>
      </c>
      <c r="C340">
        <v>20</v>
      </c>
      <c r="D340" t="s">
        <v>88</v>
      </c>
      <c r="E340">
        <v>37</v>
      </c>
      <c r="F340" t="s">
        <v>671</v>
      </c>
      <c r="G340">
        <v>218</v>
      </c>
      <c r="H340">
        <v>1</v>
      </c>
      <c r="I340" t="s">
        <v>98</v>
      </c>
      <c r="J340">
        <v>0</v>
      </c>
      <c r="K340">
        <v>1</v>
      </c>
      <c r="L340">
        <v>5</v>
      </c>
      <c r="M340">
        <v>365</v>
      </c>
      <c r="N340">
        <v>402</v>
      </c>
      <c r="O340">
        <v>2</v>
      </c>
      <c r="P340">
        <v>395</v>
      </c>
      <c r="Q340">
        <v>48</v>
      </c>
      <c r="R340">
        <v>92</v>
      </c>
      <c r="S340">
        <v>6</v>
      </c>
      <c r="T340">
        <v>38</v>
      </c>
      <c r="U340">
        <v>10</v>
      </c>
      <c r="V340">
        <v>3</v>
      </c>
      <c r="W340">
        <v>12</v>
      </c>
      <c r="X340">
        <v>3</v>
      </c>
      <c r="Y340">
        <v>122</v>
      </c>
      <c r="Z340">
        <v>4</v>
      </c>
      <c r="AA340">
        <v>0</v>
      </c>
      <c r="AB340">
        <v>8</v>
      </c>
      <c r="AC340">
        <v>0</v>
      </c>
      <c r="AD340">
        <v>1</v>
      </c>
      <c r="AE340">
        <v>0</v>
      </c>
      <c r="AF340">
        <v>0</v>
      </c>
      <c r="AK340">
        <v>0</v>
      </c>
      <c r="AL340">
        <v>0</v>
      </c>
      <c r="AM340">
        <v>1</v>
      </c>
      <c r="AN340">
        <v>0</v>
      </c>
      <c r="AZ340">
        <v>2</v>
      </c>
      <c r="BC340">
        <v>13</v>
      </c>
      <c r="BD340">
        <v>22</v>
      </c>
      <c r="BE340">
        <v>395</v>
      </c>
      <c r="BF340">
        <v>385</v>
      </c>
      <c r="BG340">
        <v>744</v>
      </c>
      <c r="BJ340">
        <v>1</v>
      </c>
      <c r="BL340" t="s">
        <v>792</v>
      </c>
      <c r="BM340" s="4">
        <v>43283.147222222222</v>
      </c>
      <c r="BN340" s="4">
        <v>43283.158078703702</v>
      </c>
      <c r="BO340" s="4">
        <v>43283.158078703702</v>
      </c>
      <c r="BP340" t="s">
        <v>92</v>
      </c>
      <c r="BQ340" t="s">
        <v>93</v>
      </c>
      <c r="BR340" t="s">
        <v>94</v>
      </c>
    </row>
    <row r="341" spans="1:70" x14ac:dyDescent="0.3">
      <c r="A341" t="str">
        <f>"200218C0200"</f>
        <v>200218C0200</v>
      </c>
      <c r="B341" t="s">
        <v>793</v>
      </c>
      <c r="C341">
        <v>20</v>
      </c>
      <c r="D341" t="s">
        <v>88</v>
      </c>
      <c r="E341">
        <v>37</v>
      </c>
      <c r="F341" t="s">
        <v>671</v>
      </c>
      <c r="G341">
        <v>218</v>
      </c>
      <c r="H341">
        <v>2</v>
      </c>
      <c r="I341" t="s">
        <v>98</v>
      </c>
      <c r="J341">
        <v>0</v>
      </c>
      <c r="K341">
        <v>1</v>
      </c>
      <c r="L341">
        <v>5</v>
      </c>
      <c r="M341">
        <v>362</v>
      </c>
      <c r="N341">
        <v>405</v>
      </c>
      <c r="O341">
        <v>8</v>
      </c>
      <c r="P341">
        <v>405</v>
      </c>
      <c r="Q341">
        <v>60</v>
      </c>
      <c r="R341">
        <v>94</v>
      </c>
      <c r="S341">
        <v>4</v>
      </c>
      <c r="T341">
        <v>44</v>
      </c>
      <c r="U341">
        <v>8</v>
      </c>
      <c r="V341">
        <v>4</v>
      </c>
      <c r="W341">
        <v>12</v>
      </c>
      <c r="X341">
        <v>5</v>
      </c>
      <c r="Y341">
        <v>110</v>
      </c>
      <c r="Z341">
        <v>7</v>
      </c>
      <c r="AA341">
        <v>2</v>
      </c>
      <c r="AB341">
        <v>11</v>
      </c>
      <c r="AC341">
        <v>0</v>
      </c>
      <c r="AD341">
        <v>0</v>
      </c>
      <c r="AE341">
        <v>0</v>
      </c>
      <c r="AF341">
        <v>0</v>
      </c>
      <c r="AK341">
        <v>4</v>
      </c>
      <c r="AL341">
        <v>2</v>
      </c>
      <c r="AM341">
        <v>0</v>
      </c>
      <c r="AN341">
        <v>1</v>
      </c>
      <c r="AZ341">
        <v>14</v>
      </c>
      <c r="BC341">
        <v>7</v>
      </c>
      <c r="BD341">
        <v>16</v>
      </c>
      <c r="BE341">
        <v>405</v>
      </c>
      <c r="BF341">
        <v>405</v>
      </c>
      <c r="BG341">
        <v>744</v>
      </c>
      <c r="BJ341">
        <v>1</v>
      </c>
      <c r="BL341" t="s">
        <v>794</v>
      </c>
      <c r="BM341" s="4">
        <v>43283.09375</v>
      </c>
      <c r="BN341" s="4">
        <v>43283.098692129628</v>
      </c>
      <c r="BO341" s="4">
        <v>43283.098692129628</v>
      </c>
      <c r="BP341" t="s">
        <v>92</v>
      </c>
      <c r="BQ341" t="s">
        <v>93</v>
      </c>
      <c r="BR341" t="s">
        <v>94</v>
      </c>
    </row>
    <row r="342" spans="1:70" x14ac:dyDescent="0.3">
      <c r="A342" t="str">
        <f>"200218C0300"</f>
        <v>200218C0300</v>
      </c>
      <c r="B342" t="s">
        <v>795</v>
      </c>
      <c r="C342">
        <v>20</v>
      </c>
      <c r="D342" t="s">
        <v>88</v>
      </c>
      <c r="E342">
        <v>37</v>
      </c>
      <c r="F342" t="s">
        <v>671</v>
      </c>
      <c r="G342">
        <v>218</v>
      </c>
      <c r="H342">
        <v>3</v>
      </c>
      <c r="I342" t="s">
        <v>98</v>
      </c>
      <c r="J342">
        <v>0</v>
      </c>
      <c r="K342">
        <v>1</v>
      </c>
      <c r="L342">
        <v>5</v>
      </c>
      <c r="M342">
        <v>362</v>
      </c>
      <c r="N342">
        <v>405</v>
      </c>
      <c r="O342">
        <v>5</v>
      </c>
      <c r="P342">
        <v>407</v>
      </c>
      <c r="Q342">
        <v>63</v>
      </c>
      <c r="R342">
        <v>77</v>
      </c>
      <c r="S342">
        <v>12</v>
      </c>
      <c r="T342">
        <v>46</v>
      </c>
      <c r="U342">
        <v>6</v>
      </c>
      <c r="V342">
        <v>1</v>
      </c>
      <c r="W342">
        <v>15</v>
      </c>
      <c r="X342">
        <v>2</v>
      </c>
      <c r="Y342">
        <v>128</v>
      </c>
      <c r="Z342">
        <v>4</v>
      </c>
      <c r="AA342">
        <v>1</v>
      </c>
      <c r="AB342">
        <v>7</v>
      </c>
      <c r="AC342">
        <v>1</v>
      </c>
      <c r="AD342">
        <v>0</v>
      </c>
      <c r="AE342">
        <v>0</v>
      </c>
      <c r="AF342">
        <v>0</v>
      </c>
      <c r="AK342">
        <v>2</v>
      </c>
      <c r="AL342">
        <v>0</v>
      </c>
      <c r="AM342">
        <v>0</v>
      </c>
      <c r="AN342">
        <v>1</v>
      </c>
      <c r="AZ342">
        <v>13</v>
      </c>
      <c r="BC342">
        <v>19</v>
      </c>
      <c r="BD342">
        <v>9</v>
      </c>
      <c r="BE342">
        <v>407</v>
      </c>
      <c r="BF342">
        <v>407</v>
      </c>
      <c r="BG342">
        <v>744</v>
      </c>
      <c r="BJ342">
        <v>1</v>
      </c>
      <c r="BL342" t="s">
        <v>796</v>
      </c>
      <c r="BM342" s="4">
        <v>43283.146527777775</v>
      </c>
      <c r="BN342" s="4">
        <v>43283.156643518516</v>
      </c>
      <c r="BO342" s="4">
        <v>43283.156643518516</v>
      </c>
      <c r="BP342" t="s">
        <v>92</v>
      </c>
      <c r="BQ342" t="s">
        <v>93</v>
      </c>
      <c r="BR342" t="s">
        <v>94</v>
      </c>
    </row>
    <row r="343" spans="1:70" x14ac:dyDescent="0.3">
      <c r="A343" t="str">
        <f>"200218C0400"</f>
        <v>200218C0400</v>
      </c>
      <c r="B343" t="s">
        <v>797</v>
      </c>
      <c r="C343">
        <v>20</v>
      </c>
      <c r="D343" t="s">
        <v>88</v>
      </c>
      <c r="E343">
        <v>37</v>
      </c>
      <c r="F343" t="s">
        <v>671</v>
      </c>
      <c r="G343">
        <v>218</v>
      </c>
      <c r="H343">
        <v>4</v>
      </c>
      <c r="I343" t="s">
        <v>98</v>
      </c>
      <c r="J343">
        <v>0</v>
      </c>
      <c r="K343">
        <v>1</v>
      </c>
      <c r="L343">
        <v>5</v>
      </c>
      <c r="M343">
        <v>338</v>
      </c>
      <c r="N343">
        <v>430</v>
      </c>
      <c r="O343">
        <v>9</v>
      </c>
      <c r="P343">
        <v>431</v>
      </c>
      <c r="Q343">
        <v>50</v>
      </c>
      <c r="R343">
        <v>98</v>
      </c>
      <c r="S343">
        <v>9</v>
      </c>
      <c r="T343">
        <v>36</v>
      </c>
      <c r="U343">
        <v>14</v>
      </c>
      <c r="V343">
        <v>1</v>
      </c>
      <c r="W343">
        <v>15</v>
      </c>
      <c r="X343">
        <v>7</v>
      </c>
      <c r="Y343">
        <v>131</v>
      </c>
      <c r="Z343">
        <v>5</v>
      </c>
      <c r="AA343">
        <v>1</v>
      </c>
      <c r="AB343">
        <v>5</v>
      </c>
      <c r="AC343">
        <v>1</v>
      </c>
      <c r="AD343">
        <v>0</v>
      </c>
      <c r="AE343">
        <v>0</v>
      </c>
      <c r="AF343">
        <v>0</v>
      </c>
      <c r="AK343">
        <v>8</v>
      </c>
      <c r="AL343">
        <v>0</v>
      </c>
      <c r="AM343">
        <v>0</v>
      </c>
      <c r="AN343">
        <v>2</v>
      </c>
      <c r="AZ343">
        <v>16</v>
      </c>
      <c r="BC343">
        <v>20</v>
      </c>
      <c r="BD343">
        <v>12</v>
      </c>
      <c r="BE343">
        <v>431</v>
      </c>
      <c r="BF343">
        <v>431</v>
      </c>
      <c r="BG343">
        <v>744</v>
      </c>
      <c r="BJ343">
        <v>1</v>
      </c>
      <c r="BL343" t="s">
        <v>798</v>
      </c>
      <c r="BM343" s="4">
        <v>43283.122916666667</v>
      </c>
      <c r="BN343" s="4">
        <v>43283.127233796295</v>
      </c>
      <c r="BO343" s="4">
        <v>43283.127233796295</v>
      </c>
      <c r="BP343" t="s">
        <v>92</v>
      </c>
      <c r="BQ343" t="s">
        <v>93</v>
      </c>
      <c r="BR343" t="s">
        <v>94</v>
      </c>
    </row>
    <row r="344" spans="1:70" x14ac:dyDescent="0.3">
      <c r="A344" t="str">
        <f>"200219B0100"</f>
        <v>200219B0100</v>
      </c>
      <c r="B344" t="s">
        <v>799</v>
      </c>
      <c r="C344">
        <v>20</v>
      </c>
      <c r="D344" t="s">
        <v>88</v>
      </c>
      <c r="E344">
        <v>37</v>
      </c>
      <c r="F344" t="s">
        <v>671</v>
      </c>
      <c r="G344">
        <v>219</v>
      </c>
      <c r="H344">
        <v>1</v>
      </c>
      <c r="I344" t="s">
        <v>90</v>
      </c>
      <c r="J344">
        <v>0</v>
      </c>
      <c r="K344">
        <v>1</v>
      </c>
      <c r="L344">
        <v>5</v>
      </c>
      <c r="BG344">
        <v>734</v>
      </c>
      <c r="BI344" t="s">
        <v>365</v>
      </c>
      <c r="BJ344">
        <v>0</v>
      </c>
      <c r="BL344" t="s">
        <v>800</v>
      </c>
      <c r="BM344" s="4">
        <v>43283.535416666666</v>
      </c>
      <c r="BN344" s="4">
        <v>43283.54146990741</v>
      </c>
      <c r="BO344" s="4">
        <v>43283.54146990741</v>
      </c>
      <c r="BP344" t="s">
        <v>92</v>
      </c>
      <c r="BQ344" t="s">
        <v>93</v>
      </c>
      <c r="BR344" t="s">
        <v>94</v>
      </c>
    </row>
    <row r="345" spans="1:70" x14ac:dyDescent="0.3">
      <c r="A345" t="str">
        <f>"200219C0100"</f>
        <v>200219C0100</v>
      </c>
      <c r="B345" t="s">
        <v>801</v>
      </c>
      <c r="C345">
        <v>20</v>
      </c>
      <c r="D345" t="s">
        <v>88</v>
      </c>
      <c r="E345">
        <v>37</v>
      </c>
      <c r="F345" t="s">
        <v>671</v>
      </c>
      <c r="G345">
        <v>219</v>
      </c>
      <c r="H345">
        <v>1</v>
      </c>
      <c r="I345" t="s">
        <v>98</v>
      </c>
      <c r="J345">
        <v>0</v>
      </c>
      <c r="K345">
        <v>1</v>
      </c>
      <c r="L345">
        <v>5</v>
      </c>
      <c r="M345">
        <v>278</v>
      </c>
      <c r="N345">
        <v>479</v>
      </c>
      <c r="O345">
        <v>4</v>
      </c>
      <c r="P345">
        <v>479</v>
      </c>
      <c r="Q345">
        <v>63</v>
      </c>
      <c r="R345">
        <v>106</v>
      </c>
      <c r="S345">
        <v>8</v>
      </c>
      <c r="T345">
        <v>47</v>
      </c>
      <c r="U345">
        <v>9</v>
      </c>
      <c r="V345">
        <v>4</v>
      </c>
      <c r="W345">
        <v>9</v>
      </c>
      <c r="X345">
        <v>2</v>
      </c>
      <c r="Y345">
        <v>160</v>
      </c>
      <c r="Z345">
        <v>4</v>
      </c>
      <c r="AA345">
        <v>1</v>
      </c>
      <c r="AB345">
        <v>6</v>
      </c>
      <c r="AC345">
        <v>0</v>
      </c>
      <c r="AD345">
        <v>0</v>
      </c>
      <c r="AE345">
        <v>0</v>
      </c>
      <c r="AF345">
        <v>0</v>
      </c>
      <c r="AK345">
        <v>1</v>
      </c>
      <c r="AL345">
        <v>0</v>
      </c>
      <c r="AM345">
        <v>1</v>
      </c>
      <c r="AN345">
        <v>1</v>
      </c>
      <c r="AZ345">
        <v>16</v>
      </c>
      <c r="BC345">
        <v>29</v>
      </c>
      <c r="BD345">
        <v>12</v>
      </c>
      <c r="BE345">
        <v>479</v>
      </c>
      <c r="BF345">
        <v>479</v>
      </c>
      <c r="BG345">
        <v>734</v>
      </c>
      <c r="BJ345">
        <v>1</v>
      </c>
      <c r="BL345" t="s">
        <v>802</v>
      </c>
      <c r="BM345" s="4">
        <v>43283.145138888889</v>
      </c>
      <c r="BN345" s="4">
        <v>43283.166238425925</v>
      </c>
      <c r="BO345" s="4">
        <v>43283.166238425925</v>
      </c>
      <c r="BP345" t="s">
        <v>92</v>
      </c>
      <c r="BQ345" t="s">
        <v>93</v>
      </c>
      <c r="BR345" t="s">
        <v>94</v>
      </c>
    </row>
    <row r="346" spans="1:70" x14ac:dyDescent="0.3">
      <c r="A346" t="str">
        <f>"200219C0200"</f>
        <v>200219C0200</v>
      </c>
      <c r="B346" t="s">
        <v>803</v>
      </c>
      <c r="C346">
        <v>20</v>
      </c>
      <c r="D346" t="s">
        <v>88</v>
      </c>
      <c r="E346">
        <v>37</v>
      </c>
      <c r="F346" t="s">
        <v>671</v>
      </c>
      <c r="G346">
        <v>219</v>
      </c>
      <c r="H346">
        <v>2</v>
      </c>
      <c r="I346" t="s">
        <v>98</v>
      </c>
      <c r="J346">
        <v>0</v>
      </c>
      <c r="K346">
        <v>1</v>
      </c>
      <c r="L346">
        <v>5</v>
      </c>
      <c r="M346">
        <v>278</v>
      </c>
      <c r="N346">
        <v>479</v>
      </c>
      <c r="O346">
        <v>4</v>
      </c>
      <c r="P346">
        <v>479</v>
      </c>
      <c r="Q346">
        <v>63</v>
      </c>
      <c r="R346">
        <v>106</v>
      </c>
      <c r="S346">
        <v>8</v>
      </c>
      <c r="T346">
        <v>47</v>
      </c>
      <c r="U346">
        <v>9</v>
      </c>
      <c r="V346">
        <v>4</v>
      </c>
      <c r="W346">
        <v>9</v>
      </c>
      <c r="X346">
        <v>2</v>
      </c>
      <c r="Y346">
        <v>160</v>
      </c>
      <c r="Z346">
        <v>4</v>
      </c>
      <c r="AA346">
        <v>1</v>
      </c>
      <c r="AB346">
        <v>6</v>
      </c>
      <c r="AC346">
        <v>0</v>
      </c>
      <c r="AD346">
        <v>0</v>
      </c>
      <c r="AE346">
        <v>0</v>
      </c>
      <c r="AF346">
        <v>0</v>
      </c>
      <c r="AK346">
        <v>1</v>
      </c>
      <c r="AL346">
        <v>0</v>
      </c>
      <c r="AM346">
        <v>1</v>
      </c>
      <c r="AN346">
        <v>1</v>
      </c>
      <c r="AZ346">
        <v>16</v>
      </c>
      <c r="BC346">
        <v>29</v>
      </c>
      <c r="BD346">
        <v>12</v>
      </c>
      <c r="BE346">
        <v>479</v>
      </c>
      <c r="BF346">
        <v>479</v>
      </c>
      <c r="BG346">
        <v>734</v>
      </c>
      <c r="BJ346">
        <v>1</v>
      </c>
      <c r="BL346" s="2" t="s">
        <v>804</v>
      </c>
      <c r="BM346" s="4">
        <v>43283.145138888889</v>
      </c>
      <c r="BN346" s="4">
        <v>43283.557187500002</v>
      </c>
      <c r="BO346" s="4">
        <v>43283.557187500002</v>
      </c>
      <c r="BP346" t="s">
        <v>92</v>
      </c>
      <c r="BQ346" t="s">
        <v>93</v>
      </c>
      <c r="BR346" t="s">
        <v>94</v>
      </c>
    </row>
    <row r="347" spans="1:70" x14ac:dyDescent="0.3">
      <c r="A347" t="str">
        <f>"200220B0100"</f>
        <v>200220B0100</v>
      </c>
      <c r="B347" t="s">
        <v>805</v>
      </c>
      <c r="C347">
        <v>20</v>
      </c>
      <c r="D347" t="s">
        <v>88</v>
      </c>
      <c r="E347">
        <v>37</v>
      </c>
      <c r="F347" t="s">
        <v>671</v>
      </c>
      <c r="G347">
        <v>220</v>
      </c>
      <c r="H347">
        <v>1</v>
      </c>
      <c r="I347" t="s">
        <v>90</v>
      </c>
      <c r="J347">
        <v>0</v>
      </c>
      <c r="K347">
        <v>2</v>
      </c>
      <c r="L347">
        <v>5</v>
      </c>
      <c r="M347">
        <v>281</v>
      </c>
      <c r="N347">
        <v>435</v>
      </c>
      <c r="O347">
        <v>4</v>
      </c>
      <c r="P347">
        <v>422</v>
      </c>
      <c r="Q347">
        <v>77</v>
      </c>
      <c r="R347">
        <v>76</v>
      </c>
      <c r="S347">
        <v>7</v>
      </c>
      <c r="T347">
        <v>52</v>
      </c>
      <c r="U347">
        <v>9</v>
      </c>
      <c r="V347">
        <v>0</v>
      </c>
      <c r="W347">
        <v>12</v>
      </c>
      <c r="X347">
        <v>2</v>
      </c>
      <c r="Y347">
        <v>130</v>
      </c>
      <c r="Z347">
        <v>5</v>
      </c>
      <c r="AA347">
        <v>1</v>
      </c>
      <c r="AB347">
        <v>11</v>
      </c>
      <c r="AC347">
        <v>0</v>
      </c>
      <c r="AD347">
        <v>0</v>
      </c>
      <c r="AE347">
        <v>0</v>
      </c>
      <c r="AF347">
        <v>0</v>
      </c>
      <c r="AK347">
        <v>1</v>
      </c>
      <c r="AL347">
        <v>0</v>
      </c>
      <c r="AM347">
        <v>0</v>
      </c>
      <c r="AN347">
        <v>3</v>
      </c>
      <c r="AZ347">
        <v>18</v>
      </c>
      <c r="BC347">
        <v>17</v>
      </c>
      <c r="BD347">
        <v>15</v>
      </c>
      <c r="BE347">
        <v>436</v>
      </c>
      <c r="BF347">
        <v>436</v>
      </c>
      <c r="BG347">
        <v>693</v>
      </c>
      <c r="BJ347">
        <v>1</v>
      </c>
      <c r="BL347" t="s">
        <v>806</v>
      </c>
      <c r="BM347" s="4">
        <v>43283.128472222219</v>
      </c>
      <c r="BN347" s="4">
        <v>43283.132592592592</v>
      </c>
      <c r="BO347" s="4">
        <v>43283.132592592592</v>
      </c>
      <c r="BP347" t="s">
        <v>92</v>
      </c>
      <c r="BQ347" t="s">
        <v>93</v>
      </c>
      <c r="BR347" t="s">
        <v>94</v>
      </c>
    </row>
    <row r="348" spans="1:70" x14ac:dyDescent="0.3">
      <c r="A348" t="str">
        <f>"200220C0100"</f>
        <v>200220C0100</v>
      </c>
      <c r="B348" t="s">
        <v>807</v>
      </c>
      <c r="C348">
        <v>20</v>
      </c>
      <c r="D348" t="s">
        <v>88</v>
      </c>
      <c r="E348">
        <v>37</v>
      </c>
      <c r="F348" t="s">
        <v>671</v>
      </c>
      <c r="G348">
        <v>220</v>
      </c>
      <c r="H348">
        <v>1</v>
      </c>
      <c r="I348" t="s">
        <v>98</v>
      </c>
      <c r="J348">
        <v>0</v>
      </c>
      <c r="K348">
        <v>2</v>
      </c>
      <c r="L348">
        <v>5</v>
      </c>
      <c r="M348">
        <v>304</v>
      </c>
      <c r="N348">
        <v>411</v>
      </c>
      <c r="O348">
        <v>1</v>
      </c>
      <c r="P348">
        <v>411</v>
      </c>
      <c r="Q348">
        <v>60</v>
      </c>
      <c r="R348">
        <v>71</v>
      </c>
      <c r="S348">
        <v>8</v>
      </c>
      <c r="T348">
        <v>61</v>
      </c>
      <c r="U348">
        <v>9</v>
      </c>
      <c r="V348">
        <v>2</v>
      </c>
      <c r="W348">
        <v>18</v>
      </c>
      <c r="X348">
        <v>1</v>
      </c>
      <c r="Y348">
        <v>112</v>
      </c>
      <c r="Z348">
        <v>0</v>
      </c>
      <c r="AA348">
        <v>1</v>
      </c>
      <c r="AB348">
        <v>6</v>
      </c>
      <c r="AC348">
        <v>0</v>
      </c>
      <c r="AD348">
        <v>1</v>
      </c>
      <c r="AE348">
        <v>0</v>
      </c>
      <c r="AF348">
        <v>0</v>
      </c>
      <c r="AK348">
        <v>0</v>
      </c>
      <c r="AL348">
        <v>0</v>
      </c>
      <c r="AM348">
        <v>0</v>
      </c>
      <c r="AN348">
        <v>0</v>
      </c>
      <c r="AZ348" t="s">
        <v>127</v>
      </c>
      <c r="BC348">
        <v>21</v>
      </c>
      <c r="BD348">
        <v>21</v>
      </c>
      <c r="BE348">
        <v>411</v>
      </c>
      <c r="BF348">
        <v>392</v>
      </c>
      <c r="BG348">
        <v>692</v>
      </c>
      <c r="BI348" t="s">
        <v>106</v>
      </c>
      <c r="BJ348">
        <v>1</v>
      </c>
      <c r="BL348" t="s">
        <v>808</v>
      </c>
      <c r="BM348" s="4">
        <v>43283.307638888888</v>
      </c>
      <c r="BN348" s="4">
        <v>43283.349733796298</v>
      </c>
      <c r="BO348" s="4">
        <v>43283.349733796298</v>
      </c>
      <c r="BP348" t="s">
        <v>92</v>
      </c>
      <c r="BQ348" t="s">
        <v>93</v>
      </c>
      <c r="BR348" t="s">
        <v>94</v>
      </c>
    </row>
    <row r="349" spans="1:70" x14ac:dyDescent="0.3">
      <c r="A349" t="str">
        <f>"200220C0200"</f>
        <v>200220C0200</v>
      </c>
      <c r="B349" t="s">
        <v>809</v>
      </c>
      <c r="C349">
        <v>20</v>
      </c>
      <c r="D349" t="s">
        <v>88</v>
      </c>
      <c r="E349">
        <v>37</v>
      </c>
      <c r="F349" t="s">
        <v>671</v>
      </c>
      <c r="G349">
        <v>220</v>
      </c>
      <c r="H349">
        <v>2</v>
      </c>
      <c r="I349" t="s">
        <v>98</v>
      </c>
      <c r="J349">
        <v>0</v>
      </c>
      <c r="K349">
        <v>2</v>
      </c>
      <c r="L349">
        <v>5</v>
      </c>
      <c r="M349">
        <v>295</v>
      </c>
      <c r="N349">
        <v>420</v>
      </c>
      <c r="O349">
        <v>4</v>
      </c>
      <c r="P349">
        <v>422</v>
      </c>
      <c r="Q349">
        <v>63</v>
      </c>
      <c r="R349">
        <v>87</v>
      </c>
      <c r="S349">
        <v>5</v>
      </c>
      <c r="T349">
        <v>55</v>
      </c>
      <c r="U349">
        <v>4</v>
      </c>
      <c r="V349">
        <v>3</v>
      </c>
      <c r="W349">
        <v>11</v>
      </c>
      <c r="X349">
        <v>5</v>
      </c>
      <c r="Y349">
        <v>126</v>
      </c>
      <c r="Z349">
        <v>2</v>
      </c>
      <c r="AA349">
        <v>0</v>
      </c>
      <c r="AB349">
        <v>8</v>
      </c>
      <c r="AC349">
        <v>2</v>
      </c>
      <c r="AD349">
        <v>1</v>
      </c>
      <c r="AE349">
        <v>0</v>
      </c>
      <c r="AF349">
        <v>0</v>
      </c>
      <c r="AK349">
        <v>3</v>
      </c>
      <c r="AL349">
        <v>1</v>
      </c>
      <c r="AM349">
        <v>0</v>
      </c>
      <c r="AN349">
        <v>2</v>
      </c>
      <c r="AZ349">
        <v>8</v>
      </c>
      <c r="BC349">
        <v>20</v>
      </c>
      <c r="BD349">
        <v>16</v>
      </c>
      <c r="BE349">
        <v>422</v>
      </c>
      <c r="BF349">
        <v>422</v>
      </c>
      <c r="BG349">
        <v>692</v>
      </c>
      <c r="BJ349">
        <v>1</v>
      </c>
      <c r="BL349" t="s">
        <v>810</v>
      </c>
      <c r="BM349" s="4">
        <v>43283.130555555559</v>
      </c>
      <c r="BN349" s="4">
        <v>43283.135000000002</v>
      </c>
      <c r="BO349" s="4">
        <v>43283.135000000002</v>
      </c>
      <c r="BP349" t="s">
        <v>92</v>
      </c>
      <c r="BQ349" t="s">
        <v>93</v>
      </c>
      <c r="BR349" t="s">
        <v>94</v>
      </c>
    </row>
    <row r="350" spans="1:70" x14ac:dyDescent="0.3">
      <c r="A350" t="str">
        <f>"200220C0300"</f>
        <v>200220C0300</v>
      </c>
      <c r="B350" t="s">
        <v>811</v>
      </c>
      <c r="C350">
        <v>20</v>
      </c>
      <c r="D350" t="s">
        <v>88</v>
      </c>
      <c r="E350">
        <v>37</v>
      </c>
      <c r="F350" t="s">
        <v>671</v>
      </c>
      <c r="G350">
        <v>220</v>
      </c>
      <c r="H350">
        <v>3</v>
      </c>
      <c r="I350" t="s">
        <v>98</v>
      </c>
      <c r="J350">
        <v>0</v>
      </c>
      <c r="K350">
        <v>2</v>
      </c>
      <c r="L350">
        <v>5</v>
      </c>
      <c r="M350">
        <v>298</v>
      </c>
      <c r="N350">
        <v>416</v>
      </c>
      <c r="O350">
        <v>2</v>
      </c>
      <c r="P350">
        <v>416</v>
      </c>
      <c r="Q350">
        <v>40</v>
      </c>
      <c r="R350">
        <v>71</v>
      </c>
      <c r="S350">
        <v>10</v>
      </c>
      <c r="T350">
        <v>56</v>
      </c>
      <c r="U350">
        <v>8</v>
      </c>
      <c r="V350">
        <v>1</v>
      </c>
      <c r="W350">
        <v>14</v>
      </c>
      <c r="X350">
        <v>1</v>
      </c>
      <c r="Y350">
        <v>149</v>
      </c>
      <c r="Z350">
        <v>6</v>
      </c>
      <c r="AA350">
        <v>3</v>
      </c>
      <c r="AB350">
        <v>10</v>
      </c>
      <c r="AC350">
        <v>0</v>
      </c>
      <c r="AD350">
        <v>0</v>
      </c>
      <c r="AE350">
        <v>0</v>
      </c>
      <c r="AF350">
        <v>0</v>
      </c>
      <c r="AK350">
        <v>1</v>
      </c>
      <c r="AL350">
        <v>0</v>
      </c>
      <c r="AM350">
        <v>0</v>
      </c>
      <c r="AN350">
        <v>1</v>
      </c>
      <c r="AZ350">
        <v>37</v>
      </c>
      <c r="BC350">
        <v>0</v>
      </c>
      <c r="BD350">
        <v>8</v>
      </c>
      <c r="BE350">
        <v>416</v>
      </c>
      <c r="BF350">
        <v>416</v>
      </c>
      <c r="BG350">
        <v>692</v>
      </c>
      <c r="BJ350">
        <v>1</v>
      </c>
      <c r="BL350" t="s">
        <v>812</v>
      </c>
      <c r="BM350" s="4">
        <v>43283.131249999999</v>
      </c>
      <c r="BN350" s="4">
        <v>43283.136620370373</v>
      </c>
      <c r="BO350" s="4">
        <v>43283.136620370373</v>
      </c>
      <c r="BP350" t="s">
        <v>92</v>
      </c>
      <c r="BQ350" t="s">
        <v>93</v>
      </c>
      <c r="BR350" t="s">
        <v>94</v>
      </c>
    </row>
    <row r="351" spans="1:70" x14ac:dyDescent="0.3">
      <c r="A351" t="str">
        <f>"200220E0100"</f>
        <v>200220E0100</v>
      </c>
      <c r="B351" s="2" t="s">
        <v>813</v>
      </c>
      <c r="C351">
        <v>20</v>
      </c>
      <c r="D351" t="s">
        <v>88</v>
      </c>
      <c r="E351">
        <v>37</v>
      </c>
      <c r="F351" t="s">
        <v>671</v>
      </c>
      <c r="G351">
        <v>220</v>
      </c>
      <c r="H351">
        <v>1</v>
      </c>
      <c r="I351" t="s">
        <v>156</v>
      </c>
      <c r="J351">
        <v>0</v>
      </c>
      <c r="K351">
        <v>2</v>
      </c>
      <c r="L351">
        <v>5</v>
      </c>
      <c r="M351">
        <v>254</v>
      </c>
      <c r="N351">
        <v>522</v>
      </c>
      <c r="O351">
        <v>11</v>
      </c>
      <c r="P351">
        <v>268</v>
      </c>
      <c r="Q351">
        <v>44</v>
      </c>
      <c r="R351">
        <v>59</v>
      </c>
      <c r="S351">
        <v>15</v>
      </c>
      <c r="T351">
        <v>27</v>
      </c>
      <c r="U351">
        <v>4</v>
      </c>
      <c r="V351">
        <v>4</v>
      </c>
      <c r="W351">
        <v>11</v>
      </c>
      <c r="X351">
        <v>1</v>
      </c>
      <c r="Y351">
        <v>76</v>
      </c>
      <c r="Z351">
        <v>5</v>
      </c>
      <c r="AA351">
        <v>1</v>
      </c>
      <c r="AB351">
        <v>2</v>
      </c>
      <c r="AC351">
        <v>0</v>
      </c>
      <c r="AD351">
        <v>0</v>
      </c>
      <c r="AE351">
        <v>0</v>
      </c>
      <c r="AF351">
        <v>0</v>
      </c>
      <c r="AK351">
        <v>1</v>
      </c>
      <c r="AL351">
        <v>0</v>
      </c>
      <c r="AM351">
        <v>0</v>
      </c>
      <c r="AN351">
        <v>0</v>
      </c>
      <c r="AZ351">
        <v>2</v>
      </c>
      <c r="BC351">
        <v>1</v>
      </c>
      <c r="BD351">
        <v>14</v>
      </c>
      <c r="BE351">
        <v>268</v>
      </c>
      <c r="BF351">
        <v>267</v>
      </c>
      <c r="BG351">
        <v>499</v>
      </c>
      <c r="BJ351">
        <v>1</v>
      </c>
      <c r="BL351" t="s">
        <v>814</v>
      </c>
      <c r="BM351" s="4">
        <v>43283.132638888892</v>
      </c>
      <c r="BN351" s="4">
        <v>43283.153391203705</v>
      </c>
      <c r="BO351" s="4">
        <v>43283.153391203705</v>
      </c>
      <c r="BP351" t="s">
        <v>92</v>
      </c>
      <c r="BQ351" t="s">
        <v>93</v>
      </c>
      <c r="BR351" t="s">
        <v>94</v>
      </c>
    </row>
    <row r="352" spans="1:70" x14ac:dyDescent="0.3">
      <c r="A352" t="str">
        <f>"200221B0100"</f>
        <v>200221B0100</v>
      </c>
      <c r="B352" t="s">
        <v>815</v>
      </c>
      <c r="C352">
        <v>20</v>
      </c>
      <c r="D352" t="s">
        <v>88</v>
      </c>
      <c r="E352">
        <v>37</v>
      </c>
      <c r="F352" t="s">
        <v>671</v>
      </c>
      <c r="G352">
        <v>221</v>
      </c>
      <c r="H352">
        <v>1</v>
      </c>
      <c r="I352" t="s">
        <v>90</v>
      </c>
      <c r="J352">
        <v>0</v>
      </c>
      <c r="K352">
        <v>1</v>
      </c>
      <c r="L352">
        <v>5</v>
      </c>
      <c r="M352">
        <v>275</v>
      </c>
      <c r="N352">
        <v>360</v>
      </c>
      <c r="O352">
        <v>4</v>
      </c>
      <c r="P352">
        <v>359</v>
      </c>
      <c r="Q352">
        <v>50</v>
      </c>
      <c r="R352">
        <v>80</v>
      </c>
      <c r="S352">
        <v>9</v>
      </c>
      <c r="T352">
        <v>45</v>
      </c>
      <c r="U352">
        <v>4</v>
      </c>
      <c r="V352">
        <v>3</v>
      </c>
      <c r="W352">
        <v>8</v>
      </c>
      <c r="X352">
        <v>1</v>
      </c>
      <c r="Y352">
        <v>111</v>
      </c>
      <c r="Z352">
        <v>5</v>
      </c>
      <c r="AA352">
        <v>2</v>
      </c>
      <c r="AB352">
        <v>2</v>
      </c>
      <c r="AC352">
        <v>0</v>
      </c>
      <c r="AD352">
        <v>1</v>
      </c>
      <c r="AE352">
        <v>1</v>
      </c>
      <c r="AF352">
        <v>0</v>
      </c>
      <c r="AK352">
        <v>1</v>
      </c>
      <c r="AL352">
        <v>1</v>
      </c>
      <c r="AM352">
        <v>0</v>
      </c>
      <c r="AN352">
        <v>2</v>
      </c>
      <c r="AZ352">
        <v>12</v>
      </c>
      <c r="BC352">
        <v>14</v>
      </c>
      <c r="BD352">
        <v>8</v>
      </c>
      <c r="BE352">
        <v>360</v>
      </c>
      <c r="BF352">
        <v>360</v>
      </c>
      <c r="BG352">
        <v>612</v>
      </c>
      <c r="BJ352">
        <v>1</v>
      </c>
      <c r="BL352" t="s">
        <v>816</v>
      </c>
      <c r="BM352" s="4">
        <v>43283.138194444444</v>
      </c>
      <c r="BN352" s="4">
        <v>43283.144270833334</v>
      </c>
      <c r="BO352" s="4">
        <v>43283.144270833334</v>
      </c>
      <c r="BP352" t="s">
        <v>92</v>
      </c>
      <c r="BQ352" t="s">
        <v>93</v>
      </c>
      <c r="BR352" t="s">
        <v>94</v>
      </c>
    </row>
    <row r="353" spans="1:70" x14ac:dyDescent="0.3">
      <c r="A353" t="str">
        <f>"200221C0100"</f>
        <v>200221C0100</v>
      </c>
      <c r="B353" t="s">
        <v>817</v>
      </c>
      <c r="C353">
        <v>20</v>
      </c>
      <c r="D353" t="s">
        <v>88</v>
      </c>
      <c r="E353">
        <v>37</v>
      </c>
      <c r="F353" t="s">
        <v>671</v>
      </c>
      <c r="G353">
        <v>221</v>
      </c>
      <c r="H353">
        <v>1</v>
      </c>
      <c r="I353" t="s">
        <v>98</v>
      </c>
      <c r="J353">
        <v>0</v>
      </c>
      <c r="K353">
        <v>1</v>
      </c>
      <c r="L353">
        <v>5</v>
      </c>
      <c r="M353">
        <v>245</v>
      </c>
      <c r="N353">
        <v>389</v>
      </c>
      <c r="O353">
        <v>5</v>
      </c>
      <c r="P353">
        <v>389</v>
      </c>
      <c r="Q353">
        <v>49</v>
      </c>
      <c r="R353">
        <v>102</v>
      </c>
      <c r="S353">
        <v>6</v>
      </c>
      <c r="T353">
        <v>40</v>
      </c>
      <c r="U353">
        <v>4</v>
      </c>
      <c r="V353">
        <v>9</v>
      </c>
      <c r="W353">
        <v>6</v>
      </c>
      <c r="X353">
        <v>4</v>
      </c>
      <c r="Y353">
        <v>114</v>
      </c>
      <c r="Z353">
        <v>3</v>
      </c>
      <c r="AA353">
        <v>0</v>
      </c>
      <c r="AB353">
        <v>1</v>
      </c>
      <c r="AC353">
        <v>1</v>
      </c>
      <c r="AD353">
        <v>0</v>
      </c>
      <c r="AE353">
        <v>0</v>
      </c>
      <c r="AF353">
        <v>0</v>
      </c>
      <c r="AK353">
        <v>1</v>
      </c>
      <c r="AL353">
        <v>0</v>
      </c>
      <c r="AM353">
        <v>0</v>
      </c>
      <c r="AN353">
        <v>1</v>
      </c>
      <c r="AZ353">
        <v>15</v>
      </c>
      <c r="BC353">
        <v>20</v>
      </c>
      <c r="BD353">
        <v>10</v>
      </c>
      <c r="BE353">
        <v>389</v>
      </c>
      <c r="BF353">
        <v>386</v>
      </c>
      <c r="BG353">
        <v>612</v>
      </c>
      <c r="BJ353">
        <v>1</v>
      </c>
      <c r="BL353" t="s">
        <v>818</v>
      </c>
      <c r="BM353" s="4">
        <v>43283.137499999997</v>
      </c>
      <c r="BN353" s="4">
        <v>43283.142928240741</v>
      </c>
      <c r="BO353" s="4">
        <v>43283.142928240741</v>
      </c>
      <c r="BP353" t="s">
        <v>92</v>
      </c>
      <c r="BQ353" t="s">
        <v>93</v>
      </c>
      <c r="BR353" t="s">
        <v>94</v>
      </c>
    </row>
    <row r="354" spans="1:70" x14ac:dyDescent="0.3">
      <c r="A354" t="str">
        <f>"200222B0100"</f>
        <v>200222B0100</v>
      </c>
      <c r="B354" t="s">
        <v>819</v>
      </c>
      <c r="C354">
        <v>20</v>
      </c>
      <c r="D354" t="s">
        <v>88</v>
      </c>
      <c r="E354">
        <v>37</v>
      </c>
      <c r="F354" t="s">
        <v>671</v>
      </c>
      <c r="G354">
        <v>222</v>
      </c>
      <c r="H354">
        <v>1</v>
      </c>
      <c r="I354" t="s">
        <v>90</v>
      </c>
      <c r="J354">
        <v>0</v>
      </c>
      <c r="K354">
        <v>1</v>
      </c>
      <c r="L354">
        <v>5</v>
      </c>
      <c r="M354">
        <v>235</v>
      </c>
      <c r="N354">
        <v>398</v>
      </c>
      <c r="O354">
        <v>1</v>
      </c>
      <c r="P354">
        <v>398</v>
      </c>
      <c r="Q354">
        <v>94</v>
      </c>
      <c r="R354">
        <v>122</v>
      </c>
      <c r="S354">
        <v>7</v>
      </c>
      <c r="T354">
        <v>26</v>
      </c>
      <c r="U354">
        <v>8</v>
      </c>
      <c r="V354">
        <v>5</v>
      </c>
      <c r="W354">
        <v>8</v>
      </c>
      <c r="X354">
        <v>1</v>
      </c>
      <c r="Y354">
        <v>95</v>
      </c>
      <c r="Z354">
        <v>2</v>
      </c>
      <c r="AA354">
        <v>0</v>
      </c>
      <c r="AB354">
        <v>2</v>
      </c>
      <c r="AC354">
        <v>0</v>
      </c>
      <c r="AD354">
        <v>0</v>
      </c>
      <c r="AE354">
        <v>0</v>
      </c>
      <c r="AF354">
        <v>0</v>
      </c>
      <c r="AK354">
        <v>2</v>
      </c>
      <c r="AL354">
        <v>0</v>
      </c>
      <c r="AM354">
        <v>0</v>
      </c>
      <c r="AN354">
        <v>2</v>
      </c>
      <c r="AZ354">
        <v>6</v>
      </c>
      <c r="BC354">
        <v>8</v>
      </c>
      <c r="BD354">
        <v>10</v>
      </c>
      <c r="BE354">
        <v>398</v>
      </c>
      <c r="BF354">
        <v>398</v>
      </c>
      <c r="BG354">
        <v>610</v>
      </c>
      <c r="BJ354">
        <v>1</v>
      </c>
      <c r="BL354" t="s">
        <v>820</v>
      </c>
      <c r="BM354" s="4">
        <v>43283.138888888891</v>
      </c>
      <c r="BN354" s="4">
        <v>43283.146562499998</v>
      </c>
      <c r="BO354" s="4">
        <v>43283.146562499998</v>
      </c>
      <c r="BP354" t="s">
        <v>92</v>
      </c>
      <c r="BQ354" t="s">
        <v>93</v>
      </c>
      <c r="BR354" t="s">
        <v>94</v>
      </c>
    </row>
    <row r="355" spans="1:70" x14ac:dyDescent="0.3">
      <c r="A355" t="str">
        <f>"200222C0100"</f>
        <v>200222C0100</v>
      </c>
      <c r="B355" t="s">
        <v>821</v>
      </c>
      <c r="C355">
        <v>20</v>
      </c>
      <c r="D355" t="s">
        <v>88</v>
      </c>
      <c r="E355">
        <v>37</v>
      </c>
      <c r="F355" t="s">
        <v>671</v>
      </c>
      <c r="G355">
        <v>222</v>
      </c>
      <c r="H355">
        <v>1</v>
      </c>
      <c r="I355" t="s">
        <v>98</v>
      </c>
      <c r="J355">
        <v>0</v>
      </c>
      <c r="K355">
        <v>1</v>
      </c>
      <c r="L355">
        <v>5</v>
      </c>
      <c r="M355">
        <v>244</v>
      </c>
      <c r="N355">
        <v>389</v>
      </c>
      <c r="O355">
        <v>1</v>
      </c>
      <c r="P355">
        <v>389</v>
      </c>
      <c r="Q355">
        <v>107</v>
      </c>
      <c r="R355">
        <v>109</v>
      </c>
      <c r="S355">
        <v>5</v>
      </c>
      <c r="T355">
        <v>27</v>
      </c>
      <c r="U355">
        <v>8</v>
      </c>
      <c r="V355">
        <v>1</v>
      </c>
      <c r="W355">
        <v>6</v>
      </c>
      <c r="X355">
        <v>1</v>
      </c>
      <c r="Y355">
        <v>93</v>
      </c>
      <c r="Z355">
        <v>1</v>
      </c>
      <c r="AA355">
        <v>0</v>
      </c>
      <c r="AB355">
        <v>2</v>
      </c>
      <c r="AC355">
        <v>0</v>
      </c>
      <c r="AD355">
        <v>0</v>
      </c>
      <c r="AE355">
        <v>0</v>
      </c>
      <c r="AF355">
        <v>0</v>
      </c>
      <c r="AK355">
        <v>0</v>
      </c>
      <c r="AL355">
        <v>0</v>
      </c>
      <c r="AM355">
        <v>0</v>
      </c>
      <c r="AN355">
        <v>0</v>
      </c>
      <c r="AZ355">
        <v>1</v>
      </c>
      <c r="BC355">
        <v>15</v>
      </c>
      <c r="BD355">
        <v>13</v>
      </c>
      <c r="BE355">
        <v>389</v>
      </c>
      <c r="BF355">
        <v>389</v>
      </c>
      <c r="BG355">
        <v>610</v>
      </c>
      <c r="BJ355">
        <v>1</v>
      </c>
      <c r="BL355" t="s">
        <v>822</v>
      </c>
      <c r="BM355" s="4">
        <v>43283.316666666666</v>
      </c>
      <c r="BN355" s="4">
        <v>43283.338888888888</v>
      </c>
      <c r="BO355" s="4">
        <v>43283.338888888888</v>
      </c>
      <c r="BP355" t="s">
        <v>92</v>
      </c>
      <c r="BQ355" t="s">
        <v>93</v>
      </c>
      <c r="BR355" t="s">
        <v>94</v>
      </c>
    </row>
    <row r="356" spans="1:70" x14ac:dyDescent="0.3">
      <c r="A356" t="str">
        <f>"200223B0100"</f>
        <v>200223B0100</v>
      </c>
      <c r="B356" t="s">
        <v>823</v>
      </c>
      <c r="C356">
        <v>20</v>
      </c>
      <c r="D356" t="s">
        <v>88</v>
      </c>
      <c r="E356">
        <v>37</v>
      </c>
      <c r="F356" t="s">
        <v>671</v>
      </c>
      <c r="G356">
        <v>223</v>
      </c>
      <c r="H356">
        <v>1</v>
      </c>
      <c r="I356" t="s">
        <v>90</v>
      </c>
      <c r="J356">
        <v>0</v>
      </c>
      <c r="K356">
        <v>2</v>
      </c>
      <c r="L356">
        <v>5</v>
      </c>
      <c r="M356">
        <v>121</v>
      </c>
      <c r="N356">
        <v>169</v>
      </c>
      <c r="O356">
        <v>4</v>
      </c>
      <c r="P356">
        <v>169</v>
      </c>
      <c r="Q356">
        <v>29</v>
      </c>
      <c r="R356">
        <v>63</v>
      </c>
      <c r="S356">
        <v>4</v>
      </c>
      <c r="T356">
        <v>8</v>
      </c>
      <c r="U356">
        <v>2</v>
      </c>
      <c r="V356">
        <v>0</v>
      </c>
      <c r="W356">
        <v>3</v>
      </c>
      <c r="X356">
        <v>1</v>
      </c>
      <c r="Y356">
        <v>40</v>
      </c>
      <c r="Z356">
        <v>3</v>
      </c>
      <c r="AA356">
        <v>0</v>
      </c>
      <c r="AB356">
        <v>0</v>
      </c>
      <c r="AC356">
        <v>1</v>
      </c>
      <c r="AD356">
        <v>0</v>
      </c>
      <c r="AE356">
        <v>0</v>
      </c>
      <c r="AF356">
        <v>0</v>
      </c>
      <c r="AK356">
        <v>0</v>
      </c>
      <c r="AL356">
        <v>0</v>
      </c>
      <c r="AM356">
        <v>0</v>
      </c>
      <c r="AN356">
        <v>0</v>
      </c>
      <c r="AZ356">
        <v>0</v>
      </c>
      <c r="BC356">
        <v>1</v>
      </c>
      <c r="BD356">
        <v>14</v>
      </c>
      <c r="BE356">
        <v>169</v>
      </c>
      <c r="BF356">
        <v>169</v>
      </c>
      <c r="BG356">
        <v>267</v>
      </c>
      <c r="BJ356">
        <v>1</v>
      </c>
      <c r="BL356" t="s">
        <v>824</v>
      </c>
      <c r="BM356" s="4">
        <v>43283.090277777781</v>
      </c>
      <c r="BN356" s="4">
        <v>43283.096145833333</v>
      </c>
      <c r="BO356" s="4">
        <v>43283.096145833333</v>
      </c>
      <c r="BP356" t="s">
        <v>92</v>
      </c>
      <c r="BQ356" t="s">
        <v>93</v>
      </c>
      <c r="BR356" t="s">
        <v>94</v>
      </c>
    </row>
    <row r="357" spans="1:70" x14ac:dyDescent="0.3">
      <c r="A357" t="str">
        <f>"200224B0100"</f>
        <v>200224B0100</v>
      </c>
      <c r="B357" t="s">
        <v>825</v>
      </c>
      <c r="C357">
        <v>20</v>
      </c>
      <c r="D357" t="s">
        <v>88</v>
      </c>
      <c r="E357">
        <v>37</v>
      </c>
      <c r="F357" t="s">
        <v>671</v>
      </c>
      <c r="G357">
        <v>224</v>
      </c>
      <c r="H357">
        <v>1</v>
      </c>
      <c r="I357" t="s">
        <v>90</v>
      </c>
      <c r="J357">
        <v>0</v>
      </c>
      <c r="K357">
        <v>2</v>
      </c>
      <c r="L357">
        <v>5</v>
      </c>
      <c r="M357" t="s">
        <v>105</v>
      </c>
      <c r="N357" t="s">
        <v>105</v>
      </c>
      <c r="O357" t="s">
        <v>105</v>
      </c>
      <c r="P357" t="s">
        <v>105</v>
      </c>
      <c r="Q357">
        <v>16</v>
      </c>
      <c r="R357">
        <v>43</v>
      </c>
      <c r="S357">
        <v>1</v>
      </c>
      <c r="T357">
        <v>10</v>
      </c>
      <c r="U357">
        <v>0</v>
      </c>
      <c r="V357">
        <v>0</v>
      </c>
      <c r="W357">
        <v>1</v>
      </c>
      <c r="X357">
        <v>0</v>
      </c>
      <c r="Y357">
        <v>24</v>
      </c>
      <c r="Z357">
        <v>2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K357">
        <v>0</v>
      </c>
      <c r="AL357">
        <v>0</v>
      </c>
      <c r="AM357">
        <v>0</v>
      </c>
      <c r="AN357">
        <v>3</v>
      </c>
      <c r="AZ357" t="s">
        <v>105</v>
      </c>
      <c r="BC357" t="s">
        <v>105</v>
      </c>
      <c r="BD357">
        <v>2</v>
      </c>
      <c r="BE357">
        <v>102</v>
      </c>
      <c r="BF357">
        <v>102</v>
      </c>
      <c r="BG357">
        <v>160</v>
      </c>
      <c r="BI357" t="s">
        <v>106</v>
      </c>
      <c r="BJ357">
        <v>1</v>
      </c>
      <c r="BL357" t="s">
        <v>826</v>
      </c>
      <c r="BM357" s="4">
        <v>43283.088194444441</v>
      </c>
      <c r="BN357" s="4">
        <v>43283.094293981485</v>
      </c>
      <c r="BO357" s="4">
        <v>43283.094293981485</v>
      </c>
      <c r="BP357" t="s">
        <v>92</v>
      </c>
      <c r="BQ357" t="s">
        <v>93</v>
      </c>
      <c r="BR357" t="s">
        <v>94</v>
      </c>
    </row>
    <row r="358" spans="1:70" x14ac:dyDescent="0.3">
      <c r="A358" t="str">
        <f>"200225B0100"</f>
        <v>200225B0100</v>
      </c>
      <c r="B358" t="s">
        <v>827</v>
      </c>
      <c r="C358">
        <v>20</v>
      </c>
      <c r="D358" t="s">
        <v>88</v>
      </c>
      <c r="E358">
        <v>37</v>
      </c>
      <c r="F358" t="s">
        <v>671</v>
      </c>
      <c r="G358">
        <v>225</v>
      </c>
      <c r="H358">
        <v>1</v>
      </c>
      <c r="I358" t="s">
        <v>90</v>
      </c>
      <c r="J358">
        <v>0</v>
      </c>
      <c r="K358">
        <v>2</v>
      </c>
      <c r="L358">
        <v>5</v>
      </c>
      <c r="M358">
        <v>88</v>
      </c>
      <c r="N358">
        <v>152</v>
      </c>
      <c r="O358">
        <v>7</v>
      </c>
      <c r="P358">
        <v>152</v>
      </c>
      <c r="Q358">
        <v>7</v>
      </c>
      <c r="R358">
        <v>88</v>
      </c>
      <c r="S358">
        <v>1</v>
      </c>
      <c r="T358">
        <v>4</v>
      </c>
      <c r="U358">
        <v>4</v>
      </c>
      <c r="V358">
        <v>1</v>
      </c>
      <c r="W358">
        <v>1</v>
      </c>
      <c r="X358">
        <v>1</v>
      </c>
      <c r="Y358">
        <v>30</v>
      </c>
      <c r="Z358">
        <v>1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K358">
        <v>3</v>
      </c>
      <c r="AL358">
        <v>1</v>
      </c>
      <c r="AM358">
        <v>0</v>
      </c>
      <c r="AN358">
        <v>0</v>
      </c>
      <c r="AZ358">
        <v>1</v>
      </c>
      <c r="BC358">
        <v>1</v>
      </c>
      <c r="BD358">
        <v>8</v>
      </c>
      <c r="BE358">
        <v>152</v>
      </c>
      <c r="BF358">
        <v>152</v>
      </c>
      <c r="BG358">
        <v>217</v>
      </c>
      <c r="BJ358">
        <v>1</v>
      </c>
      <c r="BL358" t="s">
        <v>828</v>
      </c>
      <c r="BM358" s="4">
        <v>43283.093055555553</v>
      </c>
      <c r="BN358" s="4">
        <v>43283.103854166664</v>
      </c>
      <c r="BO358" s="4">
        <v>43283.103854166664</v>
      </c>
      <c r="BP358" t="s">
        <v>92</v>
      </c>
      <c r="BQ358" t="s">
        <v>93</v>
      </c>
      <c r="BR358" t="s">
        <v>94</v>
      </c>
    </row>
    <row r="359" spans="1:70" x14ac:dyDescent="0.3">
      <c r="A359" t="str">
        <f>"200226B0100"</f>
        <v>200226B0100</v>
      </c>
      <c r="B359" t="s">
        <v>829</v>
      </c>
      <c r="C359">
        <v>20</v>
      </c>
      <c r="D359" t="s">
        <v>88</v>
      </c>
      <c r="E359">
        <v>37</v>
      </c>
      <c r="F359" t="s">
        <v>671</v>
      </c>
      <c r="G359">
        <v>226</v>
      </c>
      <c r="H359">
        <v>1</v>
      </c>
      <c r="I359" t="s">
        <v>90</v>
      </c>
      <c r="J359">
        <v>0</v>
      </c>
      <c r="K359">
        <v>2</v>
      </c>
      <c r="L359">
        <v>5</v>
      </c>
      <c r="M359" t="s">
        <v>105</v>
      </c>
      <c r="N359" t="s">
        <v>105</v>
      </c>
      <c r="O359" t="s">
        <v>105</v>
      </c>
      <c r="P359" t="s">
        <v>105</v>
      </c>
      <c r="Q359">
        <v>65</v>
      </c>
      <c r="R359">
        <v>98</v>
      </c>
      <c r="S359">
        <v>6</v>
      </c>
      <c r="T359">
        <v>28</v>
      </c>
      <c r="U359">
        <v>15</v>
      </c>
      <c r="V359">
        <v>1</v>
      </c>
      <c r="W359">
        <v>0</v>
      </c>
      <c r="X359">
        <v>3</v>
      </c>
      <c r="Y359">
        <v>91</v>
      </c>
      <c r="Z359">
        <v>4</v>
      </c>
      <c r="AA359">
        <v>0</v>
      </c>
      <c r="AB359">
        <v>0</v>
      </c>
      <c r="AC359">
        <v>1</v>
      </c>
      <c r="AD359">
        <v>0</v>
      </c>
      <c r="AE359">
        <v>2</v>
      </c>
      <c r="AF359">
        <v>0</v>
      </c>
      <c r="AK359">
        <v>7</v>
      </c>
      <c r="AL359">
        <v>1</v>
      </c>
      <c r="AM359">
        <v>0</v>
      </c>
      <c r="AN359">
        <v>3</v>
      </c>
      <c r="AZ359">
        <v>0</v>
      </c>
      <c r="BC359">
        <v>13</v>
      </c>
      <c r="BD359">
        <v>22</v>
      </c>
      <c r="BE359">
        <v>360</v>
      </c>
      <c r="BF359">
        <v>360</v>
      </c>
      <c r="BG359">
        <v>687</v>
      </c>
      <c r="BJ359">
        <v>1</v>
      </c>
      <c r="BL359" t="s">
        <v>830</v>
      </c>
      <c r="BM359" s="4">
        <v>43283.250694444447</v>
      </c>
      <c r="BN359" s="4">
        <v>43283.276539351849</v>
      </c>
      <c r="BO359" s="4">
        <v>43283.276539351849</v>
      </c>
      <c r="BP359" t="s">
        <v>92</v>
      </c>
      <c r="BQ359" t="s">
        <v>93</v>
      </c>
      <c r="BR359" t="s">
        <v>94</v>
      </c>
    </row>
    <row r="360" spans="1:70" x14ac:dyDescent="0.3">
      <c r="A360" t="str">
        <f>"200227B0100"</f>
        <v>200227B0100</v>
      </c>
      <c r="B360" t="s">
        <v>831</v>
      </c>
      <c r="C360">
        <v>20</v>
      </c>
      <c r="D360" t="s">
        <v>88</v>
      </c>
      <c r="E360">
        <v>37</v>
      </c>
      <c r="F360" t="s">
        <v>671</v>
      </c>
      <c r="G360">
        <v>227</v>
      </c>
      <c r="H360">
        <v>1</v>
      </c>
      <c r="I360" t="s">
        <v>90</v>
      </c>
      <c r="J360">
        <v>0</v>
      </c>
      <c r="K360">
        <v>2</v>
      </c>
      <c r="L360">
        <v>5</v>
      </c>
      <c r="M360">
        <v>220</v>
      </c>
      <c r="N360">
        <v>238</v>
      </c>
      <c r="O360">
        <v>4</v>
      </c>
      <c r="P360">
        <v>238</v>
      </c>
      <c r="Q360">
        <v>70</v>
      </c>
      <c r="R360">
        <v>67</v>
      </c>
      <c r="S360">
        <v>2</v>
      </c>
      <c r="T360">
        <v>15</v>
      </c>
      <c r="U360">
        <v>4</v>
      </c>
      <c r="V360">
        <v>0</v>
      </c>
      <c r="W360">
        <v>4</v>
      </c>
      <c r="X360">
        <v>2</v>
      </c>
      <c r="Y360">
        <v>39</v>
      </c>
      <c r="Z360">
        <v>4</v>
      </c>
      <c r="AA360">
        <v>0</v>
      </c>
      <c r="AB360">
        <v>0</v>
      </c>
      <c r="AC360">
        <v>0</v>
      </c>
      <c r="AD360">
        <v>1</v>
      </c>
      <c r="AE360">
        <v>0</v>
      </c>
      <c r="AF360">
        <v>0</v>
      </c>
      <c r="AK360">
        <v>2</v>
      </c>
      <c r="AL360">
        <v>0</v>
      </c>
      <c r="AM360">
        <v>1</v>
      </c>
      <c r="AN360">
        <v>0</v>
      </c>
      <c r="AZ360">
        <v>0</v>
      </c>
      <c r="BC360">
        <v>10</v>
      </c>
      <c r="BD360">
        <v>17</v>
      </c>
      <c r="BE360">
        <v>238</v>
      </c>
      <c r="BF360">
        <v>238</v>
      </c>
      <c r="BG360">
        <v>435</v>
      </c>
      <c r="BJ360">
        <v>1</v>
      </c>
      <c r="BL360" s="2" t="s">
        <v>832</v>
      </c>
      <c r="BM360" s="4">
        <v>43283.05972222222</v>
      </c>
      <c r="BN360" s="4">
        <v>43283.065451388888</v>
      </c>
      <c r="BO360" s="4">
        <v>43283.065451388888</v>
      </c>
      <c r="BP360" t="s">
        <v>92</v>
      </c>
      <c r="BQ360" t="s">
        <v>93</v>
      </c>
      <c r="BR360" t="s">
        <v>94</v>
      </c>
    </row>
    <row r="361" spans="1:70" x14ac:dyDescent="0.3">
      <c r="A361" t="str">
        <f>"200227C0100"</f>
        <v>200227C0100</v>
      </c>
      <c r="B361" t="s">
        <v>833</v>
      </c>
      <c r="C361">
        <v>20</v>
      </c>
      <c r="D361" t="s">
        <v>88</v>
      </c>
      <c r="E361">
        <v>37</v>
      </c>
      <c r="F361" t="s">
        <v>671</v>
      </c>
      <c r="G361">
        <v>227</v>
      </c>
      <c r="H361">
        <v>1</v>
      </c>
      <c r="I361" t="s">
        <v>98</v>
      </c>
      <c r="J361">
        <v>0</v>
      </c>
      <c r="K361">
        <v>2</v>
      </c>
      <c r="L361">
        <v>5</v>
      </c>
      <c r="M361">
        <v>218</v>
      </c>
      <c r="N361">
        <v>240</v>
      </c>
      <c r="O361">
        <v>5</v>
      </c>
      <c r="P361">
        <v>240</v>
      </c>
      <c r="Q361">
        <v>91</v>
      </c>
      <c r="R361">
        <v>57</v>
      </c>
      <c r="S361">
        <v>5</v>
      </c>
      <c r="T361">
        <v>18</v>
      </c>
      <c r="U361">
        <v>0</v>
      </c>
      <c r="V361">
        <v>2</v>
      </c>
      <c r="W361">
        <v>4</v>
      </c>
      <c r="X361">
        <v>1</v>
      </c>
      <c r="Y361">
        <v>22</v>
      </c>
      <c r="Z361">
        <v>2</v>
      </c>
      <c r="AA361">
        <v>2</v>
      </c>
      <c r="AB361">
        <v>1</v>
      </c>
      <c r="AC361">
        <v>0</v>
      </c>
      <c r="AD361">
        <v>1</v>
      </c>
      <c r="AE361">
        <v>0</v>
      </c>
      <c r="AF361">
        <v>0</v>
      </c>
      <c r="AK361">
        <v>0</v>
      </c>
      <c r="AL361">
        <v>0</v>
      </c>
      <c r="AM361">
        <v>0</v>
      </c>
      <c r="AN361">
        <v>0</v>
      </c>
      <c r="AZ361">
        <v>8</v>
      </c>
      <c r="BC361">
        <v>13</v>
      </c>
      <c r="BD361">
        <v>13</v>
      </c>
      <c r="BE361">
        <v>240</v>
      </c>
      <c r="BF361">
        <v>240</v>
      </c>
      <c r="BG361">
        <v>435</v>
      </c>
      <c r="BJ361">
        <v>1</v>
      </c>
      <c r="BL361" t="s">
        <v>834</v>
      </c>
      <c r="BM361" s="4">
        <v>43283.03402777778</v>
      </c>
      <c r="BN361" s="4">
        <v>43283.039548611108</v>
      </c>
      <c r="BO361" s="4">
        <v>43283.039548611108</v>
      </c>
      <c r="BP361" t="s">
        <v>92</v>
      </c>
      <c r="BQ361" t="s">
        <v>93</v>
      </c>
      <c r="BR361" t="s">
        <v>94</v>
      </c>
    </row>
    <row r="362" spans="1:70" x14ac:dyDescent="0.3">
      <c r="A362" t="str">
        <f>"200228B0100"</f>
        <v>200228B0100</v>
      </c>
      <c r="B362" t="s">
        <v>835</v>
      </c>
      <c r="C362">
        <v>20</v>
      </c>
      <c r="D362" t="s">
        <v>88</v>
      </c>
      <c r="E362">
        <v>37</v>
      </c>
      <c r="F362" t="s">
        <v>671</v>
      </c>
      <c r="G362">
        <v>228</v>
      </c>
      <c r="H362">
        <v>1</v>
      </c>
      <c r="I362" t="s">
        <v>90</v>
      </c>
      <c r="J362">
        <v>0</v>
      </c>
      <c r="K362">
        <v>2</v>
      </c>
      <c r="L362">
        <v>5</v>
      </c>
      <c r="M362">
        <v>283</v>
      </c>
      <c r="N362">
        <v>279</v>
      </c>
      <c r="O362">
        <v>5</v>
      </c>
      <c r="P362">
        <v>279</v>
      </c>
      <c r="Q362">
        <v>72</v>
      </c>
      <c r="R362">
        <v>71</v>
      </c>
      <c r="S362">
        <v>4</v>
      </c>
      <c r="T362">
        <v>25</v>
      </c>
      <c r="U362">
        <v>3</v>
      </c>
      <c r="V362">
        <v>2</v>
      </c>
      <c r="W362">
        <v>8</v>
      </c>
      <c r="X362">
        <v>2</v>
      </c>
      <c r="Y362">
        <v>56</v>
      </c>
      <c r="Z362">
        <v>6</v>
      </c>
      <c r="AA362">
        <v>0</v>
      </c>
      <c r="AB362">
        <v>0</v>
      </c>
      <c r="AC362">
        <v>1</v>
      </c>
      <c r="AD362">
        <v>3</v>
      </c>
      <c r="AE362">
        <v>0</v>
      </c>
      <c r="AF362">
        <v>0</v>
      </c>
      <c r="AK362">
        <v>0</v>
      </c>
      <c r="AL362">
        <v>0</v>
      </c>
      <c r="AM362">
        <v>0</v>
      </c>
      <c r="AN362">
        <v>3</v>
      </c>
      <c r="AZ362">
        <v>3</v>
      </c>
      <c r="BC362">
        <v>5</v>
      </c>
      <c r="BD362">
        <v>15</v>
      </c>
      <c r="BE362">
        <v>279</v>
      </c>
      <c r="BF362">
        <v>279</v>
      </c>
      <c r="BG362">
        <v>539</v>
      </c>
      <c r="BJ362">
        <v>1</v>
      </c>
      <c r="BL362" t="s">
        <v>836</v>
      </c>
      <c r="BM362" s="4">
        <v>43283.134722222225</v>
      </c>
      <c r="BN362" s="4">
        <v>43283.139652777776</v>
      </c>
      <c r="BO362" s="4">
        <v>43283.139652777776</v>
      </c>
      <c r="BP362" t="s">
        <v>92</v>
      </c>
      <c r="BQ362" t="s">
        <v>93</v>
      </c>
      <c r="BR362" t="s">
        <v>94</v>
      </c>
    </row>
    <row r="363" spans="1:70" x14ac:dyDescent="0.3">
      <c r="A363" t="str">
        <f>"200228C0100"</f>
        <v>200228C0100</v>
      </c>
      <c r="B363" t="s">
        <v>837</v>
      </c>
      <c r="C363">
        <v>20</v>
      </c>
      <c r="D363" t="s">
        <v>88</v>
      </c>
      <c r="E363">
        <v>37</v>
      </c>
      <c r="F363" t="s">
        <v>671</v>
      </c>
      <c r="G363">
        <v>228</v>
      </c>
      <c r="H363">
        <v>1</v>
      </c>
      <c r="I363" t="s">
        <v>98</v>
      </c>
      <c r="J363">
        <v>0</v>
      </c>
      <c r="K363">
        <v>2</v>
      </c>
      <c r="L363">
        <v>5</v>
      </c>
      <c r="M363">
        <v>292</v>
      </c>
      <c r="N363">
        <v>270</v>
      </c>
      <c r="O363">
        <v>6</v>
      </c>
      <c r="P363">
        <v>270</v>
      </c>
      <c r="Q363">
        <v>75</v>
      </c>
      <c r="R363">
        <v>54</v>
      </c>
      <c r="S363">
        <v>3</v>
      </c>
      <c r="T363">
        <v>25</v>
      </c>
      <c r="U363">
        <v>2</v>
      </c>
      <c r="V363">
        <v>1</v>
      </c>
      <c r="W363">
        <v>14</v>
      </c>
      <c r="X363">
        <v>1</v>
      </c>
      <c r="Y363">
        <v>61</v>
      </c>
      <c r="Z363">
        <v>0</v>
      </c>
      <c r="AA363">
        <v>0</v>
      </c>
      <c r="AB363">
        <v>1</v>
      </c>
      <c r="AC363">
        <v>0</v>
      </c>
      <c r="AD363">
        <v>2</v>
      </c>
      <c r="AE363">
        <v>0</v>
      </c>
      <c r="AF363">
        <v>0</v>
      </c>
      <c r="AK363">
        <v>2</v>
      </c>
      <c r="AL363">
        <v>1</v>
      </c>
      <c r="AM363">
        <v>0</v>
      </c>
      <c r="AN363">
        <v>1</v>
      </c>
      <c r="AZ363">
        <v>3</v>
      </c>
      <c r="BC363">
        <v>6</v>
      </c>
      <c r="BD363">
        <v>18</v>
      </c>
      <c r="BE363">
        <v>270</v>
      </c>
      <c r="BF363">
        <v>270</v>
      </c>
      <c r="BG363">
        <v>539</v>
      </c>
      <c r="BJ363">
        <v>1</v>
      </c>
      <c r="BL363" s="2" t="s">
        <v>838</v>
      </c>
      <c r="BM363" s="4">
        <v>43283.133333333331</v>
      </c>
      <c r="BN363" s="4">
        <v>43283.139525462961</v>
      </c>
      <c r="BO363" s="4">
        <v>43283.139525462961</v>
      </c>
      <c r="BP363" t="s">
        <v>92</v>
      </c>
      <c r="BQ363" t="s">
        <v>93</v>
      </c>
      <c r="BR363" t="s">
        <v>94</v>
      </c>
    </row>
    <row r="364" spans="1:70" x14ac:dyDescent="0.3">
      <c r="A364" t="str">
        <f>"200228C0200"</f>
        <v>200228C0200</v>
      </c>
      <c r="B364" t="s">
        <v>839</v>
      </c>
      <c r="C364">
        <v>20</v>
      </c>
      <c r="D364" t="s">
        <v>88</v>
      </c>
      <c r="E364">
        <v>37</v>
      </c>
      <c r="F364" t="s">
        <v>671</v>
      </c>
      <c r="G364">
        <v>228</v>
      </c>
      <c r="H364">
        <v>2</v>
      </c>
      <c r="I364" t="s">
        <v>98</v>
      </c>
      <c r="J364">
        <v>0</v>
      </c>
      <c r="K364">
        <v>2</v>
      </c>
      <c r="L364">
        <v>5</v>
      </c>
      <c r="M364">
        <v>290</v>
      </c>
      <c r="N364">
        <v>268</v>
      </c>
      <c r="O364">
        <v>5</v>
      </c>
      <c r="P364">
        <v>271</v>
      </c>
      <c r="Q364">
        <v>97</v>
      </c>
      <c r="R364">
        <v>29</v>
      </c>
      <c r="S364">
        <v>5</v>
      </c>
      <c r="T364">
        <v>39</v>
      </c>
      <c r="U364">
        <v>4</v>
      </c>
      <c r="V364">
        <v>2</v>
      </c>
      <c r="W364">
        <v>14</v>
      </c>
      <c r="X364">
        <v>1</v>
      </c>
      <c r="Y364">
        <v>58</v>
      </c>
      <c r="Z364">
        <v>3</v>
      </c>
      <c r="AA364">
        <v>0</v>
      </c>
      <c r="AB364">
        <v>1</v>
      </c>
      <c r="AC364">
        <v>1</v>
      </c>
      <c r="AD364">
        <v>1</v>
      </c>
      <c r="AE364">
        <v>0</v>
      </c>
      <c r="AF364">
        <v>1</v>
      </c>
      <c r="AK364">
        <v>2</v>
      </c>
      <c r="AL364">
        <v>0</v>
      </c>
      <c r="AM364">
        <v>1</v>
      </c>
      <c r="AN364">
        <v>0</v>
      </c>
      <c r="AZ364">
        <v>1</v>
      </c>
      <c r="BC364">
        <v>1</v>
      </c>
      <c r="BD364">
        <v>9</v>
      </c>
      <c r="BE364">
        <v>271</v>
      </c>
      <c r="BF364">
        <v>270</v>
      </c>
      <c r="BG364">
        <v>538</v>
      </c>
      <c r="BJ364">
        <v>1</v>
      </c>
      <c r="BL364" t="s">
        <v>840</v>
      </c>
      <c r="BM364" s="4">
        <v>43283.086111111108</v>
      </c>
      <c r="BN364" s="4">
        <v>43283.091203703705</v>
      </c>
      <c r="BO364" s="4">
        <v>43283.091203703705</v>
      </c>
      <c r="BP364" t="s">
        <v>92</v>
      </c>
      <c r="BQ364" t="s">
        <v>93</v>
      </c>
      <c r="BR364" t="s">
        <v>94</v>
      </c>
    </row>
    <row r="365" spans="1:70" x14ac:dyDescent="0.3">
      <c r="A365" t="str">
        <f>"200228E0100"</f>
        <v>200228E0100</v>
      </c>
      <c r="B365" s="2" t="s">
        <v>841</v>
      </c>
      <c r="C365">
        <v>20</v>
      </c>
      <c r="D365" t="s">
        <v>88</v>
      </c>
      <c r="E365">
        <v>37</v>
      </c>
      <c r="F365" t="s">
        <v>671</v>
      </c>
      <c r="G365">
        <v>228</v>
      </c>
      <c r="H365">
        <v>1</v>
      </c>
      <c r="I365" t="s">
        <v>156</v>
      </c>
      <c r="J365">
        <v>0</v>
      </c>
      <c r="K365">
        <v>2</v>
      </c>
      <c r="L365">
        <v>5</v>
      </c>
      <c r="M365">
        <v>240</v>
      </c>
      <c r="N365">
        <v>320</v>
      </c>
      <c r="O365">
        <v>11</v>
      </c>
      <c r="P365">
        <v>313</v>
      </c>
      <c r="Q365">
        <v>59</v>
      </c>
      <c r="R365">
        <v>58</v>
      </c>
      <c r="S365">
        <v>5</v>
      </c>
      <c r="T365">
        <v>28</v>
      </c>
      <c r="U365">
        <v>8</v>
      </c>
      <c r="V365">
        <v>3</v>
      </c>
      <c r="W365">
        <v>13</v>
      </c>
      <c r="X365">
        <v>8</v>
      </c>
      <c r="Y365">
        <v>91</v>
      </c>
      <c r="Z365">
        <v>1</v>
      </c>
      <c r="AA365">
        <v>0</v>
      </c>
      <c r="AB365">
        <v>0</v>
      </c>
      <c r="AC365">
        <v>2</v>
      </c>
      <c r="AD365">
        <v>0</v>
      </c>
      <c r="AE365">
        <v>0</v>
      </c>
      <c r="AF365">
        <v>0</v>
      </c>
      <c r="AK365">
        <v>2</v>
      </c>
      <c r="AL365">
        <v>4</v>
      </c>
      <c r="AM365">
        <v>1</v>
      </c>
      <c r="AN365">
        <v>0</v>
      </c>
      <c r="AZ365">
        <v>0</v>
      </c>
      <c r="BC365">
        <v>7</v>
      </c>
      <c r="BD365">
        <v>23</v>
      </c>
      <c r="BE365" t="s">
        <v>105</v>
      </c>
      <c r="BF365">
        <v>313</v>
      </c>
      <c r="BG365">
        <v>537</v>
      </c>
      <c r="BJ365">
        <v>1</v>
      </c>
      <c r="BL365" t="s">
        <v>842</v>
      </c>
      <c r="BM365" s="4">
        <v>43283.314583333333</v>
      </c>
      <c r="BN365" s="4">
        <v>43283.337071759262</v>
      </c>
      <c r="BO365" s="4">
        <v>43283.337071759262</v>
      </c>
      <c r="BP365" t="s">
        <v>92</v>
      </c>
      <c r="BQ365" t="s">
        <v>93</v>
      </c>
      <c r="BR365" t="s">
        <v>94</v>
      </c>
    </row>
    <row r="366" spans="1:70" x14ac:dyDescent="0.3">
      <c r="A366" t="str">
        <f>"200228E0101"</f>
        <v>200228E0101</v>
      </c>
      <c r="B366" s="2" t="s">
        <v>843</v>
      </c>
      <c r="C366">
        <v>20</v>
      </c>
      <c r="D366" t="s">
        <v>88</v>
      </c>
      <c r="E366">
        <v>37</v>
      </c>
      <c r="F366" t="s">
        <v>671</v>
      </c>
      <c r="G366">
        <v>228</v>
      </c>
      <c r="H366">
        <v>1</v>
      </c>
      <c r="I366" t="s">
        <v>156</v>
      </c>
      <c r="J366">
        <v>1</v>
      </c>
      <c r="K366">
        <v>2</v>
      </c>
      <c r="L366">
        <v>5</v>
      </c>
      <c r="M366">
        <v>268</v>
      </c>
      <c r="N366">
        <v>292</v>
      </c>
      <c r="O366">
        <v>8</v>
      </c>
      <c r="P366">
        <v>293</v>
      </c>
      <c r="Q366">
        <v>66</v>
      </c>
      <c r="R366">
        <v>73</v>
      </c>
      <c r="S366">
        <v>0</v>
      </c>
      <c r="T366">
        <v>28</v>
      </c>
      <c r="U366">
        <v>10</v>
      </c>
      <c r="V366">
        <v>1</v>
      </c>
      <c r="W366">
        <v>7</v>
      </c>
      <c r="X366">
        <v>5</v>
      </c>
      <c r="Y366">
        <v>72</v>
      </c>
      <c r="Z366">
        <v>1</v>
      </c>
      <c r="AA366">
        <v>0</v>
      </c>
      <c r="AB366">
        <v>0</v>
      </c>
      <c r="AC366">
        <v>1</v>
      </c>
      <c r="AD366">
        <v>1</v>
      </c>
      <c r="AE366">
        <v>0</v>
      </c>
      <c r="AF366">
        <v>0</v>
      </c>
      <c r="AK366">
        <v>2</v>
      </c>
      <c r="AL366">
        <v>0</v>
      </c>
      <c r="AM366">
        <v>0</v>
      </c>
      <c r="AN366">
        <v>1</v>
      </c>
      <c r="AZ366">
        <v>4</v>
      </c>
      <c r="BC366">
        <v>6</v>
      </c>
      <c r="BD366">
        <v>15</v>
      </c>
      <c r="BE366">
        <v>293</v>
      </c>
      <c r="BF366">
        <v>293</v>
      </c>
      <c r="BG366">
        <v>537</v>
      </c>
      <c r="BJ366">
        <v>1</v>
      </c>
      <c r="BL366" t="s">
        <v>844</v>
      </c>
      <c r="BM366" s="4">
        <v>43283.084027777775</v>
      </c>
      <c r="BN366" s="4">
        <v>43283.090173611112</v>
      </c>
      <c r="BO366" s="4">
        <v>43283.090173611112</v>
      </c>
      <c r="BP366" t="s">
        <v>92</v>
      </c>
      <c r="BQ366" t="s">
        <v>93</v>
      </c>
      <c r="BR366" t="s">
        <v>94</v>
      </c>
    </row>
    <row r="367" spans="1:70" x14ac:dyDescent="0.3">
      <c r="A367" t="str">
        <f>"200228E0102"</f>
        <v>200228E0102</v>
      </c>
      <c r="B367" s="2" t="s">
        <v>845</v>
      </c>
      <c r="C367">
        <v>20</v>
      </c>
      <c r="D367" t="s">
        <v>88</v>
      </c>
      <c r="E367">
        <v>37</v>
      </c>
      <c r="F367" t="s">
        <v>671</v>
      </c>
      <c r="G367">
        <v>228</v>
      </c>
      <c r="H367">
        <v>1</v>
      </c>
      <c r="I367" t="s">
        <v>156</v>
      </c>
      <c r="J367">
        <v>2</v>
      </c>
      <c r="K367">
        <v>2</v>
      </c>
      <c r="L367">
        <v>5</v>
      </c>
      <c r="M367">
        <v>293</v>
      </c>
      <c r="N367">
        <v>267</v>
      </c>
      <c r="O367">
        <v>0</v>
      </c>
      <c r="P367">
        <v>266</v>
      </c>
      <c r="Q367">
        <v>77</v>
      </c>
      <c r="R367">
        <v>88</v>
      </c>
      <c r="S367">
        <v>2</v>
      </c>
      <c r="T367">
        <v>19</v>
      </c>
      <c r="U367">
        <v>6</v>
      </c>
      <c r="V367">
        <v>1</v>
      </c>
      <c r="W367">
        <v>2</v>
      </c>
      <c r="X367">
        <v>0</v>
      </c>
      <c r="Y367">
        <v>51</v>
      </c>
      <c r="Z367">
        <v>1</v>
      </c>
      <c r="AA367">
        <v>0</v>
      </c>
      <c r="AB367">
        <v>0</v>
      </c>
      <c r="AC367">
        <v>2</v>
      </c>
      <c r="AD367">
        <v>1</v>
      </c>
      <c r="AE367">
        <v>0</v>
      </c>
      <c r="AF367">
        <v>0</v>
      </c>
      <c r="AK367">
        <v>2</v>
      </c>
      <c r="AL367">
        <v>0</v>
      </c>
      <c r="AM367">
        <v>0</v>
      </c>
      <c r="AN367">
        <v>0</v>
      </c>
      <c r="AZ367">
        <v>0</v>
      </c>
      <c r="BC367">
        <v>2</v>
      </c>
      <c r="BD367">
        <v>13</v>
      </c>
      <c r="BE367">
        <v>267</v>
      </c>
      <c r="BF367">
        <v>267</v>
      </c>
      <c r="BG367">
        <v>537</v>
      </c>
      <c r="BJ367">
        <v>1</v>
      </c>
      <c r="BL367" t="s">
        <v>846</v>
      </c>
      <c r="BM367" s="4">
        <v>43283.311111111114</v>
      </c>
      <c r="BN367" s="4">
        <v>43283.337384259263</v>
      </c>
      <c r="BO367" s="4">
        <v>43283.337384259263</v>
      </c>
      <c r="BP367" t="s">
        <v>92</v>
      </c>
      <c r="BQ367" t="s">
        <v>93</v>
      </c>
      <c r="BR367" t="s">
        <v>94</v>
      </c>
    </row>
    <row r="368" spans="1:70" x14ac:dyDescent="0.3">
      <c r="A368" t="str">
        <f>"200229B0100"</f>
        <v>200229B0100</v>
      </c>
      <c r="B368" t="s">
        <v>847</v>
      </c>
      <c r="C368">
        <v>20</v>
      </c>
      <c r="D368" t="s">
        <v>88</v>
      </c>
      <c r="E368">
        <v>37</v>
      </c>
      <c r="F368" t="s">
        <v>671</v>
      </c>
      <c r="G368">
        <v>229</v>
      </c>
      <c r="H368">
        <v>1</v>
      </c>
      <c r="I368" t="s">
        <v>90</v>
      </c>
      <c r="J368">
        <v>0</v>
      </c>
      <c r="K368">
        <v>2</v>
      </c>
      <c r="L368">
        <v>5</v>
      </c>
      <c r="M368">
        <v>56</v>
      </c>
      <c r="N368">
        <v>78</v>
      </c>
      <c r="O368">
        <v>6</v>
      </c>
      <c r="P368">
        <v>78</v>
      </c>
      <c r="Q368">
        <v>10</v>
      </c>
      <c r="R368">
        <v>57</v>
      </c>
      <c r="S368">
        <v>0</v>
      </c>
      <c r="T368">
        <v>3</v>
      </c>
      <c r="U368">
        <v>0</v>
      </c>
      <c r="V368">
        <v>1</v>
      </c>
      <c r="W368">
        <v>1</v>
      </c>
      <c r="X368">
        <v>0</v>
      </c>
      <c r="Y368">
        <v>1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K368">
        <v>0</v>
      </c>
      <c r="AL368">
        <v>0</v>
      </c>
      <c r="AM368">
        <v>0</v>
      </c>
      <c r="AN368">
        <v>0</v>
      </c>
      <c r="AZ368">
        <v>1</v>
      </c>
      <c r="BC368">
        <v>1</v>
      </c>
      <c r="BD368">
        <v>3</v>
      </c>
      <c r="BE368">
        <v>78</v>
      </c>
      <c r="BF368">
        <v>78</v>
      </c>
      <c r="BG368">
        <v>111</v>
      </c>
      <c r="BJ368">
        <v>1</v>
      </c>
      <c r="BL368" t="s">
        <v>848</v>
      </c>
      <c r="BM368" s="4">
        <v>43283.101388888892</v>
      </c>
      <c r="BN368" s="4">
        <v>43283.109756944446</v>
      </c>
      <c r="BO368" s="4">
        <v>43283.109756944446</v>
      </c>
      <c r="BP368" t="s">
        <v>92</v>
      </c>
      <c r="BQ368" t="s">
        <v>93</v>
      </c>
      <c r="BR368" t="s">
        <v>94</v>
      </c>
    </row>
    <row r="369" spans="1:70" x14ac:dyDescent="0.3">
      <c r="A369" t="str">
        <f>"200230B0100"</f>
        <v>200230B0100</v>
      </c>
      <c r="B369" t="s">
        <v>849</v>
      </c>
      <c r="C369">
        <v>20</v>
      </c>
      <c r="D369" t="s">
        <v>88</v>
      </c>
      <c r="E369">
        <v>37</v>
      </c>
      <c r="F369" t="s">
        <v>671</v>
      </c>
      <c r="G369">
        <v>230</v>
      </c>
      <c r="H369">
        <v>1</v>
      </c>
      <c r="I369" t="s">
        <v>90</v>
      </c>
      <c r="J369">
        <v>0</v>
      </c>
      <c r="K369">
        <v>2</v>
      </c>
      <c r="L369">
        <v>5</v>
      </c>
      <c r="M369">
        <v>98</v>
      </c>
      <c r="N369">
        <v>156</v>
      </c>
      <c r="O369">
        <v>5</v>
      </c>
      <c r="P369">
        <v>156</v>
      </c>
      <c r="Q369">
        <v>46</v>
      </c>
      <c r="R369">
        <v>61</v>
      </c>
      <c r="S369">
        <v>15</v>
      </c>
      <c r="T369">
        <v>4</v>
      </c>
      <c r="U369">
        <v>2</v>
      </c>
      <c r="V369">
        <v>0</v>
      </c>
      <c r="W369">
        <v>1</v>
      </c>
      <c r="X369">
        <v>0</v>
      </c>
      <c r="Y369">
        <v>18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K369">
        <v>0</v>
      </c>
      <c r="AL369">
        <v>0</v>
      </c>
      <c r="AM369">
        <v>0</v>
      </c>
      <c r="AN369">
        <v>0</v>
      </c>
      <c r="AZ369">
        <v>3</v>
      </c>
      <c r="BC369">
        <v>4</v>
      </c>
      <c r="BD369">
        <v>2</v>
      </c>
      <c r="BE369">
        <v>156</v>
      </c>
      <c r="BF369">
        <v>156</v>
      </c>
      <c r="BG369">
        <v>231</v>
      </c>
      <c r="BJ369">
        <v>1</v>
      </c>
      <c r="BL369" t="s">
        <v>850</v>
      </c>
      <c r="BM369" s="4">
        <v>43283.058333333334</v>
      </c>
      <c r="BN369" s="4">
        <v>43283.064756944441</v>
      </c>
      <c r="BO369" s="4">
        <v>43283.064756944441</v>
      </c>
      <c r="BP369" t="s">
        <v>92</v>
      </c>
      <c r="BQ369" t="s">
        <v>93</v>
      </c>
      <c r="BR369" t="s">
        <v>94</v>
      </c>
    </row>
    <row r="370" spans="1:70" x14ac:dyDescent="0.3">
      <c r="A370" t="str">
        <f>"200231B0100"</f>
        <v>200231B0100</v>
      </c>
      <c r="B370" t="s">
        <v>851</v>
      </c>
      <c r="C370">
        <v>20</v>
      </c>
      <c r="D370" t="s">
        <v>88</v>
      </c>
      <c r="E370">
        <v>37</v>
      </c>
      <c r="F370" t="s">
        <v>671</v>
      </c>
      <c r="G370">
        <v>231</v>
      </c>
      <c r="H370">
        <v>1</v>
      </c>
      <c r="I370" t="s">
        <v>90</v>
      </c>
      <c r="J370">
        <v>0</v>
      </c>
      <c r="K370">
        <v>1</v>
      </c>
      <c r="L370">
        <v>5</v>
      </c>
      <c r="M370">
        <v>291</v>
      </c>
      <c r="N370">
        <v>330</v>
      </c>
      <c r="O370">
        <v>2</v>
      </c>
      <c r="P370">
        <v>330</v>
      </c>
      <c r="Q370">
        <v>31</v>
      </c>
      <c r="R370">
        <v>94</v>
      </c>
      <c r="S370">
        <v>2</v>
      </c>
      <c r="T370">
        <v>31</v>
      </c>
      <c r="U370">
        <v>6</v>
      </c>
      <c r="V370">
        <v>2</v>
      </c>
      <c r="W370">
        <v>6</v>
      </c>
      <c r="X370">
        <v>5</v>
      </c>
      <c r="Y370">
        <v>95</v>
      </c>
      <c r="Z370">
        <v>3</v>
      </c>
      <c r="AA370">
        <v>0</v>
      </c>
      <c r="AB370">
        <v>3</v>
      </c>
      <c r="AC370">
        <v>1</v>
      </c>
      <c r="AD370">
        <v>1</v>
      </c>
      <c r="AE370">
        <v>0</v>
      </c>
      <c r="AF370">
        <v>0</v>
      </c>
      <c r="AK370">
        <v>3</v>
      </c>
      <c r="AL370">
        <v>1</v>
      </c>
      <c r="AM370">
        <v>0</v>
      </c>
      <c r="AN370">
        <v>1</v>
      </c>
      <c r="AZ370">
        <v>10</v>
      </c>
      <c r="BC370">
        <v>24</v>
      </c>
      <c r="BD370">
        <v>11</v>
      </c>
      <c r="BE370">
        <v>330</v>
      </c>
      <c r="BF370">
        <v>330</v>
      </c>
      <c r="BG370">
        <v>596</v>
      </c>
      <c r="BJ370">
        <v>1</v>
      </c>
      <c r="BL370" t="s">
        <v>852</v>
      </c>
      <c r="BM370" s="4">
        <v>43283.115972222222</v>
      </c>
      <c r="BN370" s="4">
        <v>43283.123287037037</v>
      </c>
      <c r="BO370" s="4">
        <v>43283.123287037037</v>
      </c>
      <c r="BP370" t="s">
        <v>92</v>
      </c>
      <c r="BQ370" t="s">
        <v>93</v>
      </c>
      <c r="BR370" t="s">
        <v>94</v>
      </c>
    </row>
    <row r="371" spans="1:70" x14ac:dyDescent="0.3">
      <c r="A371" t="str">
        <f>"200231C0100"</f>
        <v>200231C0100</v>
      </c>
      <c r="B371" t="s">
        <v>853</v>
      </c>
      <c r="C371">
        <v>20</v>
      </c>
      <c r="D371" t="s">
        <v>88</v>
      </c>
      <c r="E371">
        <v>37</v>
      </c>
      <c r="F371" t="s">
        <v>671</v>
      </c>
      <c r="G371">
        <v>231</v>
      </c>
      <c r="H371">
        <v>1</v>
      </c>
      <c r="I371" t="s">
        <v>98</v>
      </c>
      <c r="J371">
        <v>0</v>
      </c>
      <c r="K371">
        <v>1</v>
      </c>
      <c r="L371">
        <v>5</v>
      </c>
      <c r="M371">
        <v>299</v>
      </c>
      <c r="N371">
        <v>319</v>
      </c>
      <c r="O371">
        <v>3</v>
      </c>
      <c r="P371">
        <v>319</v>
      </c>
      <c r="Q371">
        <v>43</v>
      </c>
      <c r="R371">
        <v>68</v>
      </c>
      <c r="S371">
        <v>5</v>
      </c>
      <c r="T371">
        <v>35</v>
      </c>
      <c r="U371">
        <v>11</v>
      </c>
      <c r="V371">
        <v>3</v>
      </c>
      <c r="W371">
        <v>10</v>
      </c>
      <c r="X371">
        <v>4</v>
      </c>
      <c r="Y371">
        <v>94</v>
      </c>
      <c r="Z371">
        <v>1</v>
      </c>
      <c r="AA371">
        <v>0</v>
      </c>
      <c r="AB371">
        <v>4</v>
      </c>
      <c r="AC371">
        <v>1</v>
      </c>
      <c r="AD371">
        <v>0</v>
      </c>
      <c r="AE371">
        <v>0</v>
      </c>
      <c r="AF371">
        <v>0</v>
      </c>
      <c r="AK371">
        <v>0</v>
      </c>
      <c r="AL371">
        <v>0</v>
      </c>
      <c r="AM371">
        <v>0</v>
      </c>
      <c r="AN371">
        <v>2</v>
      </c>
      <c r="AZ371">
        <v>9</v>
      </c>
      <c r="BC371">
        <v>18</v>
      </c>
      <c r="BD371">
        <v>11</v>
      </c>
      <c r="BE371">
        <v>319</v>
      </c>
      <c r="BF371">
        <v>319</v>
      </c>
      <c r="BG371">
        <v>596</v>
      </c>
      <c r="BJ371">
        <v>1</v>
      </c>
      <c r="BL371" t="s">
        <v>854</v>
      </c>
      <c r="BM371" s="4">
        <v>43283.117361111108</v>
      </c>
      <c r="BN371" s="4">
        <v>43283.129803240743</v>
      </c>
      <c r="BO371" s="4">
        <v>43283.129803240743</v>
      </c>
      <c r="BP371" t="s">
        <v>92</v>
      </c>
      <c r="BQ371" t="s">
        <v>93</v>
      </c>
      <c r="BR371" t="s">
        <v>94</v>
      </c>
    </row>
    <row r="372" spans="1:70" x14ac:dyDescent="0.3">
      <c r="A372" t="str">
        <f>"200231C0200"</f>
        <v>200231C0200</v>
      </c>
      <c r="B372" t="s">
        <v>855</v>
      </c>
      <c r="C372">
        <v>20</v>
      </c>
      <c r="D372" t="s">
        <v>88</v>
      </c>
      <c r="E372">
        <v>37</v>
      </c>
      <c r="F372" t="s">
        <v>671</v>
      </c>
      <c r="G372">
        <v>231</v>
      </c>
      <c r="H372">
        <v>2</v>
      </c>
      <c r="I372" t="s">
        <v>98</v>
      </c>
      <c r="J372">
        <v>0</v>
      </c>
      <c r="K372">
        <v>1</v>
      </c>
      <c r="L372">
        <v>5</v>
      </c>
      <c r="M372">
        <v>269</v>
      </c>
      <c r="N372">
        <v>349</v>
      </c>
      <c r="O372">
        <v>2</v>
      </c>
      <c r="P372">
        <v>349</v>
      </c>
      <c r="Q372">
        <v>46</v>
      </c>
      <c r="R372">
        <v>98</v>
      </c>
      <c r="S372">
        <v>5</v>
      </c>
      <c r="T372">
        <v>27</v>
      </c>
      <c r="U372">
        <v>8</v>
      </c>
      <c r="V372">
        <v>0</v>
      </c>
      <c r="W372">
        <v>12</v>
      </c>
      <c r="X372">
        <v>1</v>
      </c>
      <c r="Y372">
        <v>103</v>
      </c>
      <c r="Z372">
        <v>4</v>
      </c>
      <c r="AA372">
        <v>1</v>
      </c>
      <c r="AB372">
        <v>3</v>
      </c>
      <c r="AC372">
        <v>1</v>
      </c>
      <c r="AD372">
        <v>0</v>
      </c>
      <c r="AE372">
        <v>0</v>
      </c>
      <c r="AF372">
        <v>0</v>
      </c>
      <c r="AK372">
        <v>1</v>
      </c>
      <c r="AL372">
        <v>0</v>
      </c>
      <c r="AM372">
        <v>0</v>
      </c>
      <c r="AN372">
        <v>1</v>
      </c>
      <c r="AZ372">
        <v>5</v>
      </c>
      <c r="BC372">
        <v>16</v>
      </c>
      <c r="BD372">
        <v>17</v>
      </c>
      <c r="BE372">
        <v>349</v>
      </c>
      <c r="BF372">
        <v>349</v>
      </c>
      <c r="BG372">
        <v>595</v>
      </c>
      <c r="BJ372">
        <v>1</v>
      </c>
      <c r="BL372" t="s">
        <v>856</v>
      </c>
      <c r="BM372" s="4">
        <v>43283.118055555555</v>
      </c>
      <c r="BN372" s="4">
        <v>43283.123518518521</v>
      </c>
      <c r="BO372" s="4">
        <v>43283.123518518521</v>
      </c>
      <c r="BP372" t="s">
        <v>92</v>
      </c>
      <c r="BQ372" t="s">
        <v>93</v>
      </c>
      <c r="BR372" t="s">
        <v>94</v>
      </c>
    </row>
    <row r="373" spans="1:70" x14ac:dyDescent="0.3">
      <c r="A373" t="str">
        <f>"200231C0300"</f>
        <v>200231C0300</v>
      </c>
      <c r="B373" t="s">
        <v>857</v>
      </c>
      <c r="C373">
        <v>20</v>
      </c>
      <c r="D373" t="s">
        <v>88</v>
      </c>
      <c r="E373">
        <v>37</v>
      </c>
      <c r="F373" t="s">
        <v>671</v>
      </c>
      <c r="G373">
        <v>231</v>
      </c>
      <c r="H373">
        <v>3</v>
      </c>
      <c r="I373" t="s">
        <v>98</v>
      </c>
      <c r="J373">
        <v>0</v>
      </c>
      <c r="K373">
        <v>1</v>
      </c>
      <c r="L373">
        <v>5</v>
      </c>
      <c r="M373">
        <v>280</v>
      </c>
      <c r="N373">
        <v>338</v>
      </c>
      <c r="O373">
        <v>4</v>
      </c>
      <c r="P373">
        <v>336</v>
      </c>
      <c r="Q373">
        <v>43</v>
      </c>
      <c r="R373">
        <v>74</v>
      </c>
      <c r="S373">
        <v>1</v>
      </c>
      <c r="T373">
        <v>21</v>
      </c>
      <c r="U373">
        <v>14</v>
      </c>
      <c r="V373">
        <v>0</v>
      </c>
      <c r="W373">
        <v>9</v>
      </c>
      <c r="X373">
        <v>6</v>
      </c>
      <c r="Y373">
        <v>108</v>
      </c>
      <c r="Z373">
        <v>6</v>
      </c>
      <c r="AA373">
        <v>0</v>
      </c>
      <c r="AB373">
        <v>6</v>
      </c>
      <c r="AC373">
        <v>0</v>
      </c>
      <c r="AD373">
        <v>0</v>
      </c>
      <c r="AE373">
        <v>0</v>
      </c>
      <c r="AF373">
        <v>0</v>
      </c>
      <c r="AK373">
        <v>3</v>
      </c>
      <c r="AL373">
        <v>3</v>
      </c>
      <c r="AM373">
        <v>0</v>
      </c>
      <c r="AN373">
        <v>0</v>
      </c>
      <c r="AZ373">
        <v>12</v>
      </c>
      <c r="BC373">
        <v>25</v>
      </c>
      <c r="BD373">
        <v>5</v>
      </c>
      <c r="BE373">
        <v>336</v>
      </c>
      <c r="BF373">
        <v>336</v>
      </c>
      <c r="BG373">
        <v>595</v>
      </c>
      <c r="BJ373">
        <v>1</v>
      </c>
      <c r="BL373" s="2" t="s">
        <v>858</v>
      </c>
      <c r="BM373" s="4">
        <v>43283.119444444441</v>
      </c>
      <c r="BN373" s="4">
        <v>43283.124861111108</v>
      </c>
      <c r="BO373" s="4">
        <v>43283.124861111108</v>
      </c>
      <c r="BP373" t="s">
        <v>92</v>
      </c>
      <c r="BQ373" t="s">
        <v>93</v>
      </c>
      <c r="BR373" t="s">
        <v>94</v>
      </c>
    </row>
    <row r="374" spans="1:70" x14ac:dyDescent="0.3">
      <c r="A374" t="str">
        <f>"200231S0100"</f>
        <v>200231S0100</v>
      </c>
      <c r="B374" t="s">
        <v>859</v>
      </c>
      <c r="C374">
        <v>20</v>
      </c>
      <c r="D374" t="s">
        <v>88</v>
      </c>
      <c r="E374">
        <v>37</v>
      </c>
      <c r="F374" t="s">
        <v>671</v>
      </c>
      <c r="G374">
        <v>231</v>
      </c>
      <c r="H374">
        <v>1</v>
      </c>
      <c r="I374" t="s">
        <v>113</v>
      </c>
      <c r="J374">
        <v>0</v>
      </c>
      <c r="K374">
        <v>1</v>
      </c>
      <c r="L374">
        <v>6</v>
      </c>
      <c r="M374">
        <v>757</v>
      </c>
      <c r="N374">
        <v>16</v>
      </c>
      <c r="O374">
        <v>0</v>
      </c>
      <c r="P374">
        <v>16</v>
      </c>
      <c r="Q374">
        <v>2</v>
      </c>
      <c r="R374">
        <v>5</v>
      </c>
      <c r="S374">
        <v>0</v>
      </c>
      <c r="T374">
        <v>0</v>
      </c>
      <c r="U374">
        <v>0</v>
      </c>
      <c r="V374">
        <v>0</v>
      </c>
      <c r="W374">
        <v>1</v>
      </c>
      <c r="X374">
        <v>1</v>
      </c>
      <c r="Y374">
        <v>7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K374">
        <v>0</v>
      </c>
      <c r="AL374">
        <v>0</v>
      </c>
      <c r="AM374">
        <v>0</v>
      </c>
      <c r="AN374">
        <v>0</v>
      </c>
      <c r="AZ374">
        <v>0</v>
      </c>
      <c r="BC374">
        <v>0</v>
      </c>
      <c r="BD374">
        <v>0</v>
      </c>
      <c r="BE374">
        <v>16</v>
      </c>
      <c r="BF374">
        <v>16</v>
      </c>
      <c r="BG374">
        <v>0</v>
      </c>
      <c r="BJ374">
        <v>1</v>
      </c>
      <c r="BL374" t="s">
        <v>860</v>
      </c>
      <c r="BM374" s="4">
        <v>43282.984027777777</v>
      </c>
      <c r="BN374" s="4">
        <v>43282.988217592596</v>
      </c>
      <c r="BO374" s="4">
        <v>43282.988217592596</v>
      </c>
      <c r="BP374" t="s">
        <v>92</v>
      </c>
      <c r="BQ374" t="s">
        <v>93</v>
      </c>
      <c r="BR374" t="s">
        <v>94</v>
      </c>
    </row>
    <row r="375" spans="1:70" x14ac:dyDescent="0.3">
      <c r="A375" t="str">
        <f>"200926B0100"</f>
        <v>200926B0100</v>
      </c>
      <c r="B375" t="s">
        <v>861</v>
      </c>
      <c r="C375">
        <v>20</v>
      </c>
      <c r="D375" t="s">
        <v>88</v>
      </c>
      <c r="E375">
        <v>37</v>
      </c>
      <c r="F375" t="s">
        <v>671</v>
      </c>
      <c r="G375">
        <v>926</v>
      </c>
      <c r="H375">
        <v>1</v>
      </c>
      <c r="I375" t="s">
        <v>90</v>
      </c>
      <c r="J375">
        <v>0</v>
      </c>
      <c r="K375">
        <v>2</v>
      </c>
      <c r="L375">
        <v>5</v>
      </c>
      <c r="M375">
        <v>189</v>
      </c>
      <c r="N375">
        <v>218</v>
      </c>
      <c r="O375">
        <v>4</v>
      </c>
      <c r="P375">
        <v>218</v>
      </c>
      <c r="Q375">
        <v>85</v>
      </c>
      <c r="R375">
        <v>56</v>
      </c>
      <c r="S375">
        <v>6</v>
      </c>
      <c r="T375">
        <v>5</v>
      </c>
      <c r="U375">
        <v>8</v>
      </c>
      <c r="V375">
        <v>0</v>
      </c>
      <c r="W375">
        <v>2</v>
      </c>
      <c r="X375">
        <v>1</v>
      </c>
      <c r="Y375">
        <v>40</v>
      </c>
      <c r="Z375">
        <v>2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K375">
        <v>1</v>
      </c>
      <c r="AL375">
        <v>0</v>
      </c>
      <c r="AM375">
        <v>0</v>
      </c>
      <c r="AN375">
        <v>0</v>
      </c>
      <c r="AZ375">
        <v>3</v>
      </c>
      <c r="BC375">
        <v>1</v>
      </c>
      <c r="BD375">
        <v>8</v>
      </c>
      <c r="BE375">
        <v>218</v>
      </c>
      <c r="BF375">
        <v>218</v>
      </c>
      <c r="BG375">
        <v>384</v>
      </c>
      <c r="BJ375">
        <v>1</v>
      </c>
      <c r="BL375" t="s">
        <v>862</v>
      </c>
      <c r="BM375" s="4">
        <v>43283.129861111112</v>
      </c>
      <c r="BN375" s="4">
        <v>43283.133761574078</v>
      </c>
      <c r="BO375" s="4">
        <v>43283.133761574078</v>
      </c>
      <c r="BP375" t="s">
        <v>92</v>
      </c>
      <c r="BQ375" t="s">
        <v>93</v>
      </c>
      <c r="BR375" t="s">
        <v>94</v>
      </c>
    </row>
    <row r="376" spans="1:70" x14ac:dyDescent="0.3">
      <c r="A376" t="str">
        <f>"201280B0100"</f>
        <v>201280B0100</v>
      </c>
      <c r="B376" t="s">
        <v>863</v>
      </c>
      <c r="C376">
        <v>20</v>
      </c>
      <c r="D376" t="s">
        <v>88</v>
      </c>
      <c r="E376">
        <v>37</v>
      </c>
      <c r="F376" t="s">
        <v>671</v>
      </c>
      <c r="G376">
        <v>1280</v>
      </c>
      <c r="H376">
        <v>1</v>
      </c>
      <c r="I376" t="s">
        <v>90</v>
      </c>
      <c r="J376">
        <v>0</v>
      </c>
      <c r="K376">
        <v>2</v>
      </c>
      <c r="L376">
        <v>5</v>
      </c>
      <c r="M376">
        <v>236</v>
      </c>
      <c r="N376">
        <v>354</v>
      </c>
      <c r="O376">
        <v>2</v>
      </c>
      <c r="P376">
        <v>354</v>
      </c>
      <c r="Q376">
        <v>52</v>
      </c>
      <c r="R376">
        <v>79</v>
      </c>
      <c r="S376">
        <v>6</v>
      </c>
      <c r="T376">
        <v>58</v>
      </c>
      <c r="U376">
        <v>4</v>
      </c>
      <c r="V376">
        <v>1</v>
      </c>
      <c r="W376">
        <v>26</v>
      </c>
      <c r="X376">
        <v>0</v>
      </c>
      <c r="Y376">
        <v>70</v>
      </c>
      <c r="Z376">
        <v>5</v>
      </c>
      <c r="AA376">
        <v>1</v>
      </c>
      <c r="AB376">
        <v>1</v>
      </c>
      <c r="AC376">
        <v>0</v>
      </c>
      <c r="AD376">
        <v>1</v>
      </c>
      <c r="AE376">
        <v>0</v>
      </c>
      <c r="AF376">
        <v>0</v>
      </c>
      <c r="AK376">
        <v>3</v>
      </c>
      <c r="AL376">
        <v>0</v>
      </c>
      <c r="AM376">
        <v>0</v>
      </c>
      <c r="AN376">
        <v>0</v>
      </c>
      <c r="AZ376">
        <v>11</v>
      </c>
      <c r="BC376">
        <v>22</v>
      </c>
      <c r="BD376">
        <v>14</v>
      </c>
      <c r="BE376">
        <v>354</v>
      </c>
      <c r="BF376">
        <v>354</v>
      </c>
      <c r="BG376">
        <v>567</v>
      </c>
      <c r="BJ376">
        <v>1</v>
      </c>
      <c r="BL376" t="s">
        <v>864</v>
      </c>
      <c r="BM376" s="4">
        <v>43283.1</v>
      </c>
      <c r="BN376" s="4">
        <v>43283.104710648149</v>
      </c>
      <c r="BO376" s="4">
        <v>43283.104710648149</v>
      </c>
      <c r="BP376" t="s">
        <v>92</v>
      </c>
      <c r="BQ376" t="s">
        <v>93</v>
      </c>
      <c r="BR376" t="s">
        <v>94</v>
      </c>
    </row>
    <row r="377" spans="1:70" x14ac:dyDescent="0.3">
      <c r="A377" t="str">
        <f>"202451B0100"</f>
        <v>202451B0100</v>
      </c>
      <c r="B377" t="s">
        <v>865</v>
      </c>
      <c r="C377">
        <v>20</v>
      </c>
      <c r="D377" t="s">
        <v>88</v>
      </c>
      <c r="E377">
        <v>37</v>
      </c>
      <c r="F377" t="s">
        <v>671</v>
      </c>
      <c r="G377">
        <v>2451</v>
      </c>
      <c r="H377">
        <v>1</v>
      </c>
      <c r="I377" t="s">
        <v>90</v>
      </c>
      <c r="J377">
        <v>0</v>
      </c>
      <c r="K377">
        <v>2</v>
      </c>
      <c r="L377">
        <v>5</v>
      </c>
      <c r="M377">
        <v>161</v>
      </c>
      <c r="N377">
        <v>283</v>
      </c>
      <c r="O377">
        <v>1</v>
      </c>
      <c r="P377">
        <v>283</v>
      </c>
      <c r="Q377">
        <v>105</v>
      </c>
      <c r="R377">
        <v>103</v>
      </c>
      <c r="S377">
        <v>1</v>
      </c>
      <c r="T377">
        <v>23</v>
      </c>
      <c r="U377">
        <v>0</v>
      </c>
      <c r="V377">
        <v>1</v>
      </c>
      <c r="W377">
        <v>0</v>
      </c>
      <c r="X377">
        <v>1</v>
      </c>
      <c r="Y377">
        <v>20</v>
      </c>
      <c r="Z377">
        <v>1</v>
      </c>
      <c r="AA377">
        <v>0</v>
      </c>
      <c r="AB377">
        <v>0</v>
      </c>
      <c r="AC377">
        <v>1</v>
      </c>
      <c r="AD377">
        <v>1</v>
      </c>
      <c r="AE377">
        <v>0</v>
      </c>
      <c r="AF377">
        <v>0</v>
      </c>
      <c r="AK377">
        <v>0</v>
      </c>
      <c r="AL377">
        <v>0</v>
      </c>
      <c r="AM377">
        <v>0</v>
      </c>
      <c r="AN377">
        <v>0</v>
      </c>
      <c r="AZ377">
        <v>2</v>
      </c>
      <c r="BC377">
        <v>8</v>
      </c>
      <c r="BD377">
        <v>14</v>
      </c>
      <c r="BE377">
        <v>281</v>
      </c>
      <c r="BF377">
        <v>281</v>
      </c>
      <c r="BG377">
        <v>431</v>
      </c>
      <c r="BJ377">
        <v>1</v>
      </c>
      <c r="BL377" t="s">
        <v>866</v>
      </c>
      <c r="BM377" s="4">
        <v>43283.306944444441</v>
      </c>
      <c r="BN377" s="4">
        <v>43283.332916666666</v>
      </c>
      <c r="BO377" s="4">
        <v>43283.332916666666</v>
      </c>
      <c r="BP377" t="s">
        <v>92</v>
      </c>
      <c r="BQ377" t="s">
        <v>93</v>
      </c>
      <c r="BR377" t="s">
        <v>94</v>
      </c>
    </row>
    <row r="378" spans="1:70" x14ac:dyDescent="0.3">
      <c r="A378" t="str">
        <f>"200232B0100"</f>
        <v>200232B0100</v>
      </c>
      <c r="B378" t="s">
        <v>867</v>
      </c>
      <c r="C378">
        <v>20</v>
      </c>
      <c r="D378" t="s">
        <v>88</v>
      </c>
      <c r="E378">
        <v>38</v>
      </c>
      <c r="F378" t="s">
        <v>868</v>
      </c>
      <c r="G378">
        <v>232</v>
      </c>
      <c r="H378">
        <v>1</v>
      </c>
      <c r="I378" t="s">
        <v>90</v>
      </c>
      <c r="J378">
        <v>0</v>
      </c>
      <c r="K378">
        <v>2</v>
      </c>
      <c r="L378">
        <v>5</v>
      </c>
      <c r="M378">
        <v>102</v>
      </c>
      <c r="N378">
        <v>450</v>
      </c>
      <c r="O378">
        <v>0</v>
      </c>
      <c r="P378">
        <v>450</v>
      </c>
      <c r="Q378">
        <v>0</v>
      </c>
      <c r="R378">
        <v>171</v>
      </c>
      <c r="S378">
        <v>20</v>
      </c>
      <c r="U378">
        <v>2</v>
      </c>
      <c r="V378">
        <v>2</v>
      </c>
      <c r="W378">
        <v>10</v>
      </c>
      <c r="X378">
        <v>34</v>
      </c>
      <c r="Y378">
        <v>0</v>
      </c>
      <c r="Z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K378">
        <v>0</v>
      </c>
      <c r="AL378">
        <v>0</v>
      </c>
      <c r="AM378">
        <v>0</v>
      </c>
      <c r="AN378">
        <v>0</v>
      </c>
      <c r="BC378">
        <v>0</v>
      </c>
      <c r="BD378">
        <v>13</v>
      </c>
      <c r="BE378">
        <v>450</v>
      </c>
      <c r="BF378">
        <v>252</v>
      </c>
      <c r="BG378">
        <v>530</v>
      </c>
      <c r="BJ378">
        <v>1</v>
      </c>
      <c r="BL378" t="s">
        <v>869</v>
      </c>
      <c r="BM378" s="4">
        <v>43283.533541666664</v>
      </c>
      <c r="BN378" s="4">
        <v>43283.543599537035</v>
      </c>
      <c r="BO378" s="4">
        <v>43283.543599537035</v>
      </c>
      <c r="BP378" t="s">
        <v>92</v>
      </c>
      <c r="BQ378" t="s">
        <v>93</v>
      </c>
      <c r="BR378" t="s">
        <v>94</v>
      </c>
    </row>
    <row r="379" spans="1:70" x14ac:dyDescent="0.3">
      <c r="A379" t="str">
        <f>"200232C0100"</f>
        <v>200232C0100</v>
      </c>
      <c r="B379" t="s">
        <v>870</v>
      </c>
      <c r="C379">
        <v>20</v>
      </c>
      <c r="D379" t="s">
        <v>88</v>
      </c>
      <c r="E379">
        <v>38</v>
      </c>
      <c r="F379" t="s">
        <v>868</v>
      </c>
      <c r="G379">
        <v>232</v>
      </c>
      <c r="H379">
        <v>1</v>
      </c>
      <c r="I379" t="s">
        <v>98</v>
      </c>
      <c r="J379">
        <v>0</v>
      </c>
      <c r="K379">
        <v>2</v>
      </c>
      <c r="L379">
        <v>5</v>
      </c>
      <c r="M379">
        <v>92</v>
      </c>
      <c r="N379">
        <v>457</v>
      </c>
      <c r="O379">
        <v>0</v>
      </c>
      <c r="P379">
        <v>457</v>
      </c>
      <c r="Q379">
        <v>1</v>
      </c>
      <c r="R379">
        <v>150</v>
      </c>
      <c r="S379">
        <v>15</v>
      </c>
      <c r="U379">
        <v>0</v>
      </c>
      <c r="V379">
        <v>1</v>
      </c>
      <c r="W379">
        <v>1</v>
      </c>
      <c r="X379">
        <v>59</v>
      </c>
      <c r="Y379">
        <v>0</v>
      </c>
      <c r="Z379">
        <v>0</v>
      </c>
      <c r="AB379">
        <v>212</v>
      </c>
      <c r="AC379">
        <v>0</v>
      </c>
      <c r="AD379">
        <v>0</v>
      </c>
      <c r="AE379">
        <v>0</v>
      </c>
      <c r="AF379">
        <v>0</v>
      </c>
      <c r="AK379">
        <v>0</v>
      </c>
      <c r="AL379">
        <v>0</v>
      </c>
      <c r="AM379">
        <v>0</v>
      </c>
      <c r="AN379">
        <v>0</v>
      </c>
      <c r="BC379">
        <v>0</v>
      </c>
      <c r="BD379">
        <v>21</v>
      </c>
      <c r="BE379">
        <v>460</v>
      </c>
      <c r="BF379">
        <v>460</v>
      </c>
      <c r="BG379">
        <v>529</v>
      </c>
      <c r="BJ379">
        <v>1</v>
      </c>
      <c r="BL379" t="s">
        <v>871</v>
      </c>
      <c r="BM379" s="4">
        <v>43283.534282407411</v>
      </c>
      <c r="BN379" s="4">
        <v>43283.540266203701</v>
      </c>
      <c r="BO379" s="4">
        <v>43283.540266203701</v>
      </c>
      <c r="BP379" t="s">
        <v>92</v>
      </c>
      <c r="BQ379" t="s">
        <v>93</v>
      </c>
      <c r="BR379" t="s">
        <v>94</v>
      </c>
    </row>
    <row r="380" spans="1:70" x14ac:dyDescent="0.3">
      <c r="A380" t="str">
        <f>"200232C0200"</f>
        <v>200232C0200</v>
      </c>
      <c r="B380" t="s">
        <v>872</v>
      </c>
      <c r="C380">
        <v>20</v>
      </c>
      <c r="D380" t="s">
        <v>88</v>
      </c>
      <c r="E380">
        <v>38</v>
      </c>
      <c r="F380" t="s">
        <v>868</v>
      </c>
      <c r="G380">
        <v>232</v>
      </c>
      <c r="H380">
        <v>2</v>
      </c>
      <c r="I380" t="s">
        <v>98</v>
      </c>
      <c r="J380">
        <v>0</v>
      </c>
      <c r="K380">
        <v>2</v>
      </c>
      <c r="L380">
        <v>5</v>
      </c>
      <c r="M380">
        <v>80</v>
      </c>
      <c r="N380">
        <v>471</v>
      </c>
      <c r="O380">
        <v>3</v>
      </c>
      <c r="P380">
        <v>471</v>
      </c>
      <c r="Q380">
        <v>2</v>
      </c>
      <c r="R380">
        <v>186</v>
      </c>
      <c r="S380">
        <v>13</v>
      </c>
      <c r="U380">
        <v>3</v>
      </c>
      <c r="V380">
        <v>1</v>
      </c>
      <c r="W380">
        <v>3</v>
      </c>
      <c r="X380">
        <v>30</v>
      </c>
      <c r="Y380">
        <v>4</v>
      </c>
      <c r="Z380">
        <v>0</v>
      </c>
      <c r="AB380">
        <v>206</v>
      </c>
      <c r="AC380">
        <v>0</v>
      </c>
      <c r="AD380">
        <v>0</v>
      </c>
      <c r="AE380">
        <v>0</v>
      </c>
      <c r="AF380">
        <v>1</v>
      </c>
      <c r="AK380">
        <v>0</v>
      </c>
      <c r="AL380">
        <v>0</v>
      </c>
      <c r="AM380">
        <v>0</v>
      </c>
      <c r="AN380">
        <v>0</v>
      </c>
      <c r="BC380">
        <v>0</v>
      </c>
      <c r="BD380">
        <v>22</v>
      </c>
      <c r="BE380">
        <v>471</v>
      </c>
      <c r="BF380">
        <v>471</v>
      </c>
      <c r="BG380">
        <v>529</v>
      </c>
      <c r="BJ380">
        <v>1</v>
      </c>
      <c r="BL380" t="s">
        <v>873</v>
      </c>
      <c r="BM380" s="4">
        <v>43283.534942129627</v>
      </c>
      <c r="BN380" s="4">
        <v>43283.542280092595</v>
      </c>
      <c r="BO380" s="4">
        <v>43283.542280092595</v>
      </c>
      <c r="BP380" t="s">
        <v>92</v>
      </c>
      <c r="BQ380" t="s">
        <v>93</v>
      </c>
      <c r="BR380" t="s">
        <v>94</v>
      </c>
    </row>
    <row r="381" spans="1:70" x14ac:dyDescent="0.3">
      <c r="A381" t="str">
        <f>"200233B0100"</f>
        <v>200233B0100</v>
      </c>
      <c r="B381" t="s">
        <v>874</v>
      </c>
      <c r="C381">
        <v>20</v>
      </c>
      <c r="D381" t="s">
        <v>88</v>
      </c>
      <c r="E381">
        <v>38</v>
      </c>
      <c r="F381" t="s">
        <v>868</v>
      </c>
      <c r="G381">
        <v>233</v>
      </c>
      <c r="H381">
        <v>1</v>
      </c>
      <c r="I381" t="s">
        <v>90</v>
      </c>
      <c r="J381">
        <v>0</v>
      </c>
      <c r="K381">
        <v>2</v>
      </c>
      <c r="L381">
        <v>5</v>
      </c>
      <c r="M381">
        <v>57</v>
      </c>
      <c r="N381">
        <v>439</v>
      </c>
      <c r="O381">
        <v>4</v>
      </c>
      <c r="P381">
        <v>439</v>
      </c>
      <c r="Q381">
        <v>0</v>
      </c>
      <c r="R381">
        <v>209</v>
      </c>
      <c r="S381">
        <v>3</v>
      </c>
      <c r="U381">
        <v>1</v>
      </c>
      <c r="V381">
        <v>2</v>
      </c>
      <c r="W381">
        <v>2</v>
      </c>
      <c r="X381">
        <v>21</v>
      </c>
      <c r="Y381">
        <v>3</v>
      </c>
      <c r="Z381">
        <v>0</v>
      </c>
      <c r="AB381">
        <v>186</v>
      </c>
      <c r="AC381">
        <v>0</v>
      </c>
      <c r="AD381">
        <v>1</v>
      </c>
      <c r="AE381">
        <v>0</v>
      </c>
      <c r="AF381">
        <v>0</v>
      </c>
      <c r="AK381">
        <v>0</v>
      </c>
      <c r="AL381">
        <v>0</v>
      </c>
      <c r="AM381">
        <v>0</v>
      </c>
      <c r="AN381">
        <v>0</v>
      </c>
      <c r="BC381">
        <v>0</v>
      </c>
      <c r="BD381">
        <v>11</v>
      </c>
      <c r="BE381">
        <v>439</v>
      </c>
      <c r="BF381">
        <v>439</v>
      </c>
      <c r="BG381">
        <v>476</v>
      </c>
      <c r="BJ381">
        <v>1</v>
      </c>
      <c r="BL381" t="s">
        <v>875</v>
      </c>
      <c r="BM381" s="4">
        <v>43283.535567129627</v>
      </c>
      <c r="BN381" s="4">
        <v>43283.543483796297</v>
      </c>
      <c r="BO381" s="4">
        <v>43283.543483796297</v>
      </c>
      <c r="BP381" t="s">
        <v>92</v>
      </c>
      <c r="BQ381" t="s">
        <v>93</v>
      </c>
      <c r="BR381" t="s">
        <v>94</v>
      </c>
    </row>
    <row r="382" spans="1:70" x14ac:dyDescent="0.3">
      <c r="A382" t="str">
        <f>"200234B0100"</f>
        <v>200234B0100</v>
      </c>
      <c r="B382" t="s">
        <v>876</v>
      </c>
      <c r="C382">
        <v>20</v>
      </c>
      <c r="D382" t="s">
        <v>88</v>
      </c>
      <c r="E382">
        <v>38</v>
      </c>
      <c r="F382" t="s">
        <v>868</v>
      </c>
      <c r="G382">
        <v>234</v>
      </c>
      <c r="H382">
        <v>1</v>
      </c>
      <c r="I382" t="s">
        <v>90</v>
      </c>
      <c r="J382">
        <v>0</v>
      </c>
      <c r="K382">
        <v>2</v>
      </c>
      <c r="L382">
        <v>5</v>
      </c>
      <c r="M382">
        <v>90</v>
      </c>
      <c r="N382">
        <v>350</v>
      </c>
      <c r="O382">
        <v>0</v>
      </c>
      <c r="P382">
        <v>350</v>
      </c>
      <c r="Q382">
        <v>2</v>
      </c>
      <c r="R382">
        <v>153</v>
      </c>
      <c r="S382">
        <v>17</v>
      </c>
      <c r="U382">
        <v>0</v>
      </c>
      <c r="V382">
        <v>1</v>
      </c>
      <c r="W382">
        <v>1</v>
      </c>
      <c r="X382">
        <v>25</v>
      </c>
      <c r="Y382">
        <v>2</v>
      </c>
      <c r="Z382">
        <v>3</v>
      </c>
      <c r="AB382">
        <v>125</v>
      </c>
      <c r="AC382">
        <v>0</v>
      </c>
      <c r="AD382">
        <v>1</v>
      </c>
      <c r="AE382">
        <v>0</v>
      </c>
      <c r="AF382">
        <v>1</v>
      </c>
      <c r="AK382">
        <v>0</v>
      </c>
      <c r="AL382">
        <v>0</v>
      </c>
      <c r="AM382">
        <v>0</v>
      </c>
      <c r="AN382">
        <v>0</v>
      </c>
      <c r="BC382" t="s">
        <v>105</v>
      </c>
      <c r="BD382">
        <v>19</v>
      </c>
      <c r="BE382">
        <v>350</v>
      </c>
      <c r="BF382">
        <v>350</v>
      </c>
      <c r="BG382">
        <v>418</v>
      </c>
      <c r="BI382" t="s">
        <v>106</v>
      </c>
      <c r="BJ382">
        <v>1</v>
      </c>
      <c r="BL382" t="s">
        <v>877</v>
      </c>
      <c r="BM382" s="4">
        <v>43283.536099537036</v>
      </c>
      <c r="BN382" s="4">
        <v>43283.546284722222</v>
      </c>
      <c r="BO382" s="4">
        <v>43283.546284722222</v>
      </c>
      <c r="BP382" t="s">
        <v>92</v>
      </c>
      <c r="BQ382" t="s">
        <v>93</v>
      </c>
      <c r="BR382" t="s">
        <v>94</v>
      </c>
    </row>
    <row r="383" spans="1:70" x14ac:dyDescent="0.3">
      <c r="A383" t="str">
        <f>"200234C0100"</f>
        <v>200234C0100</v>
      </c>
      <c r="B383" t="s">
        <v>878</v>
      </c>
      <c r="C383">
        <v>20</v>
      </c>
      <c r="D383" t="s">
        <v>88</v>
      </c>
      <c r="E383">
        <v>38</v>
      </c>
      <c r="F383" t="s">
        <v>868</v>
      </c>
      <c r="G383">
        <v>234</v>
      </c>
      <c r="H383">
        <v>1</v>
      </c>
      <c r="I383" t="s">
        <v>98</v>
      </c>
      <c r="J383">
        <v>0</v>
      </c>
      <c r="K383">
        <v>2</v>
      </c>
      <c r="L383">
        <v>5</v>
      </c>
      <c r="M383">
        <v>81</v>
      </c>
      <c r="N383">
        <v>358</v>
      </c>
      <c r="O383">
        <v>2</v>
      </c>
      <c r="P383">
        <v>358</v>
      </c>
      <c r="Q383">
        <v>0</v>
      </c>
      <c r="R383">
        <v>194</v>
      </c>
      <c r="S383">
        <v>12</v>
      </c>
      <c r="U383">
        <v>0</v>
      </c>
      <c r="V383">
        <v>0</v>
      </c>
      <c r="W383">
        <v>2</v>
      </c>
      <c r="X383">
        <v>31</v>
      </c>
      <c r="Y383">
        <v>3</v>
      </c>
      <c r="Z383">
        <v>0</v>
      </c>
      <c r="AB383">
        <v>95</v>
      </c>
      <c r="AC383">
        <v>1</v>
      </c>
      <c r="AD383">
        <v>0</v>
      </c>
      <c r="AE383">
        <v>0</v>
      </c>
      <c r="AF383">
        <v>0</v>
      </c>
      <c r="AK383">
        <v>0</v>
      </c>
      <c r="AL383">
        <v>0</v>
      </c>
      <c r="AM383">
        <v>0</v>
      </c>
      <c r="AN383">
        <v>0</v>
      </c>
      <c r="BC383">
        <v>0</v>
      </c>
      <c r="BD383">
        <v>20</v>
      </c>
      <c r="BE383">
        <v>358</v>
      </c>
      <c r="BF383">
        <v>358</v>
      </c>
      <c r="BG383">
        <v>417</v>
      </c>
      <c r="BJ383">
        <v>1</v>
      </c>
      <c r="BL383" t="s">
        <v>879</v>
      </c>
      <c r="BM383" s="4">
        <v>43283.536712962959</v>
      </c>
      <c r="BN383" s="4">
        <v>43283.545324074075</v>
      </c>
      <c r="BO383" s="4">
        <v>43283.545324074075</v>
      </c>
      <c r="BP383" t="s">
        <v>92</v>
      </c>
      <c r="BQ383" t="s">
        <v>93</v>
      </c>
      <c r="BR383" t="s">
        <v>94</v>
      </c>
    </row>
    <row r="384" spans="1:70" x14ac:dyDescent="0.3">
      <c r="A384" t="str">
        <f>"200235B0100"</f>
        <v>200235B0100</v>
      </c>
      <c r="B384" t="s">
        <v>880</v>
      </c>
      <c r="C384">
        <v>20</v>
      </c>
      <c r="D384" t="s">
        <v>88</v>
      </c>
      <c r="E384">
        <v>38</v>
      </c>
      <c r="F384" t="s">
        <v>868</v>
      </c>
      <c r="G384">
        <v>235</v>
      </c>
      <c r="H384">
        <v>1</v>
      </c>
      <c r="I384" t="s">
        <v>90</v>
      </c>
      <c r="J384">
        <v>0</v>
      </c>
      <c r="K384">
        <v>2</v>
      </c>
      <c r="L384">
        <v>5</v>
      </c>
      <c r="M384">
        <v>99</v>
      </c>
      <c r="N384">
        <v>470</v>
      </c>
      <c r="O384">
        <v>0</v>
      </c>
      <c r="P384">
        <v>470</v>
      </c>
      <c r="Q384">
        <v>0</v>
      </c>
      <c r="R384">
        <v>124</v>
      </c>
      <c r="S384">
        <v>17</v>
      </c>
      <c r="U384">
        <v>0</v>
      </c>
      <c r="V384">
        <v>0</v>
      </c>
      <c r="W384">
        <v>1</v>
      </c>
      <c r="X384">
        <v>36</v>
      </c>
      <c r="Y384">
        <v>0</v>
      </c>
      <c r="Z384">
        <v>0</v>
      </c>
      <c r="AB384">
        <v>266</v>
      </c>
      <c r="AC384">
        <v>0</v>
      </c>
      <c r="AD384">
        <v>0</v>
      </c>
      <c r="AE384">
        <v>0</v>
      </c>
      <c r="AF384">
        <v>0</v>
      </c>
      <c r="AK384">
        <v>0</v>
      </c>
      <c r="AL384">
        <v>0</v>
      </c>
      <c r="AM384">
        <v>0</v>
      </c>
      <c r="AN384">
        <v>0</v>
      </c>
      <c r="BC384">
        <v>0</v>
      </c>
      <c r="BD384">
        <v>26</v>
      </c>
      <c r="BE384">
        <v>470</v>
      </c>
      <c r="BF384">
        <v>470</v>
      </c>
      <c r="BG384">
        <v>547</v>
      </c>
      <c r="BJ384">
        <v>1</v>
      </c>
      <c r="BL384" t="s">
        <v>881</v>
      </c>
      <c r="BM384" s="4">
        <v>43283.537326388891</v>
      </c>
      <c r="BN384" s="4">
        <v>43283.544386574074</v>
      </c>
      <c r="BO384" s="4">
        <v>43283.544386574074</v>
      </c>
      <c r="BP384" t="s">
        <v>92</v>
      </c>
      <c r="BQ384" t="s">
        <v>93</v>
      </c>
      <c r="BR384" t="s">
        <v>94</v>
      </c>
    </row>
    <row r="385" spans="1:70" x14ac:dyDescent="0.3">
      <c r="A385" t="str">
        <f>"200235C0100"</f>
        <v>200235C0100</v>
      </c>
      <c r="B385" t="s">
        <v>882</v>
      </c>
      <c r="C385">
        <v>20</v>
      </c>
      <c r="D385" t="s">
        <v>88</v>
      </c>
      <c r="E385">
        <v>38</v>
      </c>
      <c r="F385" t="s">
        <v>868</v>
      </c>
      <c r="G385">
        <v>235</v>
      </c>
      <c r="H385">
        <v>1</v>
      </c>
      <c r="I385" t="s">
        <v>98</v>
      </c>
      <c r="J385">
        <v>0</v>
      </c>
      <c r="K385">
        <v>2</v>
      </c>
      <c r="L385">
        <v>5</v>
      </c>
      <c r="M385">
        <v>89</v>
      </c>
      <c r="N385">
        <v>480</v>
      </c>
      <c r="O385">
        <v>1</v>
      </c>
      <c r="P385">
        <v>480</v>
      </c>
      <c r="Q385">
        <v>1</v>
      </c>
      <c r="R385">
        <v>97</v>
      </c>
      <c r="S385">
        <v>22</v>
      </c>
      <c r="U385">
        <v>2</v>
      </c>
      <c r="V385">
        <v>0</v>
      </c>
      <c r="W385">
        <v>1</v>
      </c>
      <c r="X385">
        <v>61</v>
      </c>
      <c r="Y385">
        <v>3</v>
      </c>
      <c r="Z385">
        <v>0</v>
      </c>
      <c r="AB385">
        <v>276</v>
      </c>
      <c r="AC385" t="s">
        <v>105</v>
      </c>
      <c r="AD385" t="s">
        <v>105</v>
      </c>
      <c r="AE385" t="s">
        <v>105</v>
      </c>
      <c r="AF385" t="s">
        <v>105</v>
      </c>
      <c r="AK385" t="s">
        <v>105</v>
      </c>
      <c r="AL385" t="s">
        <v>105</v>
      </c>
      <c r="AM385" t="s">
        <v>105</v>
      </c>
      <c r="AN385" t="s">
        <v>105</v>
      </c>
      <c r="BC385" t="s">
        <v>105</v>
      </c>
      <c r="BD385">
        <v>17</v>
      </c>
      <c r="BE385">
        <v>480</v>
      </c>
      <c r="BF385">
        <v>480</v>
      </c>
      <c r="BG385">
        <v>547</v>
      </c>
      <c r="BI385" t="s">
        <v>106</v>
      </c>
      <c r="BJ385">
        <v>1</v>
      </c>
      <c r="BL385" t="s">
        <v>883</v>
      </c>
      <c r="BM385" s="4">
        <v>43283.537800925929</v>
      </c>
      <c r="BN385" s="4">
        <v>43283.545972222222</v>
      </c>
      <c r="BO385" s="4">
        <v>43283.545972222222</v>
      </c>
      <c r="BP385" t="s">
        <v>92</v>
      </c>
      <c r="BQ385" t="s">
        <v>93</v>
      </c>
      <c r="BR385" t="s">
        <v>94</v>
      </c>
    </row>
    <row r="386" spans="1:70" x14ac:dyDescent="0.3">
      <c r="A386" t="str">
        <f>"200236B0100"</f>
        <v>200236B0100</v>
      </c>
      <c r="B386" t="s">
        <v>884</v>
      </c>
      <c r="C386">
        <v>20</v>
      </c>
      <c r="D386" t="s">
        <v>88</v>
      </c>
      <c r="E386">
        <v>39</v>
      </c>
      <c r="F386" t="s">
        <v>885</v>
      </c>
      <c r="G386">
        <v>236</v>
      </c>
      <c r="H386">
        <v>1</v>
      </c>
      <c r="I386" t="s">
        <v>90</v>
      </c>
      <c r="J386">
        <v>0</v>
      </c>
      <c r="K386">
        <v>2</v>
      </c>
      <c r="L386">
        <v>5</v>
      </c>
      <c r="M386">
        <v>125</v>
      </c>
      <c r="N386">
        <v>500</v>
      </c>
      <c r="O386">
        <v>8</v>
      </c>
      <c r="P386">
        <v>499</v>
      </c>
      <c r="Q386">
        <v>3</v>
      </c>
      <c r="R386">
        <v>71</v>
      </c>
      <c r="S386">
        <v>114</v>
      </c>
      <c r="U386">
        <v>4</v>
      </c>
      <c r="V386">
        <v>4</v>
      </c>
      <c r="W386">
        <v>43</v>
      </c>
      <c r="X386">
        <v>27</v>
      </c>
      <c r="Y386">
        <v>183</v>
      </c>
      <c r="Z386">
        <v>0</v>
      </c>
      <c r="AA386">
        <v>28</v>
      </c>
      <c r="AC386">
        <v>0</v>
      </c>
      <c r="AD386">
        <v>1</v>
      </c>
      <c r="AE386">
        <v>0</v>
      </c>
      <c r="AF386">
        <v>0</v>
      </c>
      <c r="AK386">
        <v>2</v>
      </c>
      <c r="AL386">
        <v>2</v>
      </c>
      <c r="AM386">
        <v>0</v>
      </c>
      <c r="AN386">
        <v>1</v>
      </c>
      <c r="AU386">
        <v>2</v>
      </c>
      <c r="BC386">
        <v>0</v>
      </c>
      <c r="BD386">
        <v>14</v>
      </c>
      <c r="BE386">
        <v>499</v>
      </c>
      <c r="BF386">
        <v>499</v>
      </c>
      <c r="BG386">
        <v>603</v>
      </c>
      <c r="BJ386">
        <v>1</v>
      </c>
      <c r="BL386" t="s">
        <v>886</v>
      </c>
      <c r="BM386" s="4">
        <v>43283.271319444444</v>
      </c>
      <c r="BN386" s="4">
        <v>43283.29859953704</v>
      </c>
      <c r="BO386" s="4">
        <v>43283.29859953704</v>
      </c>
      <c r="BP386" t="s">
        <v>92</v>
      </c>
      <c r="BQ386" t="s">
        <v>93</v>
      </c>
      <c r="BR386" t="s">
        <v>94</v>
      </c>
    </row>
    <row r="387" spans="1:70" x14ac:dyDescent="0.3">
      <c r="A387" t="str">
        <f>"200236C0100"</f>
        <v>200236C0100</v>
      </c>
      <c r="B387" t="s">
        <v>887</v>
      </c>
      <c r="C387">
        <v>20</v>
      </c>
      <c r="D387" t="s">
        <v>88</v>
      </c>
      <c r="E387">
        <v>39</v>
      </c>
      <c r="F387" t="s">
        <v>885</v>
      </c>
      <c r="G387">
        <v>236</v>
      </c>
      <c r="H387">
        <v>1</v>
      </c>
      <c r="I387" t="s">
        <v>98</v>
      </c>
      <c r="J387">
        <v>0</v>
      </c>
      <c r="K387">
        <v>2</v>
      </c>
      <c r="L387">
        <v>5</v>
      </c>
      <c r="M387">
        <v>146</v>
      </c>
      <c r="N387">
        <v>624</v>
      </c>
      <c r="O387">
        <v>9</v>
      </c>
      <c r="P387">
        <v>479</v>
      </c>
      <c r="Q387">
        <v>1</v>
      </c>
      <c r="R387">
        <v>63</v>
      </c>
      <c r="S387">
        <v>118</v>
      </c>
      <c r="U387">
        <v>7</v>
      </c>
      <c r="V387">
        <v>1</v>
      </c>
      <c r="W387">
        <v>55</v>
      </c>
      <c r="X387">
        <v>24</v>
      </c>
      <c r="Y387">
        <v>159</v>
      </c>
      <c r="Z387">
        <v>1</v>
      </c>
      <c r="AA387">
        <v>34</v>
      </c>
      <c r="AC387">
        <v>1</v>
      </c>
      <c r="AD387">
        <v>0</v>
      </c>
      <c r="AE387">
        <v>0</v>
      </c>
      <c r="AF387">
        <v>0</v>
      </c>
      <c r="AK387">
        <v>0</v>
      </c>
      <c r="AL387">
        <v>0</v>
      </c>
      <c r="AM387">
        <v>0</v>
      </c>
      <c r="AN387">
        <v>2</v>
      </c>
      <c r="AU387">
        <v>2</v>
      </c>
      <c r="BC387">
        <v>0</v>
      </c>
      <c r="BD387">
        <v>11</v>
      </c>
      <c r="BE387">
        <v>479</v>
      </c>
      <c r="BF387">
        <v>479</v>
      </c>
      <c r="BG387">
        <v>602</v>
      </c>
      <c r="BJ387">
        <v>1</v>
      </c>
      <c r="BL387" t="s">
        <v>888</v>
      </c>
      <c r="BM387" s="4">
        <v>43283.232476851852</v>
      </c>
      <c r="BN387" s="4">
        <v>43283.254606481481</v>
      </c>
      <c r="BO387" s="4">
        <v>43283.254606481481</v>
      </c>
      <c r="BP387" t="s">
        <v>92</v>
      </c>
      <c r="BQ387" t="s">
        <v>93</v>
      </c>
      <c r="BR387" t="s">
        <v>94</v>
      </c>
    </row>
    <row r="388" spans="1:70" x14ac:dyDescent="0.3">
      <c r="A388" t="str">
        <f>"200236C0200"</f>
        <v>200236C0200</v>
      </c>
      <c r="B388" t="s">
        <v>889</v>
      </c>
      <c r="C388">
        <v>20</v>
      </c>
      <c r="D388" t="s">
        <v>88</v>
      </c>
      <c r="E388">
        <v>39</v>
      </c>
      <c r="F388" t="s">
        <v>885</v>
      </c>
      <c r="G388">
        <v>236</v>
      </c>
      <c r="H388">
        <v>2</v>
      </c>
      <c r="I388" t="s">
        <v>98</v>
      </c>
      <c r="J388">
        <v>0</v>
      </c>
      <c r="K388">
        <v>2</v>
      </c>
      <c r="L388">
        <v>5</v>
      </c>
      <c r="M388">
        <v>137</v>
      </c>
      <c r="N388">
        <v>487</v>
      </c>
      <c r="O388">
        <v>0</v>
      </c>
      <c r="P388">
        <v>487</v>
      </c>
      <c r="Q388">
        <v>2</v>
      </c>
      <c r="R388">
        <v>74</v>
      </c>
      <c r="S388">
        <v>127</v>
      </c>
      <c r="U388">
        <v>7</v>
      </c>
      <c r="V388">
        <v>0</v>
      </c>
      <c r="W388">
        <v>27</v>
      </c>
      <c r="X388">
        <v>31</v>
      </c>
      <c r="Y388">
        <v>158</v>
      </c>
      <c r="Z388">
        <v>0</v>
      </c>
      <c r="AA388">
        <v>32</v>
      </c>
      <c r="AC388">
        <v>0</v>
      </c>
      <c r="AD388">
        <v>0</v>
      </c>
      <c r="AE388">
        <v>0</v>
      </c>
      <c r="AF388">
        <v>0</v>
      </c>
      <c r="AK388">
        <v>4</v>
      </c>
      <c r="AL388">
        <v>0</v>
      </c>
      <c r="AM388">
        <v>0</v>
      </c>
      <c r="AN388">
        <v>1</v>
      </c>
      <c r="AU388">
        <v>6</v>
      </c>
      <c r="BC388" t="s">
        <v>105</v>
      </c>
      <c r="BD388">
        <v>18</v>
      </c>
      <c r="BE388">
        <v>487</v>
      </c>
      <c r="BF388">
        <v>487</v>
      </c>
      <c r="BG388">
        <v>602</v>
      </c>
      <c r="BI388" t="s">
        <v>106</v>
      </c>
      <c r="BJ388">
        <v>1</v>
      </c>
      <c r="BL388" t="s">
        <v>890</v>
      </c>
      <c r="BM388" s="4">
        <v>43283.235162037039</v>
      </c>
      <c r="BN388" s="4">
        <v>43283.257465277777</v>
      </c>
      <c r="BO388" s="4">
        <v>43283.257465277777</v>
      </c>
      <c r="BP388" t="s">
        <v>92</v>
      </c>
      <c r="BQ388" t="s">
        <v>93</v>
      </c>
      <c r="BR388" t="s">
        <v>94</v>
      </c>
    </row>
    <row r="389" spans="1:70" x14ac:dyDescent="0.3">
      <c r="A389" t="str">
        <f>"200237B0100"</f>
        <v>200237B0100</v>
      </c>
      <c r="B389" t="s">
        <v>891</v>
      </c>
      <c r="C389">
        <v>20</v>
      </c>
      <c r="D389" t="s">
        <v>88</v>
      </c>
      <c r="E389">
        <v>39</v>
      </c>
      <c r="F389" t="s">
        <v>885</v>
      </c>
      <c r="G389">
        <v>237</v>
      </c>
      <c r="H389">
        <v>1</v>
      </c>
      <c r="I389" t="s">
        <v>90</v>
      </c>
      <c r="J389">
        <v>0</v>
      </c>
      <c r="K389">
        <v>2</v>
      </c>
      <c r="L389">
        <v>5</v>
      </c>
      <c r="M389">
        <v>133</v>
      </c>
      <c r="N389">
        <v>396</v>
      </c>
      <c r="O389">
        <v>10</v>
      </c>
      <c r="P389">
        <v>5</v>
      </c>
      <c r="Q389">
        <v>3</v>
      </c>
      <c r="R389">
        <v>61</v>
      </c>
      <c r="S389">
        <v>123</v>
      </c>
      <c r="U389">
        <v>12</v>
      </c>
      <c r="V389">
        <v>0</v>
      </c>
      <c r="W389">
        <v>20</v>
      </c>
      <c r="X389">
        <v>22</v>
      </c>
      <c r="Y389">
        <v>119</v>
      </c>
      <c r="Z389">
        <v>1</v>
      </c>
      <c r="AA389">
        <v>8</v>
      </c>
      <c r="AC389">
        <v>1</v>
      </c>
      <c r="AD389">
        <v>1</v>
      </c>
      <c r="AE389">
        <v>0</v>
      </c>
      <c r="AF389">
        <v>1</v>
      </c>
      <c r="AK389">
        <v>2</v>
      </c>
      <c r="AL389">
        <v>1</v>
      </c>
      <c r="AM389">
        <v>0</v>
      </c>
      <c r="AN389">
        <v>1</v>
      </c>
      <c r="AU389">
        <v>3</v>
      </c>
      <c r="BC389">
        <v>0</v>
      </c>
      <c r="BD389">
        <v>18</v>
      </c>
      <c r="BE389">
        <v>397</v>
      </c>
      <c r="BF389">
        <v>397</v>
      </c>
      <c r="BG389">
        <v>508</v>
      </c>
      <c r="BJ389">
        <v>1</v>
      </c>
      <c r="BL389" t="s">
        <v>892</v>
      </c>
      <c r="BM389" s="4">
        <v>43283.257268518515</v>
      </c>
      <c r="BN389" s="4">
        <v>43283.283437500002</v>
      </c>
      <c r="BO389" s="4">
        <v>43283.283437500002</v>
      </c>
      <c r="BP389" t="s">
        <v>92</v>
      </c>
      <c r="BQ389" t="s">
        <v>93</v>
      </c>
      <c r="BR389" t="s">
        <v>94</v>
      </c>
    </row>
    <row r="390" spans="1:70" x14ac:dyDescent="0.3">
      <c r="A390" t="str">
        <f>"200237C0100"</f>
        <v>200237C0100</v>
      </c>
      <c r="B390" t="s">
        <v>893</v>
      </c>
      <c r="C390">
        <v>20</v>
      </c>
      <c r="D390" t="s">
        <v>88</v>
      </c>
      <c r="E390">
        <v>39</v>
      </c>
      <c r="F390" t="s">
        <v>885</v>
      </c>
      <c r="G390">
        <v>237</v>
      </c>
      <c r="H390">
        <v>1</v>
      </c>
      <c r="I390" t="s">
        <v>98</v>
      </c>
      <c r="J390">
        <v>0</v>
      </c>
      <c r="K390">
        <v>2</v>
      </c>
      <c r="L390">
        <v>5</v>
      </c>
      <c r="M390">
        <v>136</v>
      </c>
      <c r="N390">
        <v>394</v>
      </c>
      <c r="O390">
        <v>4</v>
      </c>
      <c r="P390">
        <v>397</v>
      </c>
      <c r="Q390">
        <v>4</v>
      </c>
      <c r="R390">
        <v>48</v>
      </c>
      <c r="S390">
        <v>119</v>
      </c>
      <c r="U390">
        <v>23</v>
      </c>
      <c r="V390">
        <v>3</v>
      </c>
      <c r="W390">
        <v>19</v>
      </c>
      <c r="X390">
        <v>24</v>
      </c>
      <c r="Y390">
        <v>128</v>
      </c>
      <c r="Z390">
        <v>1</v>
      </c>
      <c r="AA390">
        <v>5</v>
      </c>
      <c r="AC390">
        <v>0</v>
      </c>
      <c r="AD390">
        <v>0</v>
      </c>
      <c r="AE390">
        <v>0</v>
      </c>
      <c r="AF390">
        <v>2</v>
      </c>
      <c r="AK390">
        <v>1</v>
      </c>
      <c r="AL390">
        <v>0</v>
      </c>
      <c r="AM390">
        <v>0</v>
      </c>
      <c r="AN390">
        <v>0</v>
      </c>
      <c r="AU390">
        <v>2</v>
      </c>
      <c r="BC390">
        <v>0</v>
      </c>
      <c r="BD390">
        <v>18</v>
      </c>
      <c r="BE390">
        <v>397</v>
      </c>
      <c r="BF390">
        <v>397</v>
      </c>
      <c r="BG390">
        <v>508</v>
      </c>
      <c r="BJ390">
        <v>1</v>
      </c>
      <c r="BL390" t="s">
        <v>894</v>
      </c>
      <c r="BM390" s="4">
        <v>43283.216296296298</v>
      </c>
      <c r="BN390" s="4">
        <v>43283.245532407411</v>
      </c>
      <c r="BO390" s="4">
        <v>43283.245532407411</v>
      </c>
      <c r="BP390" t="s">
        <v>92</v>
      </c>
      <c r="BQ390" t="s">
        <v>93</v>
      </c>
      <c r="BR390" t="s">
        <v>94</v>
      </c>
    </row>
    <row r="391" spans="1:70" x14ac:dyDescent="0.3">
      <c r="A391" t="str">
        <f>"200237C0200"</f>
        <v>200237C0200</v>
      </c>
      <c r="B391" t="s">
        <v>895</v>
      </c>
      <c r="C391">
        <v>20</v>
      </c>
      <c r="D391" t="s">
        <v>88</v>
      </c>
      <c r="E391">
        <v>39</v>
      </c>
      <c r="F391" t="s">
        <v>885</v>
      </c>
      <c r="G391">
        <v>237</v>
      </c>
      <c r="H391">
        <v>2</v>
      </c>
      <c r="I391" t="s">
        <v>98</v>
      </c>
      <c r="J391">
        <v>0</v>
      </c>
      <c r="K391">
        <v>2</v>
      </c>
      <c r="L391">
        <v>5</v>
      </c>
      <c r="M391">
        <v>149</v>
      </c>
      <c r="N391">
        <v>0</v>
      </c>
      <c r="O391">
        <v>0</v>
      </c>
      <c r="P391">
        <v>378</v>
      </c>
      <c r="Q391">
        <v>4</v>
      </c>
      <c r="R391">
        <v>43</v>
      </c>
      <c r="S391">
        <v>113</v>
      </c>
      <c r="U391">
        <v>18</v>
      </c>
      <c r="V391">
        <v>6</v>
      </c>
      <c r="W391">
        <v>24</v>
      </c>
      <c r="X391">
        <v>25</v>
      </c>
      <c r="Y391">
        <v>113</v>
      </c>
      <c r="Z391">
        <v>0</v>
      </c>
      <c r="AA391">
        <v>3</v>
      </c>
      <c r="AC391">
        <v>1</v>
      </c>
      <c r="AD391">
        <v>0</v>
      </c>
      <c r="AE391">
        <v>0</v>
      </c>
      <c r="AF391">
        <v>1</v>
      </c>
      <c r="AK391">
        <v>2</v>
      </c>
      <c r="AL391">
        <v>0</v>
      </c>
      <c r="AM391">
        <v>0</v>
      </c>
      <c r="AN391">
        <v>0</v>
      </c>
      <c r="AU391">
        <v>4</v>
      </c>
      <c r="BC391">
        <v>0</v>
      </c>
      <c r="BD391">
        <v>21</v>
      </c>
      <c r="BE391">
        <v>378</v>
      </c>
      <c r="BF391">
        <v>378</v>
      </c>
      <c r="BG391">
        <v>507</v>
      </c>
      <c r="BJ391">
        <v>1</v>
      </c>
      <c r="BL391" t="s">
        <v>896</v>
      </c>
      <c r="BM391" s="4">
        <v>43283.200138888889</v>
      </c>
      <c r="BN391" s="4">
        <v>43283.216157407405</v>
      </c>
      <c r="BO391" s="4">
        <v>43283.216157407405</v>
      </c>
      <c r="BP391" t="s">
        <v>92</v>
      </c>
      <c r="BQ391" t="s">
        <v>93</v>
      </c>
      <c r="BR391" t="s">
        <v>94</v>
      </c>
    </row>
    <row r="392" spans="1:70" x14ac:dyDescent="0.3">
      <c r="A392" t="str">
        <f>"200238B0100"</f>
        <v>200238B0100</v>
      </c>
      <c r="B392" t="s">
        <v>897</v>
      </c>
      <c r="C392">
        <v>20</v>
      </c>
      <c r="D392" t="s">
        <v>88</v>
      </c>
      <c r="E392">
        <v>39</v>
      </c>
      <c r="F392" t="s">
        <v>885</v>
      </c>
      <c r="G392">
        <v>238</v>
      </c>
      <c r="H392">
        <v>1</v>
      </c>
      <c r="I392" t="s">
        <v>90</v>
      </c>
      <c r="J392">
        <v>0</v>
      </c>
      <c r="K392">
        <v>1</v>
      </c>
      <c r="L392">
        <v>5</v>
      </c>
      <c r="M392">
        <v>137</v>
      </c>
      <c r="N392">
        <v>531</v>
      </c>
      <c r="O392">
        <v>1</v>
      </c>
      <c r="P392">
        <v>531</v>
      </c>
      <c r="Q392">
        <v>6</v>
      </c>
      <c r="R392">
        <v>88</v>
      </c>
      <c r="S392">
        <v>113</v>
      </c>
      <c r="U392">
        <v>18</v>
      </c>
      <c r="V392">
        <v>3</v>
      </c>
      <c r="W392">
        <v>78</v>
      </c>
      <c r="X392">
        <v>16</v>
      </c>
      <c r="Y392">
        <v>169</v>
      </c>
      <c r="Z392">
        <v>1</v>
      </c>
      <c r="AA392">
        <v>18</v>
      </c>
      <c r="AC392">
        <v>1</v>
      </c>
      <c r="AD392">
        <v>1</v>
      </c>
      <c r="AE392">
        <v>0</v>
      </c>
      <c r="AF392">
        <v>0</v>
      </c>
      <c r="AK392">
        <v>2</v>
      </c>
      <c r="AL392">
        <v>1</v>
      </c>
      <c r="AM392">
        <v>0</v>
      </c>
      <c r="AN392">
        <v>1</v>
      </c>
      <c r="AU392">
        <v>0</v>
      </c>
      <c r="BC392">
        <v>0</v>
      </c>
      <c r="BD392">
        <v>21</v>
      </c>
      <c r="BE392">
        <v>531</v>
      </c>
      <c r="BF392">
        <v>537</v>
      </c>
      <c r="BG392">
        <v>646</v>
      </c>
      <c r="BJ392">
        <v>1</v>
      </c>
      <c r="BL392" t="s">
        <v>898</v>
      </c>
      <c r="BM392" s="4">
        <v>43283.211261574077</v>
      </c>
      <c r="BN392" s="4">
        <v>43283.231157407405</v>
      </c>
      <c r="BO392" s="4">
        <v>43283.231157407405</v>
      </c>
      <c r="BP392" t="s">
        <v>92</v>
      </c>
      <c r="BQ392" t="s">
        <v>93</v>
      </c>
      <c r="BR392" t="s">
        <v>94</v>
      </c>
    </row>
    <row r="393" spans="1:70" x14ac:dyDescent="0.3">
      <c r="A393" t="str">
        <f>"200238C0100"</f>
        <v>200238C0100</v>
      </c>
      <c r="B393" t="s">
        <v>899</v>
      </c>
      <c r="C393">
        <v>20</v>
      </c>
      <c r="D393" t="s">
        <v>88</v>
      </c>
      <c r="E393">
        <v>39</v>
      </c>
      <c r="F393" t="s">
        <v>885</v>
      </c>
      <c r="G393">
        <v>238</v>
      </c>
      <c r="H393">
        <v>1</v>
      </c>
      <c r="I393" t="s">
        <v>98</v>
      </c>
      <c r="J393">
        <v>0</v>
      </c>
      <c r="K393">
        <v>1</v>
      </c>
      <c r="L393">
        <v>5</v>
      </c>
      <c r="M393">
        <v>143</v>
      </c>
      <c r="N393">
        <v>524</v>
      </c>
      <c r="O393">
        <v>4</v>
      </c>
      <c r="P393">
        <v>524</v>
      </c>
      <c r="Q393">
        <v>3</v>
      </c>
      <c r="R393">
        <v>73</v>
      </c>
      <c r="S393">
        <v>87</v>
      </c>
      <c r="U393">
        <v>13</v>
      </c>
      <c r="V393">
        <v>2</v>
      </c>
      <c r="W393">
        <v>85</v>
      </c>
      <c r="X393">
        <v>31</v>
      </c>
      <c r="Y393">
        <v>184</v>
      </c>
      <c r="Z393">
        <v>3</v>
      </c>
      <c r="AA393">
        <v>25</v>
      </c>
      <c r="AC393">
        <v>2</v>
      </c>
      <c r="AD393">
        <v>1</v>
      </c>
      <c r="AE393">
        <v>0</v>
      </c>
      <c r="AF393">
        <v>0</v>
      </c>
      <c r="AK393">
        <v>0</v>
      </c>
      <c r="AL393">
        <v>1</v>
      </c>
      <c r="AM393">
        <v>0</v>
      </c>
      <c r="AN393">
        <v>3</v>
      </c>
      <c r="AU393">
        <v>1</v>
      </c>
      <c r="BC393">
        <v>0</v>
      </c>
      <c r="BD393">
        <v>10</v>
      </c>
      <c r="BE393">
        <v>524</v>
      </c>
      <c r="BF393">
        <v>524</v>
      </c>
      <c r="BG393">
        <v>645</v>
      </c>
      <c r="BJ393">
        <v>1</v>
      </c>
      <c r="BL393" t="s">
        <v>900</v>
      </c>
      <c r="BM393" s="4">
        <v>43283.223506944443</v>
      </c>
      <c r="BN393" s="4">
        <v>43283.248206018521</v>
      </c>
      <c r="BO393" s="4">
        <v>43283.248206018521</v>
      </c>
      <c r="BP393" t="s">
        <v>92</v>
      </c>
      <c r="BQ393" t="s">
        <v>93</v>
      </c>
      <c r="BR393" t="s">
        <v>94</v>
      </c>
    </row>
    <row r="394" spans="1:70" x14ac:dyDescent="0.3">
      <c r="A394" t="str">
        <f>"200239B0100"</f>
        <v>200239B0100</v>
      </c>
      <c r="B394" t="s">
        <v>901</v>
      </c>
      <c r="C394">
        <v>20</v>
      </c>
      <c r="D394" t="s">
        <v>88</v>
      </c>
      <c r="E394">
        <v>39</v>
      </c>
      <c r="F394" t="s">
        <v>885</v>
      </c>
      <c r="G394">
        <v>239</v>
      </c>
      <c r="H394">
        <v>1</v>
      </c>
      <c r="I394" t="s">
        <v>90</v>
      </c>
      <c r="J394">
        <v>0</v>
      </c>
      <c r="K394">
        <v>2</v>
      </c>
      <c r="L394">
        <v>5</v>
      </c>
      <c r="M394">
        <v>135</v>
      </c>
      <c r="N394">
        <v>464</v>
      </c>
      <c r="O394">
        <v>3</v>
      </c>
      <c r="P394">
        <v>464</v>
      </c>
      <c r="Q394">
        <v>2</v>
      </c>
      <c r="R394">
        <v>69</v>
      </c>
      <c r="S394">
        <v>93</v>
      </c>
      <c r="U394">
        <v>9</v>
      </c>
      <c r="V394">
        <v>2</v>
      </c>
      <c r="W394">
        <v>59</v>
      </c>
      <c r="X394">
        <v>27</v>
      </c>
      <c r="Y394">
        <v>173</v>
      </c>
      <c r="Z394">
        <v>3</v>
      </c>
      <c r="AA394">
        <v>8</v>
      </c>
      <c r="AC394">
        <v>1</v>
      </c>
      <c r="AD394">
        <v>0</v>
      </c>
      <c r="AE394">
        <v>1</v>
      </c>
      <c r="AF394">
        <v>1</v>
      </c>
      <c r="AK394">
        <v>2</v>
      </c>
      <c r="AL394">
        <v>2</v>
      </c>
      <c r="AM394">
        <v>0</v>
      </c>
      <c r="AN394">
        <v>1</v>
      </c>
      <c r="AU394">
        <v>1</v>
      </c>
      <c r="BC394">
        <v>0</v>
      </c>
      <c r="BD394">
        <v>10</v>
      </c>
      <c r="BE394">
        <v>464</v>
      </c>
      <c r="BF394">
        <v>464</v>
      </c>
      <c r="BG394">
        <v>577</v>
      </c>
      <c r="BJ394">
        <v>1</v>
      </c>
      <c r="BL394" t="s">
        <v>902</v>
      </c>
      <c r="BM394" s="4">
        <v>43283.058645833335</v>
      </c>
      <c r="BN394" s="4">
        <v>43283.06349537037</v>
      </c>
      <c r="BO394" s="4">
        <v>43283.06349537037</v>
      </c>
      <c r="BP394" t="s">
        <v>92</v>
      </c>
      <c r="BQ394" t="s">
        <v>93</v>
      </c>
      <c r="BR394" t="s">
        <v>94</v>
      </c>
    </row>
    <row r="395" spans="1:70" x14ac:dyDescent="0.3">
      <c r="A395" t="str">
        <f>"200239C0100"</f>
        <v>200239C0100</v>
      </c>
      <c r="B395" t="s">
        <v>903</v>
      </c>
      <c r="C395">
        <v>20</v>
      </c>
      <c r="D395" t="s">
        <v>88</v>
      </c>
      <c r="E395">
        <v>39</v>
      </c>
      <c r="F395" t="s">
        <v>885</v>
      </c>
      <c r="G395">
        <v>239</v>
      </c>
      <c r="H395">
        <v>1</v>
      </c>
      <c r="I395" t="s">
        <v>98</v>
      </c>
      <c r="J395">
        <v>0</v>
      </c>
      <c r="K395">
        <v>2</v>
      </c>
      <c r="L395">
        <v>5</v>
      </c>
      <c r="M395">
        <v>158</v>
      </c>
      <c r="N395">
        <v>441</v>
      </c>
      <c r="O395">
        <v>7</v>
      </c>
      <c r="P395">
        <v>441</v>
      </c>
      <c r="Q395">
        <v>3</v>
      </c>
      <c r="R395">
        <v>95</v>
      </c>
      <c r="S395">
        <v>107</v>
      </c>
      <c r="U395">
        <v>7</v>
      </c>
      <c r="V395">
        <v>3</v>
      </c>
      <c r="W395">
        <v>30</v>
      </c>
      <c r="X395">
        <v>20</v>
      </c>
      <c r="Y395">
        <v>149</v>
      </c>
      <c r="Z395">
        <v>1</v>
      </c>
      <c r="AA395">
        <v>6</v>
      </c>
      <c r="AC395">
        <v>2</v>
      </c>
      <c r="AD395">
        <v>0</v>
      </c>
      <c r="AE395">
        <v>0</v>
      </c>
      <c r="AF395">
        <v>1</v>
      </c>
      <c r="AK395">
        <v>3</v>
      </c>
      <c r="AL395">
        <v>0</v>
      </c>
      <c r="AM395">
        <v>0</v>
      </c>
      <c r="AN395">
        <v>0</v>
      </c>
      <c r="AU395">
        <v>4</v>
      </c>
      <c r="BC395">
        <v>0</v>
      </c>
      <c r="BD395">
        <v>10</v>
      </c>
      <c r="BE395">
        <v>441</v>
      </c>
      <c r="BF395">
        <v>441</v>
      </c>
      <c r="BG395">
        <v>577</v>
      </c>
      <c r="BJ395">
        <v>1</v>
      </c>
      <c r="BL395" t="s">
        <v>904</v>
      </c>
      <c r="BM395" s="4">
        <v>43283.244756944441</v>
      </c>
      <c r="BN395" s="4">
        <v>43283.266793981478</v>
      </c>
      <c r="BO395" s="4">
        <v>43283.266793981478</v>
      </c>
      <c r="BP395" t="s">
        <v>92</v>
      </c>
      <c r="BQ395" t="s">
        <v>93</v>
      </c>
      <c r="BR395" t="s">
        <v>254</v>
      </c>
    </row>
    <row r="396" spans="1:70" x14ac:dyDescent="0.3">
      <c r="A396" t="str">
        <f>"200239C0200"</f>
        <v>200239C0200</v>
      </c>
      <c r="B396" t="s">
        <v>905</v>
      </c>
      <c r="C396">
        <v>20</v>
      </c>
      <c r="D396" t="s">
        <v>88</v>
      </c>
      <c r="E396">
        <v>39</v>
      </c>
      <c r="F396" t="s">
        <v>885</v>
      </c>
      <c r="G396">
        <v>239</v>
      </c>
      <c r="H396">
        <v>2</v>
      </c>
      <c r="I396" t="s">
        <v>98</v>
      </c>
      <c r="J396">
        <v>0</v>
      </c>
      <c r="K396">
        <v>2</v>
      </c>
      <c r="L396">
        <v>5</v>
      </c>
      <c r="M396">
        <v>152</v>
      </c>
      <c r="N396">
        <v>446</v>
      </c>
      <c r="O396">
        <v>9</v>
      </c>
      <c r="P396">
        <v>446</v>
      </c>
      <c r="Q396">
        <v>2</v>
      </c>
      <c r="R396">
        <v>73</v>
      </c>
      <c r="S396">
        <v>107</v>
      </c>
      <c r="U396">
        <v>4</v>
      </c>
      <c r="V396">
        <v>3</v>
      </c>
      <c r="W396">
        <v>33</v>
      </c>
      <c r="X396">
        <v>32</v>
      </c>
      <c r="Y396">
        <v>146</v>
      </c>
      <c r="Z396">
        <v>1</v>
      </c>
      <c r="AA396">
        <v>18</v>
      </c>
      <c r="AC396">
        <v>4</v>
      </c>
      <c r="AD396">
        <v>0</v>
      </c>
      <c r="AE396">
        <v>0</v>
      </c>
      <c r="AF396">
        <v>0</v>
      </c>
      <c r="AK396">
        <v>2</v>
      </c>
      <c r="AL396">
        <v>4</v>
      </c>
      <c r="AM396">
        <v>0</v>
      </c>
      <c r="AN396">
        <v>1</v>
      </c>
      <c r="AU396">
        <v>3</v>
      </c>
      <c r="BC396">
        <v>0</v>
      </c>
      <c r="BD396">
        <v>13</v>
      </c>
      <c r="BE396">
        <v>446</v>
      </c>
      <c r="BF396">
        <v>446</v>
      </c>
      <c r="BG396">
        <v>576</v>
      </c>
      <c r="BJ396">
        <v>1</v>
      </c>
      <c r="BL396" t="s">
        <v>906</v>
      </c>
      <c r="BM396" s="4">
        <v>43283.086736111109</v>
      </c>
      <c r="BN396" s="4">
        <v>43283.091469907406</v>
      </c>
      <c r="BO396" s="4">
        <v>43283.091469907406</v>
      </c>
      <c r="BP396" t="s">
        <v>92</v>
      </c>
      <c r="BQ396" t="s">
        <v>93</v>
      </c>
      <c r="BR396" t="s">
        <v>94</v>
      </c>
    </row>
    <row r="397" spans="1:70" x14ac:dyDescent="0.3">
      <c r="A397" t="str">
        <f>"200240B0100"</f>
        <v>200240B0100</v>
      </c>
      <c r="B397" t="s">
        <v>907</v>
      </c>
      <c r="C397">
        <v>20</v>
      </c>
      <c r="D397" t="s">
        <v>88</v>
      </c>
      <c r="E397">
        <v>39</v>
      </c>
      <c r="F397" t="s">
        <v>885</v>
      </c>
      <c r="G397">
        <v>240</v>
      </c>
      <c r="H397">
        <v>1</v>
      </c>
      <c r="I397" t="s">
        <v>90</v>
      </c>
      <c r="J397">
        <v>0</v>
      </c>
      <c r="K397">
        <v>1</v>
      </c>
      <c r="L397">
        <v>5</v>
      </c>
      <c r="M397">
        <v>130</v>
      </c>
      <c r="N397">
        <v>446</v>
      </c>
      <c r="O397">
        <v>6</v>
      </c>
      <c r="P397">
        <v>446</v>
      </c>
      <c r="Q397">
        <v>2</v>
      </c>
      <c r="R397">
        <v>106</v>
      </c>
      <c r="S397">
        <v>70</v>
      </c>
      <c r="U397">
        <v>4</v>
      </c>
      <c r="V397">
        <v>1</v>
      </c>
      <c r="W397">
        <v>44</v>
      </c>
      <c r="X397">
        <v>19</v>
      </c>
      <c r="Y397">
        <v>159</v>
      </c>
      <c r="Z397">
        <v>0</v>
      </c>
      <c r="AA397">
        <v>14</v>
      </c>
      <c r="AC397">
        <v>0</v>
      </c>
      <c r="AD397">
        <v>1</v>
      </c>
      <c r="AE397">
        <v>0</v>
      </c>
      <c r="AF397">
        <v>2</v>
      </c>
      <c r="AK397">
        <v>1</v>
      </c>
      <c r="AL397">
        <v>0</v>
      </c>
      <c r="AM397">
        <v>0</v>
      </c>
      <c r="AN397">
        <v>0</v>
      </c>
      <c r="AU397">
        <v>2</v>
      </c>
      <c r="BC397">
        <v>0</v>
      </c>
      <c r="BD397">
        <v>21</v>
      </c>
      <c r="BE397">
        <v>446</v>
      </c>
      <c r="BF397">
        <v>446</v>
      </c>
      <c r="BG397">
        <v>554</v>
      </c>
      <c r="BJ397">
        <v>1</v>
      </c>
      <c r="BL397" t="s">
        <v>908</v>
      </c>
      <c r="BM397" s="4">
        <v>43283.188125000001</v>
      </c>
      <c r="BN397" s="4">
        <v>43283.205324074072</v>
      </c>
      <c r="BO397" s="4">
        <v>43283.205324074072</v>
      </c>
      <c r="BP397" t="s">
        <v>92</v>
      </c>
      <c r="BQ397" t="s">
        <v>93</v>
      </c>
      <c r="BR397" t="s">
        <v>94</v>
      </c>
    </row>
    <row r="398" spans="1:70" x14ac:dyDescent="0.3">
      <c r="A398" t="str">
        <f>"200240C0100"</f>
        <v>200240C0100</v>
      </c>
      <c r="B398" t="s">
        <v>909</v>
      </c>
      <c r="C398">
        <v>20</v>
      </c>
      <c r="D398" t="s">
        <v>88</v>
      </c>
      <c r="E398">
        <v>39</v>
      </c>
      <c r="F398" t="s">
        <v>885</v>
      </c>
      <c r="G398">
        <v>240</v>
      </c>
      <c r="H398">
        <v>1</v>
      </c>
      <c r="I398" t="s">
        <v>98</v>
      </c>
      <c r="J398">
        <v>0</v>
      </c>
      <c r="K398">
        <v>2</v>
      </c>
      <c r="L398">
        <v>5</v>
      </c>
      <c r="M398">
        <v>109</v>
      </c>
      <c r="N398">
        <v>466</v>
      </c>
      <c r="O398">
        <v>6</v>
      </c>
      <c r="P398">
        <v>0</v>
      </c>
      <c r="Q398">
        <v>0</v>
      </c>
      <c r="R398">
        <v>81</v>
      </c>
      <c r="S398">
        <v>64</v>
      </c>
      <c r="U398">
        <v>5</v>
      </c>
      <c r="V398">
        <v>0</v>
      </c>
      <c r="W398">
        <v>55</v>
      </c>
      <c r="X398">
        <v>29</v>
      </c>
      <c r="Y398">
        <v>192</v>
      </c>
      <c r="Z398">
        <v>0</v>
      </c>
      <c r="AA398">
        <v>8</v>
      </c>
      <c r="AC398">
        <v>1</v>
      </c>
      <c r="AD398">
        <v>1</v>
      </c>
      <c r="AE398">
        <v>0</v>
      </c>
      <c r="AF398">
        <v>0</v>
      </c>
      <c r="AK398">
        <v>2</v>
      </c>
      <c r="AL398">
        <v>0</v>
      </c>
      <c r="AM398">
        <v>0</v>
      </c>
      <c r="AN398">
        <v>0</v>
      </c>
      <c r="AU398">
        <v>1</v>
      </c>
      <c r="BC398">
        <v>0</v>
      </c>
      <c r="BD398">
        <v>27</v>
      </c>
      <c r="BE398">
        <v>466</v>
      </c>
      <c r="BF398">
        <v>466</v>
      </c>
      <c r="BG398">
        <v>553</v>
      </c>
      <c r="BJ398">
        <v>1</v>
      </c>
      <c r="BL398" t="s">
        <v>910</v>
      </c>
      <c r="BM398" s="4">
        <v>43283.175925925927</v>
      </c>
      <c r="BN398" s="4">
        <v>43283.189988425926</v>
      </c>
      <c r="BO398" s="4">
        <v>43283.189988425926</v>
      </c>
      <c r="BP398" t="s">
        <v>92</v>
      </c>
      <c r="BQ398" t="s">
        <v>93</v>
      </c>
      <c r="BR398" t="s">
        <v>94</v>
      </c>
    </row>
    <row r="399" spans="1:70" x14ac:dyDescent="0.3">
      <c r="A399" t="str">
        <f>"200240S0100"</f>
        <v>200240S0100</v>
      </c>
      <c r="B399" t="s">
        <v>911</v>
      </c>
      <c r="C399">
        <v>20</v>
      </c>
      <c r="D399" t="s">
        <v>88</v>
      </c>
      <c r="E399">
        <v>39</v>
      </c>
      <c r="F399" t="s">
        <v>885</v>
      </c>
      <c r="G399">
        <v>240</v>
      </c>
      <c r="H399">
        <v>1</v>
      </c>
      <c r="I399" t="s">
        <v>113</v>
      </c>
      <c r="J399">
        <v>0</v>
      </c>
      <c r="K399">
        <v>1</v>
      </c>
      <c r="L399">
        <v>6</v>
      </c>
      <c r="M399">
        <v>751</v>
      </c>
      <c r="N399">
        <v>21</v>
      </c>
      <c r="O399">
        <v>0</v>
      </c>
      <c r="P399">
        <v>21</v>
      </c>
      <c r="Q399">
        <v>0</v>
      </c>
      <c r="R399">
        <v>0</v>
      </c>
      <c r="S399">
        <v>2</v>
      </c>
      <c r="U399">
        <v>0</v>
      </c>
      <c r="V399">
        <v>0</v>
      </c>
      <c r="W399">
        <v>5</v>
      </c>
      <c r="X399">
        <v>1</v>
      </c>
      <c r="Y399">
        <v>12</v>
      </c>
      <c r="Z399">
        <v>0</v>
      </c>
      <c r="AA399">
        <v>0</v>
      </c>
      <c r="AC399">
        <v>0</v>
      </c>
      <c r="AD399">
        <v>0</v>
      </c>
      <c r="AE399">
        <v>0</v>
      </c>
      <c r="AF399">
        <v>0</v>
      </c>
      <c r="AK399">
        <v>0</v>
      </c>
      <c r="AL399">
        <v>0</v>
      </c>
      <c r="AM399">
        <v>0</v>
      </c>
      <c r="AN399">
        <v>0</v>
      </c>
      <c r="AU399">
        <v>0</v>
      </c>
      <c r="BC399">
        <v>0</v>
      </c>
      <c r="BD399">
        <v>1</v>
      </c>
      <c r="BE399">
        <v>21</v>
      </c>
      <c r="BF399">
        <v>21</v>
      </c>
      <c r="BG399">
        <v>0</v>
      </c>
      <c r="BJ399">
        <v>1</v>
      </c>
      <c r="BL399" t="s">
        <v>912</v>
      </c>
      <c r="BM399" s="4">
        <v>43283.18644675926</v>
      </c>
      <c r="BN399" s="4">
        <v>43283.202997685185</v>
      </c>
      <c r="BO399" s="4">
        <v>43283.202997685185</v>
      </c>
      <c r="BP399" t="s">
        <v>92</v>
      </c>
      <c r="BQ399" t="s">
        <v>93</v>
      </c>
      <c r="BR399" t="s">
        <v>94</v>
      </c>
    </row>
    <row r="400" spans="1:70" x14ac:dyDescent="0.3">
      <c r="A400" t="str">
        <f>"200241B0100"</f>
        <v>200241B0100</v>
      </c>
      <c r="B400" t="s">
        <v>913</v>
      </c>
      <c r="C400">
        <v>20</v>
      </c>
      <c r="D400" t="s">
        <v>88</v>
      </c>
      <c r="E400">
        <v>39</v>
      </c>
      <c r="F400" t="s">
        <v>885</v>
      </c>
      <c r="G400">
        <v>241</v>
      </c>
      <c r="H400">
        <v>1</v>
      </c>
      <c r="I400" t="s">
        <v>90</v>
      </c>
      <c r="J400">
        <v>0</v>
      </c>
      <c r="K400">
        <v>1</v>
      </c>
      <c r="L400">
        <v>5</v>
      </c>
      <c r="M400">
        <v>165</v>
      </c>
      <c r="N400">
        <v>548</v>
      </c>
      <c r="O400">
        <v>5</v>
      </c>
      <c r="P400">
        <v>548</v>
      </c>
      <c r="Q400">
        <v>1</v>
      </c>
      <c r="R400">
        <v>90</v>
      </c>
      <c r="S400">
        <v>145</v>
      </c>
      <c r="U400">
        <v>17</v>
      </c>
      <c r="V400">
        <v>1</v>
      </c>
      <c r="W400">
        <v>39</v>
      </c>
      <c r="X400">
        <v>25</v>
      </c>
      <c r="Y400">
        <v>98</v>
      </c>
      <c r="Z400">
        <v>0</v>
      </c>
      <c r="AA400">
        <v>4</v>
      </c>
      <c r="AC400">
        <v>0</v>
      </c>
      <c r="AD400">
        <v>0</v>
      </c>
      <c r="AE400">
        <v>0</v>
      </c>
      <c r="AF400">
        <v>0</v>
      </c>
      <c r="AK400">
        <v>5</v>
      </c>
      <c r="AL400">
        <v>1</v>
      </c>
      <c r="AM400">
        <v>0</v>
      </c>
      <c r="AN400">
        <v>0</v>
      </c>
      <c r="AU400">
        <v>6</v>
      </c>
      <c r="BC400">
        <v>0</v>
      </c>
      <c r="BD400">
        <v>16</v>
      </c>
      <c r="BE400">
        <v>548</v>
      </c>
      <c r="BF400">
        <v>448</v>
      </c>
      <c r="BG400">
        <v>691</v>
      </c>
      <c r="BJ400">
        <v>1</v>
      </c>
      <c r="BL400" t="s">
        <v>914</v>
      </c>
      <c r="BM400" s="4">
        <v>43283.182384259257</v>
      </c>
      <c r="BN400" s="4">
        <v>43283.20171296296</v>
      </c>
      <c r="BO400" s="4">
        <v>43283.20171296296</v>
      </c>
      <c r="BP400" t="s">
        <v>92</v>
      </c>
      <c r="BQ400" t="s">
        <v>93</v>
      </c>
      <c r="BR400" t="s">
        <v>94</v>
      </c>
    </row>
    <row r="401" spans="1:70" x14ac:dyDescent="0.3">
      <c r="A401" t="str">
        <f>"200241C0100"</f>
        <v>200241C0100</v>
      </c>
      <c r="B401" t="s">
        <v>915</v>
      </c>
      <c r="C401">
        <v>20</v>
      </c>
      <c r="D401" t="s">
        <v>88</v>
      </c>
      <c r="E401">
        <v>39</v>
      </c>
      <c r="F401" t="s">
        <v>885</v>
      </c>
      <c r="G401">
        <v>241</v>
      </c>
      <c r="H401">
        <v>1</v>
      </c>
      <c r="I401" t="s">
        <v>98</v>
      </c>
      <c r="J401">
        <v>0</v>
      </c>
      <c r="K401">
        <v>1</v>
      </c>
      <c r="L401">
        <v>5</v>
      </c>
      <c r="M401">
        <v>198</v>
      </c>
      <c r="N401">
        <v>514</v>
      </c>
      <c r="O401">
        <v>6</v>
      </c>
      <c r="P401">
        <v>512</v>
      </c>
      <c r="Q401">
        <v>4</v>
      </c>
      <c r="R401">
        <v>68</v>
      </c>
      <c r="S401">
        <v>137</v>
      </c>
      <c r="U401">
        <v>18</v>
      </c>
      <c r="V401">
        <v>1</v>
      </c>
      <c r="W401">
        <v>52</v>
      </c>
      <c r="X401">
        <v>24</v>
      </c>
      <c r="Y401">
        <v>177</v>
      </c>
      <c r="Z401">
        <v>2</v>
      </c>
      <c r="AA401">
        <v>6</v>
      </c>
      <c r="AC401">
        <v>1</v>
      </c>
      <c r="AD401">
        <v>1</v>
      </c>
      <c r="AE401">
        <v>0</v>
      </c>
      <c r="AF401">
        <v>0</v>
      </c>
      <c r="AK401">
        <v>2</v>
      </c>
      <c r="AL401">
        <v>2</v>
      </c>
      <c r="AM401">
        <v>0</v>
      </c>
      <c r="AN401">
        <v>0</v>
      </c>
      <c r="AU401">
        <v>3</v>
      </c>
      <c r="BC401" t="s">
        <v>105</v>
      </c>
      <c r="BD401" t="s">
        <v>105</v>
      </c>
      <c r="BE401">
        <v>514</v>
      </c>
      <c r="BF401">
        <v>498</v>
      </c>
      <c r="BG401">
        <v>690</v>
      </c>
      <c r="BI401" t="s">
        <v>106</v>
      </c>
      <c r="BJ401">
        <v>1</v>
      </c>
      <c r="BL401" t="s">
        <v>916</v>
      </c>
      <c r="BM401" s="4">
        <v>43283.192094907405</v>
      </c>
      <c r="BN401" s="4">
        <v>43283.214618055557</v>
      </c>
      <c r="BO401" s="4">
        <v>43283.214618055557</v>
      </c>
      <c r="BP401" t="s">
        <v>92</v>
      </c>
      <c r="BQ401" t="s">
        <v>93</v>
      </c>
      <c r="BR401" t="s">
        <v>94</v>
      </c>
    </row>
    <row r="402" spans="1:70" x14ac:dyDescent="0.3">
      <c r="A402" t="str">
        <f>"200242B0100"</f>
        <v>200242B0100</v>
      </c>
      <c r="B402" t="s">
        <v>917</v>
      </c>
      <c r="C402">
        <v>20</v>
      </c>
      <c r="D402" t="s">
        <v>88</v>
      </c>
      <c r="E402">
        <v>39</v>
      </c>
      <c r="F402" t="s">
        <v>885</v>
      </c>
      <c r="G402">
        <v>242</v>
      </c>
      <c r="H402">
        <v>1</v>
      </c>
      <c r="I402" t="s">
        <v>90</v>
      </c>
      <c r="J402">
        <v>0</v>
      </c>
      <c r="K402">
        <v>2</v>
      </c>
      <c r="L402">
        <v>5</v>
      </c>
      <c r="M402">
        <v>112</v>
      </c>
      <c r="N402">
        <v>279</v>
      </c>
      <c r="O402">
        <v>8</v>
      </c>
      <c r="P402">
        <v>279</v>
      </c>
      <c r="Q402">
        <v>2</v>
      </c>
      <c r="R402">
        <v>70</v>
      </c>
      <c r="S402">
        <v>73</v>
      </c>
      <c r="U402">
        <v>3</v>
      </c>
      <c r="V402">
        <v>2</v>
      </c>
      <c r="W402">
        <v>4</v>
      </c>
      <c r="X402">
        <v>25</v>
      </c>
      <c r="Y402">
        <v>84</v>
      </c>
      <c r="Z402">
        <v>0</v>
      </c>
      <c r="AA402">
        <v>0</v>
      </c>
      <c r="AC402">
        <v>2</v>
      </c>
      <c r="AD402">
        <v>0</v>
      </c>
      <c r="AE402">
        <v>0</v>
      </c>
      <c r="AF402">
        <v>0</v>
      </c>
      <c r="AK402">
        <v>0</v>
      </c>
      <c r="AL402">
        <v>0</v>
      </c>
      <c r="AM402">
        <v>0</v>
      </c>
      <c r="AN402">
        <v>0</v>
      </c>
      <c r="AU402">
        <v>0</v>
      </c>
      <c r="BC402">
        <v>0</v>
      </c>
      <c r="BD402">
        <v>14</v>
      </c>
      <c r="BE402">
        <v>279</v>
      </c>
      <c r="BF402">
        <v>279</v>
      </c>
      <c r="BG402">
        <v>369</v>
      </c>
      <c r="BJ402">
        <v>1</v>
      </c>
      <c r="BL402" t="s">
        <v>918</v>
      </c>
      <c r="BM402" s="4">
        <v>43283.260717592595</v>
      </c>
      <c r="BN402" s="4">
        <v>43283.285196759258</v>
      </c>
      <c r="BO402" s="4">
        <v>43283.285196759258</v>
      </c>
      <c r="BP402" t="s">
        <v>92</v>
      </c>
      <c r="BQ402" t="s">
        <v>93</v>
      </c>
      <c r="BR402" t="s">
        <v>94</v>
      </c>
    </row>
    <row r="403" spans="1:70" x14ac:dyDescent="0.3">
      <c r="A403" t="str">
        <f>"200243B0100"</f>
        <v>200243B0100</v>
      </c>
      <c r="B403" t="s">
        <v>919</v>
      </c>
      <c r="C403">
        <v>20</v>
      </c>
      <c r="D403" t="s">
        <v>88</v>
      </c>
      <c r="E403">
        <v>39</v>
      </c>
      <c r="F403" t="s">
        <v>885</v>
      </c>
      <c r="G403">
        <v>243</v>
      </c>
      <c r="H403">
        <v>1</v>
      </c>
      <c r="I403" t="s">
        <v>90</v>
      </c>
      <c r="J403">
        <v>0</v>
      </c>
      <c r="K403">
        <v>2</v>
      </c>
      <c r="L403">
        <v>5</v>
      </c>
      <c r="M403">
        <v>125</v>
      </c>
      <c r="N403">
        <v>280</v>
      </c>
      <c r="O403">
        <v>7</v>
      </c>
      <c r="P403" t="s">
        <v>105</v>
      </c>
      <c r="Q403">
        <v>2</v>
      </c>
      <c r="R403">
        <v>56</v>
      </c>
      <c r="S403">
        <v>62</v>
      </c>
      <c r="U403">
        <v>0</v>
      </c>
      <c r="V403">
        <v>3</v>
      </c>
      <c r="W403">
        <v>1</v>
      </c>
      <c r="X403">
        <v>6</v>
      </c>
      <c r="Y403">
        <v>6</v>
      </c>
      <c r="Z403">
        <v>114</v>
      </c>
      <c r="AA403">
        <v>4</v>
      </c>
      <c r="AC403">
        <v>2</v>
      </c>
      <c r="AD403">
        <v>0</v>
      </c>
      <c r="AE403">
        <v>0</v>
      </c>
      <c r="AF403">
        <v>1</v>
      </c>
      <c r="AK403">
        <v>0</v>
      </c>
      <c r="AL403">
        <v>1</v>
      </c>
      <c r="AM403">
        <v>0</v>
      </c>
      <c r="AN403">
        <v>0</v>
      </c>
      <c r="AU403">
        <v>0</v>
      </c>
      <c r="BC403">
        <v>0</v>
      </c>
      <c r="BD403">
        <v>13</v>
      </c>
      <c r="BE403">
        <v>272</v>
      </c>
      <c r="BF403">
        <v>271</v>
      </c>
      <c r="BG403">
        <v>376</v>
      </c>
      <c r="BJ403">
        <v>1</v>
      </c>
      <c r="BL403" t="s">
        <v>920</v>
      </c>
      <c r="BM403" s="4">
        <v>43283.194722222222</v>
      </c>
      <c r="BN403" s="4">
        <v>43283.209849537037</v>
      </c>
      <c r="BO403" s="4">
        <v>43283.209849537037</v>
      </c>
      <c r="BP403" t="s">
        <v>92</v>
      </c>
      <c r="BQ403" t="s">
        <v>93</v>
      </c>
      <c r="BR403" t="s">
        <v>94</v>
      </c>
    </row>
    <row r="404" spans="1:70" x14ac:dyDescent="0.3">
      <c r="A404" t="str">
        <f>"200243C0100"</f>
        <v>200243C0100</v>
      </c>
      <c r="B404" t="s">
        <v>921</v>
      </c>
      <c r="C404">
        <v>20</v>
      </c>
      <c r="D404" t="s">
        <v>88</v>
      </c>
      <c r="E404">
        <v>39</v>
      </c>
      <c r="F404" t="s">
        <v>885</v>
      </c>
      <c r="G404">
        <v>243</v>
      </c>
      <c r="H404">
        <v>1</v>
      </c>
      <c r="I404" t="s">
        <v>98</v>
      </c>
      <c r="J404">
        <v>0</v>
      </c>
      <c r="K404">
        <v>2</v>
      </c>
      <c r="L404">
        <v>5</v>
      </c>
      <c r="M404">
        <v>108</v>
      </c>
      <c r="N404">
        <v>290</v>
      </c>
      <c r="O404">
        <v>7</v>
      </c>
      <c r="P404">
        <v>290</v>
      </c>
      <c r="Q404">
        <v>5</v>
      </c>
      <c r="R404">
        <v>66</v>
      </c>
      <c r="S404">
        <v>50</v>
      </c>
      <c r="U404">
        <v>3</v>
      </c>
      <c r="V404">
        <v>1</v>
      </c>
      <c r="W404">
        <v>8</v>
      </c>
      <c r="X404">
        <v>8</v>
      </c>
      <c r="Y404">
        <v>131</v>
      </c>
      <c r="Z404">
        <v>1</v>
      </c>
      <c r="AA404">
        <v>0</v>
      </c>
      <c r="AC404">
        <v>4</v>
      </c>
      <c r="AD404">
        <v>1</v>
      </c>
      <c r="AE404">
        <v>0</v>
      </c>
      <c r="AF404">
        <v>0</v>
      </c>
      <c r="AK404">
        <v>0</v>
      </c>
      <c r="AL404">
        <v>2</v>
      </c>
      <c r="AM404">
        <v>0</v>
      </c>
      <c r="AN404">
        <v>0</v>
      </c>
      <c r="AU404">
        <v>0</v>
      </c>
      <c r="BC404">
        <v>0</v>
      </c>
      <c r="BD404">
        <v>10</v>
      </c>
      <c r="BE404" t="s">
        <v>105</v>
      </c>
      <c r="BF404">
        <v>290</v>
      </c>
      <c r="BG404">
        <v>376</v>
      </c>
      <c r="BJ404">
        <v>1</v>
      </c>
      <c r="BL404" t="s">
        <v>922</v>
      </c>
      <c r="BM404" s="4">
        <v>43283.207916666666</v>
      </c>
      <c r="BN404" s="4">
        <v>43283.22928240741</v>
      </c>
      <c r="BO404" s="4">
        <v>43283.22928240741</v>
      </c>
      <c r="BP404" t="s">
        <v>92</v>
      </c>
      <c r="BQ404" t="s">
        <v>93</v>
      </c>
      <c r="BR404" t="s">
        <v>94</v>
      </c>
    </row>
    <row r="405" spans="1:70" x14ac:dyDescent="0.3">
      <c r="A405" t="str">
        <f>"200244B0100"</f>
        <v>200244B0100</v>
      </c>
      <c r="B405" t="s">
        <v>923</v>
      </c>
      <c r="C405">
        <v>20</v>
      </c>
      <c r="D405" t="s">
        <v>88</v>
      </c>
      <c r="E405">
        <v>39</v>
      </c>
      <c r="F405" t="s">
        <v>885</v>
      </c>
      <c r="G405">
        <v>244</v>
      </c>
      <c r="H405">
        <v>1</v>
      </c>
      <c r="I405" t="s">
        <v>90</v>
      </c>
      <c r="J405">
        <v>0</v>
      </c>
      <c r="K405">
        <v>2</v>
      </c>
      <c r="L405">
        <v>5</v>
      </c>
      <c r="M405">
        <v>172</v>
      </c>
      <c r="N405">
        <v>544</v>
      </c>
      <c r="O405">
        <v>9</v>
      </c>
      <c r="P405">
        <v>544</v>
      </c>
      <c r="Q405">
        <v>2</v>
      </c>
      <c r="R405">
        <v>183</v>
      </c>
      <c r="S405">
        <v>79</v>
      </c>
      <c r="U405">
        <v>12</v>
      </c>
      <c r="V405">
        <v>1</v>
      </c>
      <c r="W405">
        <v>15</v>
      </c>
      <c r="X405">
        <v>14</v>
      </c>
      <c r="Y405">
        <v>200</v>
      </c>
      <c r="Z405">
        <v>2</v>
      </c>
      <c r="AA405">
        <v>6</v>
      </c>
      <c r="AC405">
        <v>0</v>
      </c>
      <c r="AD405">
        <v>1</v>
      </c>
      <c r="AE405">
        <v>0</v>
      </c>
      <c r="AF405">
        <v>1</v>
      </c>
      <c r="AK405">
        <v>2</v>
      </c>
      <c r="AL405">
        <v>0</v>
      </c>
      <c r="AM405">
        <v>0</v>
      </c>
      <c r="AN405">
        <v>1</v>
      </c>
      <c r="AU405">
        <v>1</v>
      </c>
      <c r="BC405">
        <v>0</v>
      </c>
      <c r="BD405">
        <v>24</v>
      </c>
      <c r="BE405">
        <v>544</v>
      </c>
      <c r="BF405">
        <v>544</v>
      </c>
      <c r="BG405">
        <v>694</v>
      </c>
      <c r="BJ405">
        <v>1</v>
      </c>
      <c r="BL405" t="s">
        <v>924</v>
      </c>
      <c r="BM405" s="4">
        <v>43283.196076388886</v>
      </c>
      <c r="BN405" s="4">
        <v>43283.212395833332</v>
      </c>
      <c r="BO405" s="4">
        <v>43283.212395833332</v>
      </c>
      <c r="BP405" t="s">
        <v>92</v>
      </c>
      <c r="BQ405" t="s">
        <v>93</v>
      </c>
      <c r="BR405" t="s">
        <v>94</v>
      </c>
    </row>
    <row r="406" spans="1:70" x14ac:dyDescent="0.3">
      <c r="A406" t="str">
        <f>"200244E0100"</f>
        <v>200244E0100</v>
      </c>
      <c r="B406" s="2" t="s">
        <v>925</v>
      </c>
      <c r="C406">
        <v>20</v>
      </c>
      <c r="D406" t="s">
        <v>88</v>
      </c>
      <c r="E406">
        <v>39</v>
      </c>
      <c r="F406" t="s">
        <v>885</v>
      </c>
      <c r="G406">
        <v>244</v>
      </c>
      <c r="H406">
        <v>1</v>
      </c>
      <c r="I406" t="s">
        <v>156</v>
      </c>
      <c r="J406">
        <v>0</v>
      </c>
      <c r="K406">
        <v>2</v>
      </c>
      <c r="L406">
        <v>5</v>
      </c>
      <c r="M406">
        <v>127</v>
      </c>
      <c r="N406">
        <v>255</v>
      </c>
      <c r="O406">
        <v>8</v>
      </c>
      <c r="P406">
        <v>220</v>
      </c>
      <c r="Q406">
        <v>3</v>
      </c>
      <c r="R406">
        <v>35</v>
      </c>
      <c r="S406">
        <v>63</v>
      </c>
      <c r="U406">
        <v>9</v>
      </c>
      <c r="V406">
        <v>2</v>
      </c>
      <c r="W406">
        <v>28</v>
      </c>
      <c r="X406">
        <v>21</v>
      </c>
      <c r="Y406">
        <v>59</v>
      </c>
      <c r="Z406">
        <v>2</v>
      </c>
      <c r="AA406">
        <v>6</v>
      </c>
      <c r="AC406">
        <v>0</v>
      </c>
      <c r="AD406">
        <v>1</v>
      </c>
      <c r="AE406">
        <v>0</v>
      </c>
      <c r="AF406">
        <v>0</v>
      </c>
      <c r="AK406">
        <v>1</v>
      </c>
      <c r="AL406">
        <v>0</v>
      </c>
      <c r="AM406">
        <v>0</v>
      </c>
      <c r="AN406">
        <v>0</v>
      </c>
      <c r="AU406">
        <v>1</v>
      </c>
      <c r="BC406" t="s">
        <v>105</v>
      </c>
      <c r="BD406">
        <v>25</v>
      </c>
      <c r="BE406">
        <v>255</v>
      </c>
      <c r="BF406">
        <v>256</v>
      </c>
      <c r="BG406">
        <v>361</v>
      </c>
      <c r="BI406" t="s">
        <v>106</v>
      </c>
      <c r="BJ406">
        <v>1</v>
      </c>
      <c r="BL406" t="s">
        <v>926</v>
      </c>
      <c r="BM406" s="4">
        <v>43283.255011574074</v>
      </c>
      <c r="BN406" s="4">
        <v>43283.278611111113</v>
      </c>
      <c r="BO406" s="4">
        <v>43283.278611111113</v>
      </c>
      <c r="BP406" t="s">
        <v>92</v>
      </c>
      <c r="BQ406" t="s">
        <v>93</v>
      </c>
      <c r="BR406" t="s">
        <v>94</v>
      </c>
    </row>
    <row r="407" spans="1:70" x14ac:dyDescent="0.3">
      <c r="A407" t="str">
        <f>"200245B0100"</f>
        <v>200245B0100</v>
      </c>
      <c r="B407" t="s">
        <v>927</v>
      </c>
      <c r="C407">
        <v>20</v>
      </c>
      <c r="D407" t="s">
        <v>88</v>
      </c>
      <c r="E407">
        <v>39</v>
      </c>
      <c r="F407" t="s">
        <v>885</v>
      </c>
      <c r="G407">
        <v>245</v>
      </c>
      <c r="H407">
        <v>1</v>
      </c>
      <c r="I407" t="s">
        <v>90</v>
      </c>
      <c r="J407">
        <v>0</v>
      </c>
      <c r="K407">
        <v>2</v>
      </c>
      <c r="L407">
        <v>5</v>
      </c>
      <c r="M407">
        <v>93</v>
      </c>
      <c r="N407">
        <v>263</v>
      </c>
      <c r="O407">
        <v>6</v>
      </c>
      <c r="P407">
        <v>263</v>
      </c>
      <c r="Q407">
        <v>1</v>
      </c>
      <c r="R407">
        <v>26</v>
      </c>
      <c r="S407">
        <v>40</v>
      </c>
      <c r="U407">
        <v>4</v>
      </c>
      <c r="V407">
        <v>2</v>
      </c>
      <c r="W407">
        <v>2</v>
      </c>
      <c r="X407">
        <v>106</v>
      </c>
      <c r="Y407">
        <v>71</v>
      </c>
      <c r="Z407" t="s">
        <v>105</v>
      </c>
      <c r="AA407">
        <v>1</v>
      </c>
      <c r="AC407" t="s">
        <v>105</v>
      </c>
      <c r="AD407" t="s">
        <v>105</v>
      </c>
      <c r="AE407" t="s">
        <v>105</v>
      </c>
      <c r="AF407" t="s">
        <v>105</v>
      </c>
      <c r="AK407">
        <v>1</v>
      </c>
      <c r="AL407" t="s">
        <v>105</v>
      </c>
      <c r="AM407" t="s">
        <v>105</v>
      </c>
      <c r="AN407">
        <v>1</v>
      </c>
      <c r="AU407" t="s">
        <v>105</v>
      </c>
      <c r="BC407" t="s">
        <v>105</v>
      </c>
      <c r="BD407">
        <v>7</v>
      </c>
      <c r="BE407">
        <v>263</v>
      </c>
      <c r="BF407">
        <v>262</v>
      </c>
      <c r="BG407">
        <v>334</v>
      </c>
      <c r="BI407" t="s">
        <v>106</v>
      </c>
      <c r="BJ407">
        <v>1</v>
      </c>
      <c r="BL407" t="s">
        <v>928</v>
      </c>
      <c r="BM407" s="4">
        <v>43283.239201388889</v>
      </c>
      <c r="BN407" s="4">
        <v>43283.261064814818</v>
      </c>
      <c r="BO407" s="4">
        <v>43283.261064814818</v>
      </c>
      <c r="BP407" t="s">
        <v>92</v>
      </c>
      <c r="BQ407" t="s">
        <v>93</v>
      </c>
      <c r="BR407" t="s">
        <v>94</v>
      </c>
    </row>
    <row r="408" spans="1:70" x14ac:dyDescent="0.3">
      <c r="A408" t="str">
        <f>"200246B0100"</f>
        <v>200246B0100</v>
      </c>
      <c r="B408" t="s">
        <v>929</v>
      </c>
      <c r="C408">
        <v>20</v>
      </c>
      <c r="D408" t="s">
        <v>88</v>
      </c>
      <c r="E408">
        <v>39</v>
      </c>
      <c r="F408" t="s">
        <v>885</v>
      </c>
      <c r="G408">
        <v>246</v>
      </c>
      <c r="H408">
        <v>1</v>
      </c>
      <c r="I408" t="s">
        <v>90</v>
      </c>
      <c r="J408">
        <v>0</v>
      </c>
      <c r="K408">
        <v>2</v>
      </c>
      <c r="L408">
        <v>5</v>
      </c>
      <c r="M408">
        <v>217</v>
      </c>
      <c r="N408">
        <v>551</v>
      </c>
      <c r="O408">
        <v>8</v>
      </c>
      <c r="P408" t="s">
        <v>105</v>
      </c>
      <c r="Q408">
        <v>7</v>
      </c>
      <c r="R408">
        <v>54</v>
      </c>
      <c r="S408">
        <v>36</v>
      </c>
      <c r="U408">
        <v>9</v>
      </c>
      <c r="V408">
        <v>0</v>
      </c>
      <c r="W408">
        <v>6</v>
      </c>
      <c r="X408">
        <v>250</v>
      </c>
      <c r="Y408">
        <v>171</v>
      </c>
      <c r="Z408">
        <v>3</v>
      </c>
      <c r="AA408">
        <v>5</v>
      </c>
      <c r="AC408">
        <v>0</v>
      </c>
      <c r="AD408">
        <v>0</v>
      </c>
      <c r="AE408">
        <v>0</v>
      </c>
      <c r="AF408">
        <v>0</v>
      </c>
      <c r="AK408">
        <v>0</v>
      </c>
      <c r="AL408">
        <v>0</v>
      </c>
      <c r="AM408">
        <v>0</v>
      </c>
      <c r="AN408">
        <v>0</v>
      </c>
      <c r="AU408">
        <v>0</v>
      </c>
      <c r="BC408">
        <v>0</v>
      </c>
      <c r="BD408">
        <v>7</v>
      </c>
      <c r="BE408">
        <v>551</v>
      </c>
      <c r="BF408">
        <v>548</v>
      </c>
      <c r="BG408">
        <v>746</v>
      </c>
      <c r="BJ408">
        <v>1</v>
      </c>
      <c r="BL408" t="s">
        <v>930</v>
      </c>
      <c r="BM408" s="4">
        <v>43283.406921296293</v>
      </c>
      <c r="BN408" s="4">
        <v>43283.411423611113</v>
      </c>
      <c r="BO408" s="4">
        <v>43283.411423611113</v>
      </c>
      <c r="BP408" t="s">
        <v>92</v>
      </c>
      <c r="BQ408" t="s">
        <v>93</v>
      </c>
      <c r="BR408" t="s">
        <v>94</v>
      </c>
    </row>
    <row r="409" spans="1:70" x14ac:dyDescent="0.3">
      <c r="A409" t="str">
        <f>"200246E0100"</f>
        <v>200246E0100</v>
      </c>
      <c r="B409" s="2" t="s">
        <v>931</v>
      </c>
      <c r="C409">
        <v>20</v>
      </c>
      <c r="D409" t="s">
        <v>88</v>
      </c>
      <c r="E409">
        <v>39</v>
      </c>
      <c r="F409" t="s">
        <v>885</v>
      </c>
      <c r="G409">
        <v>246</v>
      </c>
      <c r="H409">
        <v>1</v>
      </c>
      <c r="I409" t="s">
        <v>156</v>
      </c>
      <c r="J409">
        <v>0</v>
      </c>
      <c r="K409">
        <v>2</v>
      </c>
      <c r="L409">
        <v>5</v>
      </c>
      <c r="M409">
        <v>73</v>
      </c>
      <c r="N409">
        <v>179</v>
      </c>
      <c r="O409">
        <v>7</v>
      </c>
      <c r="P409">
        <v>179</v>
      </c>
      <c r="Q409">
        <v>1</v>
      </c>
      <c r="R409">
        <v>85</v>
      </c>
      <c r="S409">
        <v>49</v>
      </c>
      <c r="U409">
        <v>0</v>
      </c>
      <c r="V409">
        <v>0</v>
      </c>
      <c r="W409">
        <v>0</v>
      </c>
      <c r="X409">
        <v>7</v>
      </c>
      <c r="Y409">
        <v>26</v>
      </c>
      <c r="Z409">
        <v>0</v>
      </c>
      <c r="AA409">
        <v>0</v>
      </c>
      <c r="AC409">
        <v>0</v>
      </c>
      <c r="AD409">
        <v>1</v>
      </c>
      <c r="AE409">
        <v>0</v>
      </c>
      <c r="AF409">
        <v>0</v>
      </c>
      <c r="AK409">
        <v>0</v>
      </c>
      <c r="AL409">
        <v>0</v>
      </c>
      <c r="AM409">
        <v>1</v>
      </c>
      <c r="AN409">
        <v>0</v>
      </c>
      <c r="AU409">
        <v>1</v>
      </c>
      <c r="BC409">
        <v>0</v>
      </c>
      <c r="BD409">
        <v>8</v>
      </c>
      <c r="BE409">
        <v>179</v>
      </c>
      <c r="BF409">
        <v>179</v>
      </c>
      <c r="BG409">
        <v>230</v>
      </c>
      <c r="BJ409">
        <v>1</v>
      </c>
      <c r="BL409" t="s">
        <v>932</v>
      </c>
      <c r="BM409" s="4">
        <v>43283.412002314813</v>
      </c>
      <c r="BN409" s="4">
        <v>43283.417048611111</v>
      </c>
      <c r="BO409" s="4">
        <v>43283.417048611111</v>
      </c>
      <c r="BP409" t="s">
        <v>92</v>
      </c>
      <c r="BQ409" t="s">
        <v>93</v>
      </c>
      <c r="BR409" t="s">
        <v>94</v>
      </c>
    </row>
    <row r="410" spans="1:70" x14ac:dyDescent="0.3">
      <c r="A410" t="str">
        <f>"200247B0100"</f>
        <v>200247B0100</v>
      </c>
      <c r="B410" t="s">
        <v>933</v>
      </c>
      <c r="C410">
        <v>20</v>
      </c>
      <c r="D410" t="s">
        <v>88</v>
      </c>
      <c r="E410">
        <v>39</v>
      </c>
      <c r="F410" t="s">
        <v>885</v>
      </c>
      <c r="G410">
        <v>247</v>
      </c>
      <c r="H410">
        <v>1</v>
      </c>
      <c r="I410" t="s">
        <v>90</v>
      </c>
      <c r="J410">
        <v>0</v>
      </c>
      <c r="K410">
        <v>2</v>
      </c>
      <c r="L410">
        <v>5</v>
      </c>
      <c r="M410">
        <v>165</v>
      </c>
      <c r="N410">
        <v>551</v>
      </c>
      <c r="O410">
        <v>6</v>
      </c>
      <c r="P410">
        <v>551</v>
      </c>
      <c r="Q410">
        <v>2</v>
      </c>
      <c r="R410">
        <v>167</v>
      </c>
      <c r="S410">
        <v>163</v>
      </c>
      <c r="U410">
        <v>4</v>
      </c>
      <c r="V410">
        <v>4</v>
      </c>
      <c r="W410">
        <v>11</v>
      </c>
      <c r="X410">
        <v>17</v>
      </c>
      <c r="Y410">
        <v>156</v>
      </c>
      <c r="Z410">
        <v>2</v>
      </c>
      <c r="AA410">
        <v>0</v>
      </c>
      <c r="AC410">
        <v>0</v>
      </c>
      <c r="AD410">
        <v>0</v>
      </c>
      <c r="AE410">
        <v>0</v>
      </c>
      <c r="AF410">
        <v>0</v>
      </c>
      <c r="AK410">
        <v>0</v>
      </c>
      <c r="AL410">
        <v>0</v>
      </c>
      <c r="AM410">
        <v>0</v>
      </c>
      <c r="AN410">
        <v>1</v>
      </c>
      <c r="AU410">
        <v>1</v>
      </c>
      <c r="BC410">
        <v>0</v>
      </c>
      <c r="BD410">
        <v>23</v>
      </c>
      <c r="BE410">
        <v>551</v>
      </c>
      <c r="BF410">
        <v>551</v>
      </c>
      <c r="BG410">
        <v>694</v>
      </c>
      <c r="BJ410">
        <v>1</v>
      </c>
      <c r="BL410" t="s">
        <v>934</v>
      </c>
      <c r="BM410" s="4">
        <v>43283.156006944446</v>
      </c>
      <c r="BN410" s="4">
        <v>43283.167025462964</v>
      </c>
      <c r="BO410" s="4">
        <v>43283.167025462964</v>
      </c>
      <c r="BP410" t="s">
        <v>92</v>
      </c>
      <c r="BQ410" t="s">
        <v>93</v>
      </c>
      <c r="BR410" t="s">
        <v>94</v>
      </c>
    </row>
    <row r="411" spans="1:70" x14ac:dyDescent="0.3">
      <c r="A411" t="str">
        <f>"200247E0100"</f>
        <v>200247E0100</v>
      </c>
      <c r="B411" s="2" t="s">
        <v>935</v>
      </c>
      <c r="C411">
        <v>20</v>
      </c>
      <c r="D411" t="s">
        <v>88</v>
      </c>
      <c r="E411">
        <v>39</v>
      </c>
      <c r="F411" t="s">
        <v>885</v>
      </c>
      <c r="G411">
        <v>247</v>
      </c>
      <c r="H411">
        <v>1</v>
      </c>
      <c r="I411" t="s">
        <v>156</v>
      </c>
      <c r="J411">
        <v>0</v>
      </c>
      <c r="K411">
        <v>2</v>
      </c>
      <c r="L411">
        <v>5</v>
      </c>
      <c r="M411">
        <v>172</v>
      </c>
      <c r="N411">
        <v>573</v>
      </c>
      <c r="O411">
        <v>2</v>
      </c>
      <c r="P411">
        <v>573</v>
      </c>
      <c r="Q411">
        <v>2</v>
      </c>
      <c r="R411">
        <v>77</v>
      </c>
      <c r="S411">
        <v>186</v>
      </c>
      <c r="U411">
        <v>3</v>
      </c>
      <c r="V411">
        <v>2</v>
      </c>
      <c r="W411">
        <v>10</v>
      </c>
      <c r="X411">
        <v>106</v>
      </c>
      <c r="Y411">
        <v>172</v>
      </c>
      <c r="Z411">
        <v>1</v>
      </c>
      <c r="AA411">
        <v>2</v>
      </c>
      <c r="AC411" t="s">
        <v>105</v>
      </c>
      <c r="AD411" t="s">
        <v>105</v>
      </c>
      <c r="AE411" t="s">
        <v>105</v>
      </c>
      <c r="AF411" t="s">
        <v>105</v>
      </c>
      <c r="AK411" t="s">
        <v>105</v>
      </c>
      <c r="AL411" t="s">
        <v>105</v>
      </c>
      <c r="AM411" t="s">
        <v>105</v>
      </c>
      <c r="AN411" t="s">
        <v>105</v>
      </c>
      <c r="AU411">
        <v>1</v>
      </c>
      <c r="BC411">
        <v>11</v>
      </c>
      <c r="BD411">
        <v>11</v>
      </c>
      <c r="BE411">
        <v>573</v>
      </c>
      <c r="BF411">
        <v>584</v>
      </c>
      <c r="BG411">
        <v>723</v>
      </c>
      <c r="BI411" t="s">
        <v>106</v>
      </c>
      <c r="BJ411">
        <v>1</v>
      </c>
      <c r="BL411" t="s">
        <v>936</v>
      </c>
      <c r="BM411" s="4">
        <v>43283.148298611108</v>
      </c>
      <c r="BN411" s="4">
        <v>43283.156574074077</v>
      </c>
      <c r="BO411" s="4">
        <v>43283.156574074077</v>
      </c>
      <c r="BP411" t="s">
        <v>92</v>
      </c>
      <c r="BQ411" t="s">
        <v>93</v>
      </c>
      <c r="BR411" t="s">
        <v>94</v>
      </c>
    </row>
    <row r="412" spans="1:70" x14ac:dyDescent="0.3">
      <c r="A412" t="str">
        <f>"200247E0200"</f>
        <v>200247E0200</v>
      </c>
      <c r="B412" s="2" t="s">
        <v>937</v>
      </c>
      <c r="C412">
        <v>20</v>
      </c>
      <c r="D412" t="s">
        <v>88</v>
      </c>
      <c r="E412">
        <v>39</v>
      </c>
      <c r="F412" t="s">
        <v>885</v>
      </c>
      <c r="G412">
        <v>247</v>
      </c>
      <c r="H412">
        <v>2</v>
      </c>
      <c r="I412" t="s">
        <v>156</v>
      </c>
      <c r="J412">
        <v>0</v>
      </c>
      <c r="K412">
        <v>2</v>
      </c>
      <c r="L412">
        <v>5</v>
      </c>
      <c r="M412">
        <v>155</v>
      </c>
      <c r="N412">
        <v>389</v>
      </c>
      <c r="O412">
        <v>5</v>
      </c>
      <c r="P412">
        <v>389</v>
      </c>
      <c r="Q412">
        <v>1</v>
      </c>
      <c r="R412">
        <v>80</v>
      </c>
      <c r="S412">
        <v>129</v>
      </c>
      <c r="U412">
        <v>2</v>
      </c>
      <c r="V412">
        <v>0</v>
      </c>
      <c r="W412">
        <v>13</v>
      </c>
      <c r="X412">
        <v>34</v>
      </c>
      <c r="Y412">
        <v>105</v>
      </c>
      <c r="Z412">
        <v>1</v>
      </c>
      <c r="AA412">
        <v>1</v>
      </c>
      <c r="AC412">
        <v>1</v>
      </c>
      <c r="AD412">
        <v>0</v>
      </c>
      <c r="AE412">
        <v>0</v>
      </c>
      <c r="AF412">
        <v>0</v>
      </c>
      <c r="AK412">
        <v>0</v>
      </c>
      <c r="AL412">
        <v>0</v>
      </c>
      <c r="AM412">
        <v>0</v>
      </c>
      <c r="AN412">
        <v>0</v>
      </c>
      <c r="AU412">
        <v>0</v>
      </c>
      <c r="BC412">
        <v>0</v>
      </c>
      <c r="BD412">
        <v>22</v>
      </c>
      <c r="BE412">
        <v>389</v>
      </c>
      <c r="BF412">
        <v>389</v>
      </c>
      <c r="BG412">
        <v>522</v>
      </c>
      <c r="BJ412">
        <v>1</v>
      </c>
      <c r="BL412" s="2" t="s">
        <v>938</v>
      </c>
      <c r="BM412" s="4">
        <v>43283.152951388889</v>
      </c>
      <c r="BN412" s="4">
        <v>43283.161608796298</v>
      </c>
      <c r="BO412" s="4">
        <v>43283.161608796298</v>
      </c>
      <c r="BP412" t="s">
        <v>92</v>
      </c>
      <c r="BQ412" t="s">
        <v>93</v>
      </c>
      <c r="BR412" t="s">
        <v>94</v>
      </c>
    </row>
    <row r="413" spans="1:70" x14ac:dyDescent="0.3">
      <c r="A413" t="str">
        <f>"200248B0100"</f>
        <v>200248B0100</v>
      </c>
      <c r="B413" t="s">
        <v>939</v>
      </c>
      <c r="C413">
        <v>20</v>
      </c>
      <c r="D413" t="s">
        <v>88</v>
      </c>
      <c r="E413">
        <v>39</v>
      </c>
      <c r="F413" t="s">
        <v>885</v>
      </c>
      <c r="G413">
        <v>248</v>
      </c>
      <c r="H413">
        <v>1</v>
      </c>
      <c r="I413" t="s">
        <v>90</v>
      </c>
      <c r="J413">
        <v>0</v>
      </c>
      <c r="K413">
        <v>2</v>
      </c>
      <c r="L413">
        <v>5</v>
      </c>
      <c r="BG413">
        <v>629</v>
      </c>
      <c r="BI413" t="s">
        <v>365</v>
      </c>
      <c r="BJ413">
        <v>0</v>
      </c>
      <c r="BL413" t="s">
        <v>940</v>
      </c>
      <c r="BM413" s="4">
        <v>43283.613923611112</v>
      </c>
      <c r="BN413" s="4">
        <v>43283.617569444446</v>
      </c>
      <c r="BO413" s="4">
        <v>43283.617569444446</v>
      </c>
      <c r="BP413" t="s">
        <v>92</v>
      </c>
      <c r="BQ413" t="s">
        <v>93</v>
      </c>
      <c r="BR413" t="s">
        <v>94</v>
      </c>
    </row>
    <row r="414" spans="1:70" x14ac:dyDescent="0.3">
      <c r="A414" t="str">
        <f>"200248C0100"</f>
        <v>200248C0100</v>
      </c>
      <c r="B414" t="s">
        <v>941</v>
      </c>
      <c r="C414">
        <v>20</v>
      </c>
      <c r="D414" t="s">
        <v>88</v>
      </c>
      <c r="E414">
        <v>39</v>
      </c>
      <c r="F414" t="s">
        <v>885</v>
      </c>
      <c r="G414">
        <v>248</v>
      </c>
      <c r="H414">
        <v>1</v>
      </c>
      <c r="I414" t="s">
        <v>98</v>
      </c>
      <c r="J414">
        <v>0</v>
      </c>
      <c r="K414">
        <v>2</v>
      </c>
      <c r="L414">
        <v>5</v>
      </c>
      <c r="M414">
        <v>191</v>
      </c>
      <c r="N414">
        <v>456</v>
      </c>
      <c r="O414">
        <v>3</v>
      </c>
      <c r="P414">
        <v>461</v>
      </c>
      <c r="Q414">
        <v>1</v>
      </c>
      <c r="R414">
        <v>114</v>
      </c>
      <c r="S414">
        <v>188</v>
      </c>
      <c r="U414">
        <v>1</v>
      </c>
      <c r="V414">
        <v>2</v>
      </c>
      <c r="W414">
        <v>11</v>
      </c>
      <c r="X414">
        <v>19</v>
      </c>
      <c r="Y414">
        <v>100</v>
      </c>
      <c r="Z414">
        <v>1</v>
      </c>
      <c r="AA414" t="s">
        <v>105</v>
      </c>
      <c r="AC414">
        <v>2</v>
      </c>
      <c r="AD414">
        <v>2</v>
      </c>
      <c r="AE414" t="s">
        <v>105</v>
      </c>
      <c r="AF414" t="s">
        <v>105</v>
      </c>
      <c r="AK414" t="s">
        <v>105</v>
      </c>
      <c r="AL414" t="s">
        <v>105</v>
      </c>
      <c r="AM414" t="s">
        <v>105</v>
      </c>
      <c r="AN414" t="s">
        <v>105</v>
      </c>
      <c r="AU414" t="s">
        <v>105</v>
      </c>
      <c r="BC414" t="s">
        <v>105</v>
      </c>
      <c r="BD414">
        <v>20</v>
      </c>
      <c r="BE414">
        <v>461</v>
      </c>
      <c r="BF414">
        <v>461</v>
      </c>
      <c r="BG414">
        <v>628</v>
      </c>
      <c r="BI414" t="s">
        <v>106</v>
      </c>
      <c r="BJ414">
        <v>1</v>
      </c>
      <c r="BL414" t="s">
        <v>942</v>
      </c>
      <c r="BM414" s="4">
        <v>43283.319363425922</v>
      </c>
      <c r="BN414" s="4">
        <v>43283.340601851851</v>
      </c>
      <c r="BO414" s="4">
        <v>43283.340601851851</v>
      </c>
      <c r="BP414" t="s">
        <v>92</v>
      </c>
      <c r="BQ414" t="s">
        <v>93</v>
      </c>
      <c r="BR414" t="s">
        <v>94</v>
      </c>
    </row>
    <row r="415" spans="1:70" x14ac:dyDescent="0.3">
      <c r="A415" t="str">
        <f>"200249B0100"</f>
        <v>200249B0100</v>
      </c>
      <c r="B415" t="s">
        <v>943</v>
      </c>
      <c r="C415">
        <v>20</v>
      </c>
      <c r="D415" t="s">
        <v>88</v>
      </c>
      <c r="E415">
        <v>39</v>
      </c>
      <c r="F415" t="s">
        <v>885</v>
      </c>
      <c r="G415">
        <v>249</v>
      </c>
      <c r="H415">
        <v>1</v>
      </c>
      <c r="I415" t="s">
        <v>90</v>
      </c>
      <c r="J415">
        <v>0</v>
      </c>
      <c r="K415">
        <v>2</v>
      </c>
      <c r="L415">
        <v>5</v>
      </c>
      <c r="M415">
        <v>120</v>
      </c>
      <c r="N415">
        <v>313</v>
      </c>
      <c r="O415">
        <v>2</v>
      </c>
      <c r="P415">
        <v>308</v>
      </c>
      <c r="Q415">
        <v>21</v>
      </c>
      <c r="R415">
        <v>55</v>
      </c>
      <c r="S415">
        <v>88</v>
      </c>
      <c r="U415">
        <v>8</v>
      </c>
      <c r="V415">
        <v>2</v>
      </c>
      <c r="W415">
        <v>7</v>
      </c>
      <c r="X415">
        <v>24</v>
      </c>
      <c r="Y415">
        <v>85</v>
      </c>
      <c r="Z415">
        <v>0</v>
      </c>
      <c r="AA415">
        <v>5</v>
      </c>
      <c r="AC415">
        <v>0</v>
      </c>
      <c r="AD415">
        <v>2</v>
      </c>
      <c r="AE415">
        <v>0</v>
      </c>
      <c r="AF415">
        <v>0</v>
      </c>
      <c r="AK415">
        <v>0</v>
      </c>
      <c r="AL415">
        <v>0</v>
      </c>
      <c r="AM415">
        <v>0</v>
      </c>
      <c r="AN415">
        <v>0</v>
      </c>
      <c r="AU415">
        <v>3</v>
      </c>
      <c r="BC415">
        <v>0</v>
      </c>
      <c r="BD415">
        <v>8</v>
      </c>
      <c r="BE415">
        <v>308</v>
      </c>
      <c r="BF415">
        <v>308</v>
      </c>
      <c r="BG415">
        <v>410</v>
      </c>
      <c r="BJ415">
        <v>1</v>
      </c>
      <c r="BL415" t="s">
        <v>944</v>
      </c>
      <c r="BM415" s="4">
        <v>43283.266377314816</v>
      </c>
      <c r="BN415" s="4">
        <v>43283.291701388887</v>
      </c>
      <c r="BO415" s="4">
        <v>43283.291701388887</v>
      </c>
      <c r="BP415" t="s">
        <v>92</v>
      </c>
      <c r="BQ415" t="s">
        <v>93</v>
      </c>
      <c r="BR415" t="s">
        <v>94</v>
      </c>
    </row>
    <row r="416" spans="1:70" x14ac:dyDescent="0.3">
      <c r="A416" t="str">
        <f>"200249C0100"</f>
        <v>200249C0100</v>
      </c>
      <c r="B416" t="s">
        <v>945</v>
      </c>
      <c r="C416">
        <v>20</v>
      </c>
      <c r="D416" t="s">
        <v>88</v>
      </c>
      <c r="E416">
        <v>39</v>
      </c>
      <c r="F416" t="s">
        <v>885</v>
      </c>
      <c r="G416">
        <v>249</v>
      </c>
      <c r="H416">
        <v>1</v>
      </c>
      <c r="I416" t="s">
        <v>98</v>
      </c>
      <c r="J416">
        <v>0</v>
      </c>
      <c r="K416">
        <v>2</v>
      </c>
      <c r="L416">
        <v>5</v>
      </c>
      <c r="M416">
        <v>100</v>
      </c>
      <c r="N416" t="s">
        <v>105</v>
      </c>
      <c r="O416">
        <v>7</v>
      </c>
      <c r="P416">
        <v>335</v>
      </c>
      <c r="Q416">
        <v>19</v>
      </c>
      <c r="R416">
        <v>61</v>
      </c>
      <c r="S416">
        <v>71</v>
      </c>
      <c r="U416">
        <v>13</v>
      </c>
      <c r="V416">
        <v>1</v>
      </c>
      <c r="W416">
        <v>12</v>
      </c>
      <c r="X416">
        <v>24</v>
      </c>
      <c r="Y416">
        <v>117</v>
      </c>
      <c r="Z416">
        <v>0</v>
      </c>
      <c r="AA416">
        <v>1</v>
      </c>
      <c r="AC416">
        <v>0</v>
      </c>
      <c r="AD416">
        <v>0</v>
      </c>
      <c r="AE416">
        <v>0</v>
      </c>
      <c r="AF416">
        <v>0</v>
      </c>
      <c r="AK416">
        <v>4</v>
      </c>
      <c r="AL416">
        <v>0</v>
      </c>
      <c r="AM416">
        <v>0</v>
      </c>
      <c r="AN416">
        <v>0</v>
      </c>
      <c r="AU416">
        <v>2</v>
      </c>
      <c r="BC416" t="s">
        <v>105</v>
      </c>
      <c r="BD416">
        <v>10</v>
      </c>
      <c r="BE416">
        <v>335</v>
      </c>
      <c r="BF416">
        <v>335</v>
      </c>
      <c r="BG416">
        <v>409</v>
      </c>
      <c r="BI416" t="s">
        <v>106</v>
      </c>
      <c r="BJ416">
        <v>1</v>
      </c>
      <c r="BL416" t="s">
        <v>946</v>
      </c>
      <c r="BM416" s="4">
        <v>43283.277974537035</v>
      </c>
      <c r="BN416" s="4">
        <v>43283.308194444442</v>
      </c>
      <c r="BO416" s="4">
        <v>43283.308194444442</v>
      </c>
      <c r="BP416" t="s">
        <v>92</v>
      </c>
      <c r="BQ416" t="s">
        <v>93</v>
      </c>
      <c r="BR416" t="s">
        <v>94</v>
      </c>
    </row>
    <row r="417" spans="1:70" x14ac:dyDescent="0.3">
      <c r="A417" t="str">
        <f>"200250B0100"</f>
        <v>200250B0100</v>
      </c>
      <c r="B417" t="s">
        <v>947</v>
      </c>
      <c r="C417">
        <v>20</v>
      </c>
      <c r="D417" t="s">
        <v>88</v>
      </c>
      <c r="E417">
        <v>39</v>
      </c>
      <c r="F417" t="s">
        <v>885</v>
      </c>
      <c r="G417">
        <v>250</v>
      </c>
      <c r="H417">
        <v>1</v>
      </c>
      <c r="I417" t="s">
        <v>90</v>
      </c>
      <c r="J417">
        <v>0</v>
      </c>
      <c r="K417">
        <v>2</v>
      </c>
      <c r="L417">
        <v>5</v>
      </c>
      <c r="M417">
        <v>113</v>
      </c>
      <c r="N417">
        <v>261</v>
      </c>
      <c r="O417">
        <v>7</v>
      </c>
      <c r="P417">
        <v>261</v>
      </c>
      <c r="Q417">
        <v>4</v>
      </c>
      <c r="R417">
        <v>34</v>
      </c>
      <c r="S417">
        <v>95</v>
      </c>
      <c r="U417">
        <v>5</v>
      </c>
      <c r="V417">
        <v>1</v>
      </c>
      <c r="W417">
        <v>1</v>
      </c>
      <c r="X417">
        <v>10</v>
      </c>
      <c r="Y417">
        <v>76</v>
      </c>
      <c r="Z417">
        <v>0</v>
      </c>
      <c r="AA417">
        <v>12</v>
      </c>
      <c r="AC417">
        <v>1</v>
      </c>
      <c r="AD417">
        <v>0</v>
      </c>
      <c r="AE417">
        <v>0</v>
      </c>
      <c r="AF417">
        <v>0</v>
      </c>
      <c r="AK417">
        <v>0</v>
      </c>
      <c r="AL417">
        <v>0</v>
      </c>
      <c r="AM417">
        <v>0</v>
      </c>
      <c r="AN417">
        <v>0</v>
      </c>
      <c r="AU417">
        <v>1</v>
      </c>
      <c r="BC417">
        <v>0</v>
      </c>
      <c r="BD417">
        <v>21</v>
      </c>
      <c r="BE417">
        <v>261</v>
      </c>
      <c r="BF417">
        <v>261</v>
      </c>
      <c r="BG417">
        <v>355</v>
      </c>
      <c r="BJ417">
        <v>1</v>
      </c>
      <c r="BL417" t="s">
        <v>948</v>
      </c>
      <c r="BM417" s="4">
        <v>43283.269247685188</v>
      </c>
      <c r="BN417" s="4">
        <v>43283.294432870367</v>
      </c>
      <c r="BO417" s="4">
        <v>43283.294432870367</v>
      </c>
      <c r="BP417" t="s">
        <v>92</v>
      </c>
      <c r="BQ417" t="s">
        <v>93</v>
      </c>
      <c r="BR417" t="s">
        <v>94</v>
      </c>
    </row>
    <row r="418" spans="1:70" x14ac:dyDescent="0.3">
      <c r="A418" t="str">
        <f>"200250E0100"</f>
        <v>200250E0100</v>
      </c>
      <c r="B418" s="2" t="s">
        <v>949</v>
      </c>
      <c r="C418">
        <v>20</v>
      </c>
      <c r="D418" t="s">
        <v>88</v>
      </c>
      <c r="E418">
        <v>39</v>
      </c>
      <c r="F418" t="s">
        <v>885</v>
      </c>
      <c r="G418">
        <v>250</v>
      </c>
      <c r="H418">
        <v>1</v>
      </c>
      <c r="I418" t="s">
        <v>156</v>
      </c>
      <c r="J418">
        <v>0</v>
      </c>
      <c r="K418">
        <v>2</v>
      </c>
      <c r="L418">
        <v>5</v>
      </c>
      <c r="M418">
        <v>169</v>
      </c>
      <c r="N418" t="s">
        <v>105</v>
      </c>
      <c r="O418">
        <v>1</v>
      </c>
      <c r="P418" t="s">
        <v>105</v>
      </c>
      <c r="Q418">
        <v>21</v>
      </c>
      <c r="R418">
        <v>19</v>
      </c>
      <c r="S418">
        <v>117</v>
      </c>
      <c r="U418">
        <v>16</v>
      </c>
      <c r="V418">
        <v>1</v>
      </c>
      <c r="W418">
        <v>2</v>
      </c>
      <c r="X418">
        <v>10</v>
      </c>
      <c r="Y418">
        <v>87</v>
      </c>
      <c r="Z418">
        <v>0</v>
      </c>
      <c r="AA418">
        <v>3</v>
      </c>
      <c r="AC418">
        <v>0</v>
      </c>
      <c r="AD418">
        <v>1</v>
      </c>
      <c r="AE418">
        <v>0</v>
      </c>
      <c r="AF418">
        <v>1</v>
      </c>
      <c r="AK418">
        <v>0</v>
      </c>
      <c r="AL418">
        <v>0</v>
      </c>
      <c r="AM418">
        <v>0</v>
      </c>
      <c r="AN418">
        <v>0</v>
      </c>
      <c r="AU418">
        <v>0</v>
      </c>
      <c r="BC418">
        <v>0</v>
      </c>
      <c r="BD418">
        <v>12</v>
      </c>
      <c r="BE418">
        <v>290</v>
      </c>
      <c r="BF418">
        <v>290</v>
      </c>
      <c r="BG418">
        <v>533</v>
      </c>
      <c r="BJ418">
        <v>1</v>
      </c>
      <c r="BL418" t="s">
        <v>950</v>
      </c>
      <c r="BM418" s="4">
        <v>43283.250162037039</v>
      </c>
      <c r="BN418" s="4">
        <v>43283.287118055552</v>
      </c>
      <c r="BO418" s="4">
        <v>43283.287118055552</v>
      </c>
      <c r="BP418" t="s">
        <v>92</v>
      </c>
      <c r="BQ418" t="s">
        <v>93</v>
      </c>
      <c r="BR418" t="s">
        <v>94</v>
      </c>
    </row>
    <row r="419" spans="1:70" x14ac:dyDescent="0.3">
      <c r="A419" t="str">
        <f>"200250E0101"</f>
        <v>200250E0101</v>
      </c>
      <c r="B419" s="2" t="s">
        <v>951</v>
      </c>
      <c r="C419">
        <v>20</v>
      </c>
      <c r="D419" t="s">
        <v>88</v>
      </c>
      <c r="E419">
        <v>39</v>
      </c>
      <c r="F419" t="s">
        <v>885</v>
      </c>
      <c r="G419">
        <v>250</v>
      </c>
      <c r="H419">
        <v>1</v>
      </c>
      <c r="I419" t="s">
        <v>156</v>
      </c>
      <c r="J419">
        <v>1</v>
      </c>
      <c r="K419">
        <v>2</v>
      </c>
      <c r="L419">
        <v>5</v>
      </c>
      <c r="M419">
        <v>147</v>
      </c>
      <c r="N419" t="s">
        <v>105</v>
      </c>
      <c r="O419">
        <v>3</v>
      </c>
      <c r="P419" t="s">
        <v>105</v>
      </c>
      <c r="Q419">
        <v>29</v>
      </c>
      <c r="R419">
        <v>47</v>
      </c>
      <c r="S419">
        <v>168</v>
      </c>
      <c r="U419">
        <v>13</v>
      </c>
      <c r="V419">
        <v>1</v>
      </c>
      <c r="W419">
        <v>4</v>
      </c>
      <c r="X419">
        <v>12</v>
      </c>
      <c r="Y419">
        <v>116</v>
      </c>
      <c r="Z419">
        <v>2</v>
      </c>
      <c r="AA419">
        <v>1</v>
      </c>
      <c r="AC419">
        <v>0</v>
      </c>
      <c r="AD419">
        <v>1</v>
      </c>
      <c r="AE419">
        <v>0</v>
      </c>
      <c r="AF419">
        <v>0</v>
      </c>
      <c r="AK419">
        <v>0</v>
      </c>
      <c r="AL419">
        <v>2</v>
      </c>
      <c r="AM419">
        <v>0</v>
      </c>
      <c r="AN419">
        <v>0</v>
      </c>
      <c r="AU419">
        <v>0</v>
      </c>
      <c r="BC419">
        <v>0</v>
      </c>
      <c r="BD419">
        <v>11</v>
      </c>
      <c r="BE419">
        <v>307</v>
      </c>
      <c r="BF419">
        <v>407</v>
      </c>
      <c r="BG419">
        <v>532</v>
      </c>
      <c r="BJ419">
        <v>1</v>
      </c>
      <c r="BL419" t="s">
        <v>952</v>
      </c>
      <c r="BM419" s="4">
        <v>43283.273472222223</v>
      </c>
      <c r="BN419" s="4">
        <v>43283.31113425926</v>
      </c>
      <c r="BO419" s="4">
        <v>43283.31113425926</v>
      </c>
      <c r="BP419" t="s">
        <v>92</v>
      </c>
      <c r="BQ419" t="s">
        <v>93</v>
      </c>
      <c r="BR419" t="s">
        <v>94</v>
      </c>
    </row>
    <row r="420" spans="1:70" x14ac:dyDescent="0.3">
      <c r="A420" t="str">
        <f>"200251B0100"</f>
        <v>200251B0100</v>
      </c>
      <c r="B420" t="s">
        <v>953</v>
      </c>
      <c r="C420">
        <v>20</v>
      </c>
      <c r="D420" t="s">
        <v>88</v>
      </c>
      <c r="E420">
        <v>39</v>
      </c>
      <c r="F420" t="s">
        <v>885</v>
      </c>
      <c r="G420">
        <v>251</v>
      </c>
      <c r="H420">
        <v>1</v>
      </c>
      <c r="I420" t="s">
        <v>90</v>
      </c>
      <c r="J420">
        <v>0</v>
      </c>
      <c r="K420">
        <v>2</v>
      </c>
      <c r="L420">
        <v>5</v>
      </c>
      <c r="M420">
        <v>141</v>
      </c>
      <c r="N420">
        <v>492</v>
      </c>
      <c r="O420">
        <v>0</v>
      </c>
      <c r="P420">
        <v>492</v>
      </c>
      <c r="Q420">
        <v>3</v>
      </c>
      <c r="R420">
        <v>76</v>
      </c>
      <c r="S420">
        <v>144</v>
      </c>
      <c r="U420">
        <v>4</v>
      </c>
      <c r="V420">
        <v>0</v>
      </c>
      <c r="W420">
        <v>17</v>
      </c>
      <c r="X420">
        <v>30</v>
      </c>
      <c r="Y420">
        <v>193</v>
      </c>
      <c r="Z420">
        <v>2</v>
      </c>
      <c r="AA420">
        <v>3</v>
      </c>
      <c r="AC420">
        <v>1</v>
      </c>
      <c r="AD420">
        <v>2</v>
      </c>
      <c r="AE420">
        <v>0</v>
      </c>
      <c r="AF420">
        <v>0</v>
      </c>
      <c r="AK420">
        <v>0</v>
      </c>
      <c r="AL420">
        <v>0</v>
      </c>
      <c r="AM420">
        <v>0</v>
      </c>
      <c r="AN420">
        <v>2</v>
      </c>
      <c r="AU420">
        <v>2</v>
      </c>
      <c r="BC420">
        <v>0</v>
      </c>
      <c r="BD420">
        <v>13</v>
      </c>
      <c r="BE420">
        <v>492</v>
      </c>
      <c r="BF420">
        <v>492</v>
      </c>
      <c r="BG420">
        <v>611</v>
      </c>
      <c r="BJ420">
        <v>1</v>
      </c>
      <c r="BL420" t="s">
        <v>954</v>
      </c>
      <c r="BM420" s="4">
        <v>43283.142118055555</v>
      </c>
      <c r="BN420" s="4">
        <v>43283.146215277775</v>
      </c>
      <c r="BO420" s="4">
        <v>43283.146215277775</v>
      </c>
      <c r="BP420" t="s">
        <v>92</v>
      </c>
      <c r="BQ420" t="s">
        <v>93</v>
      </c>
      <c r="BR420" t="s">
        <v>94</v>
      </c>
    </row>
    <row r="421" spans="1:70" x14ac:dyDescent="0.3">
      <c r="A421" t="str">
        <f>"200251C0100"</f>
        <v>200251C0100</v>
      </c>
      <c r="B421" t="s">
        <v>955</v>
      </c>
      <c r="C421">
        <v>20</v>
      </c>
      <c r="D421" t="s">
        <v>88</v>
      </c>
      <c r="E421">
        <v>39</v>
      </c>
      <c r="F421" t="s">
        <v>885</v>
      </c>
      <c r="G421">
        <v>251</v>
      </c>
      <c r="H421">
        <v>1</v>
      </c>
      <c r="I421" t="s">
        <v>98</v>
      </c>
      <c r="J421">
        <v>0</v>
      </c>
      <c r="K421">
        <v>2</v>
      </c>
      <c r="L421">
        <v>5</v>
      </c>
      <c r="M421">
        <v>135</v>
      </c>
      <c r="N421">
        <v>497</v>
      </c>
      <c r="O421">
        <v>0</v>
      </c>
      <c r="P421">
        <v>497</v>
      </c>
      <c r="Q421">
        <v>2</v>
      </c>
      <c r="R421">
        <v>58</v>
      </c>
      <c r="S421">
        <v>148</v>
      </c>
      <c r="U421">
        <v>6</v>
      </c>
      <c r="V421">
        <v>1</v>
      </c>
      <c r="W421">
        <v>2</v>
      </c>
      <c r="X421">
        <v>27</v>
      </c>
      <c r="Y421">
        <v>213</v>
      </c>
      <c r="Z421">
        <v>4</v>
      </c>
      <c r="AA421">
        <v>0</v>
      </c>
      <c r="AC421">
        <v>4</v>
      </c>
      <c r="AD421">
        <v>2</v>
      </c>
      <c r="AE421">
        <v>0</v>
      </c>
      <c r="AF421">
        <v>0</v>
      </c>
      <c r="AK421">
        <v>3</v>
      </c>
      <c r="AL421">
        <v>0</v>
      </c>
      <c r="AM421">
        <v>0</v>
      </c>
      <c r="AN421">
        <v>0</v>
      </c>
      <c r="AU421">
        <v>2</v>
      </c>
      <c r="BC421">
        <v>0</v>
      </c>
      <c r="BD421">
        <v>25</v>
      </c>
      <c r="BE421">
        <v>497</v>
      </c>
      <c r="BF421">
        <v>497</v>
      </c>
      <c r="BG421">
        <v>610</v>
      </c>
      <c r="BJ421">
        <v>1</v>
      </c>
      <c r="BL421" t="s">
        <v>956</v>
      </c>
      <c r="BM421" s="4">
        <v>43283.145613425928</v>
      </c>
      <c r="BN421" s="4">
        <v>43283.151712962965</v>
      </c>
      <c r="BO421" s="4">
        <v>43283.151712962965</v>
      </c>
      <c r="BP421" t="s">
        <v>92</v>
      </c>
      <c r="BQ421" t="s">
        <v>93</v>
      </c>
      <c r="BR421" t="s">
        <v>94</v>
      </c>
    </row>
    <row r="422" spans="1:70" x14ac:dyDescent="0.3">
      <c r="A422" t="str">
        <f>"200252B0100"</f>
        <v>200252B0100</v>
      </c>
      <c r="B422" t="s">
        <v>957</v>
      </c>
      <c r="C422">
        <v>20</v>
      </c>
      <c r="D422" t="s">
        <v>88</v>
      </c>
      <c r="E422">
        <v>39</v>
      </c>
      <c r="F422" t="s">
        <v>885</v>
      </c>
      <c r="G422">
        <v>252</v>
      </c>
      <c r="H422">
        <v>1</v>
      </c>
      <c r="I422" t="s">
        <v>90</v>
      </c>
      <c r="J422">
        <v>0</v>
      </c>
      <c r="K422">
        <v>2</v>
      </c>
      <c r="L422">
        <v>5</v>
      </c>
      <c r="M422">
        <v>130</v>
      </c>
      <c r="N422">
        <v>439</v>
      </c>
      <c r="O422">
        <v>4</v>
      </c>
      <c r="P422">
        <v>439</v>
      </c>
      <c r="Q422">
        <v>4</v>
      </c>
      <c r="R422">
        <v>53</v>
      </c>
      <c r="S422">
        <v>88</v>
      </c>
      <c r="U422">
        <v>36</v>
      </c>
      <c r="V422">
        <v>1</v>
      </c>
      <c r="W422">
        <v>11</v>
      </c>
      <c r="X422">
        <v>71</v>
      </c>
      <c r="Y422">
        <v>143</v>
      </c>
      <c r="Z422">
        <v>1</v>
      </c>
      <c r="AA422">
        <v>3</v>
      </c>
      <c r="AC422">
        <v>0</v>
      </c>
      <c r="AD422">
        <v>0</v>
      </c>
      <c r="AE422">
        <v>0</v>
      </c>
      <c r="AF422">
        <v>0</v>
      </c>
      <c r="AK422">
        <v>0</v>
      </c>
      <c r="AL422">
        <v>2</v>
      </c>
      <c r="AM422">
        <v>0</v>
      </c>
      <c r="AN422">
        <v>0</v>
      </c>
      <c r="AU422">
        <v>0</v>
      </c>
      <c r="BC422">
        <v>0</v>
      </c>
      <c r="BD422">
        <v>26</v>
      </c>
      <c r="BE422">
        <v>439</v>
      </c>
      <c r="BF422">
        <v>439</v>
      </c>
      <c r="BG422">
        <v>548</v>
      </c>
      <c r="BJ422">
        <v>1</v>
      </c>
      <c r="BL422" t="s">
        <v>958</v>
      </c>
      <c r="BM422" s="4">
        <v>43283.44866898148</v>
      </c>
      <c r="BN422" s="4">
        <v>43283.460370370369</v>
      </c>
      <c r="BO422" s="4">
        <v>43283.460370370369</v>
      </c>
      <c r="BP422" t="s">
        <v>92</v>
      </c>
      <c r="BQ422" t="s">
        <v>93</v>
      </c>
      <c r="BR422" t="s">
        <v>94</v>
      </c>
    </row>
    <row r="423" spans="1:70" x14ac:dyDescent="0.3">
      <c r="A423" t="str">
        <f>"200252C0100"</f>
        <v>200252C0100</v>
      </c>
      <c r="B423" t="s">
        <v>959</v>
      </c>
      <c r="C423">
        <v>20</v>
      </c>
      <c r="D423" t="s">
        <v>88</v>
      </c>
      <c r="E423">
        <v>39</v>
      </c>
      <c r="F423" t="s">
        <v>885</v>
      </c>
      <c r="G423">
        <v>252</v>
      </c>
      <c r="H423">
        <v>1</v>
      </c>
      <c r="I423" t="s">
        <v>98</v>
      </c>
      <c r="J423">
        <v>0</v>
      </c>
      <c r="K423">
        <v>2</v>
      </c>
      <c r="L423">
        <v>5</v>
      </c>
      <c r="M423">
        <v>139</v>
      </c>
      <c r="N423">
        <v>430</v>
      </c>
      <c r="O423">
        <v>6</v>
      </c>
      <c r="P423">
        <v>430</v>
      </c>
      <c r="Q423">
        <v>4</v>
      </c>
      <c r="R423">
        <v>91</v>
      </c>
      <c r="S423">
        <v>105</v>
      </c>
      <c r="U423">
        <v>23</v>
      </c>
      <c r="V423">
        <v>0</v>
      </c>
      <c r="W423">
        <v>11</v>
      </c>
      <c r="X423">
        <v>68</v>
      </c>
      <c r="Y423">
        <v>100</v>
      </c>
      <c r="Z423">
        <v>0</v>
      </c>
      <c r="AA423">
        <v>3</v>
      </c>
      <c r="AC423">
        <v>1</v>
      </c>
      <c r="AD423">
        <v>1</v>
      </c>
      <c r="AE423">
        <v>0</v>
      </c>
      <c r="AF423">
        <v>0</v>
      </c>
      <c r="AK423">
        <v>0</v>
      </c>
      <c r="AL423">
        <v>1</v>
      </c>
      <c r="AM423">
        <v>0</v>
      </c>
      <c r="AN423">
        <v>0</v>
      </c>
      <c r="AU423">
        <v>2</v>
      </c>
      <c r="BC423">
        <v>0</v>
      </c>
      <c r="BD423">
        <v>20</v>
      </c>
      <c r="BE423">
        <v>430</v>
      </c>
      <c r="BF423">
        <v>430</v>
      </c>
      <c r="BG423">
        <v>547</v>
      </c>
      <c r="BJ423">
        <v>1</v>
      </c>
      <c r="BL423" t="s">
        <v>960</v>
      </c>
      <c r="BM423" s="4">
        <v>43283.444849537038</v>
      </c>
      <c r="BN423" s="4">
        <v>43283.450497685182</v>
      </c>
      <c r="BO423" s="4">
        <v>43283.450497685182</v>
      </c>
      <c r="BP423" t="s">
        <v>92</v>
      </c>
      <c r="BQ423" t="s">
        <v>93</v>
      </c>
      <c r="BR423" t="s">
        <v>94</v>
      </c>
    </row>
    <row r="424" spans="1:70" x14ac:dyDescent="0.3">
      <c r="A424" t="str">
        <f>"200253B0100"</f>
        <v>200253B0100</v>
      </c>
      <c r="B424" t="s">
        <v>961</v>
      </c>
      <c r="C424">
        <v>20</v>
      </c>
      <c r="D424" t="s">
        <v>88</v>
      </c>
      <c r="E424">
        <v>39</v>
      </c>
      <c r="F424" t="s">
        <v>885</v>
      </c>
      <c r="G424">
        <v>253</v>
      </c>
      <c r="H424">
        <v>1</v>
      </c>
      <c r="I424" t="s">
        <v>90</v>
      </c>
      <c r="J424">
        <v>0</v>
      </c>
      <c r="K424">
        <v>2</v>
      </c>
      <c r="L424">
        <v>5</v>
      </c>
      <c r="M424">
        <v>134</v>
      </c>
      <c r="N424">
        <v>387</v>
      </c>
      <c r="O424">
        <v>5</v>
      </c>
      <c r="P424">
        <v>387</v>
      </c>
      <c r="Q424">
        <v>3</v>
      </c>
      <c r="R424">
        <v>76</v>
      </c>
      <c r="S424">
        <v>71</v>
      </c>
      <c r="U424">
        <v>0</v>
      </c>
      <c r="V424">
        <v>1</v>
      </c>
      <c r="W424">
        <v>6</v>
      </c>
      <c r="X424">
        <v>126</v>
      </c>
      <c r="Y424">
        <v>99</v>
      </c>
      <c r="Z424">
        <v>0</v>
      </c>
      <c r="AA424">
        <v>3</v>
      </c>
      <c r="AC424">
        <v>0</v>
      </c>
      <c r="AD424">
        <v>0</v>
      </c>
      <c r="AE424">
        <v>0</v>
      </c>
      <c r="AF424">
        <v>0</v>
      </c>
      <c r="AK424">
        <v>0</v>
      </c>
      <c r="AL424">
        <v>0</v>
      </c>
      <c r="AM424">
        <v>0</v>
      </c>
      <c r="AN424">
        <v>1</v>
      </c>
      <c r="AU424">
        <v>1</v>
      </c>
      <c r="BC424">
        <v>0</v>
      </c>
      <c r="BD424">
        <v>9</v>
      </c>
      <c r="BE424">
        <v>396</v>
      </c>
      <c r="BF424">
        <v>396</v>
      </c>
      <c r="BG424">
        <v>508</v>
      </c>
      <c r="BJ424">
        <v>1</v>
      </c>
      <c r="BL424" t="s">
        <v>962</v>
      </c>
      <c r="BM424" s="4">
        <v>43283.438692129632</v>
      </c>
      <c r="BN424" s="4">
        <v>43283.44431712963</v>
      </c>
      <c r="BO424" s="4">
        <v>43283.44431712963</v>
      </c>
      <c r="BP424" t="s">
        <v>92</v>
      </c>
      <c r="BQ424" t="s">
        <v>93</v>
      </c>
      <c r="BR424" t="s">
        <v>94</v>
      </c>
    </row>
    <row r="425" spans="1:70" x14ac:dyDescent="0.3">
      <c r="A425" t="str">
        <f>"200253C0100"</f>
        <v>200253C0100</v>
      </c>
      <c r="B425" t="s">
        <v>963</v>
      </c>
      <c r="C425">
        <v>20</v>
      </c>
      <c r="D425" t="s">
        <v>88</v>
      </c>
      <c r="E425">
        <v>39</v>
      </c>
      <c r="F425" t="s">
        <v>885</v>
      </c>
      <c r="G425">
        <v>253</v>
      </c>
      <c r="H425">
        <v>1</v>
      </c>
      <c r="I425" t="s">
        <v>98</v>
      </c>
      <c r="J425">
        <v>0</v>
      </c>
      <c r="K425">
        <v>2</v>
      </c>
      <c r="L425">
        <v>5</v>
      </c>
      <c r="M425">
        <v>117</v>
      </c>
      <c r="N425">
        <v>413</v>
      </c>
      <c r="O425">
        <v>3</v>
      </c>
      <c r="P425">
        <v>413</v>
      </c>
      <c r="Q425">
        <v>4</v>
      </c>
      <c r="R425">
        <v>89</v>
      </c>
      <c r="S425">
        <v>66</v>
      </c>
      <c r="U425">
        <v>1</v>
      </c>
      <c r="V425">
        <v>1</v>
      </c>
      <c r="W425">
        <v>15</v>
      </c>
      <c r="X425">
        <v>130</v>
      </c>
      <c r="Y425">
        <v>82</v>
      </c>
      <c r="Z425">
        <v>1</v>
      </c>
      <c r="AA425">
        <v>5</v>
      </c>
      <c r="AC425">
        <v>0</v>
      </c>
      <c r="AD425">
        <v>0</v>
      </c>
      <c r="AE425">
        <v>0</v>
      </c>
      <c r="AF425">
        <v>0</v>
      </c>
      <c r="AK425">
        <v>0</v>
      </c>
      <c r="AL425">
        <v>0</v>
      </c>
      <c r="AM425">
        <v>0</v>
      </c>
      <c r="AN425">
        <v>1</v>
      </c>
      <c r="AU425">
        <v>0</v>
      </c>
      <c r="BC425">
        <v>0</v>
      </c>
      <c r="BD425">
        <v>18</v>
      </c>
      <c r="BE425">
        <v>413</v>
      </c>
      <c r="BF425">
        <v>413</v>
      </c>
      <c r="BG425">
        <v>508</v>
      </c>
      <c r="BJ425">
        <v>1</v>
      </c>
      <c r="BL425" t="s">
        <v>964</v>
      </c>
      <c r="BM425" s="4">
        <v>43283.442233796297</v>
      </c>
      <c r="BN425" s="4">
        <v>43283.446423611109</v>
      </c>
      <c r="BO425" s="4">
        <v>43283.446423611109</v>
      </c>
      <c r="BP425" t="s">
        <v>92</v>
      </c>
      <c r="BQ425" t="s">
        <v>93</v>
      </c>
      <c r="BR425" t="s">
        <v>94</v>
      </c>
    </row>
    <row r="426" spans="1:70" x14ac:dyDescent="0.3">
      <c r="A426" t="str">
        <f>"200254B0100"</f>
        <v>200254B0100</v>
      </c>
      <c r="B426" t="s">
        <v>965</v>
      </c>
      <c r="C426">
        <v>20</v>
      </c>
      <c r="D426" t="s">
        <v>88</v>
      </c>
      <c r="E426">
        <v>39</v>
      </c>
      <c r="F426" t="s">
        <v>885</v>
      </c>
      <c r="G426">
        <v>254</v>
      </c>
      <c r="H426">
        <v>1</v>
      </c>
      <c r="I426" t="s">
        <v>90</v>
      </c>
      <c r="J426">
        <v>0</v>
      </c>
      <c r="K426">
        <v>2</v>
      </c>
      <c r="L426">
        <v>5</v>
      </c>
      <c r="M426">
        <v>127</v>
      </c>
      <c r="N426">
        <v>427</v>
      </c>
      <c r="O426">
        <v>1</v>
      </c>
      <c r="P426">
        <v>427</v>
      </c>
      <c r="Q426">
        <v>1</v>
      </c>
      <c r="R426">
        <v>50</v>
      </c>
      <c r="S426">
        <v>98</v>
      </c>
      <c r="U426">
        <v>12</v>
      </c>
      <c r="V426" t="s">
        <v>105</v>
      </c>
      <c r="W426">
        <v>20</v>
      </c>
      <c r="X426">
        <v>28</v>
      </c>
      <c r="Y426">
        <v>194</v>
      </c>
      <c r="Z426">
        <v>1</v>
      </c>
      <c r="AA426">
        <v>2</v>
      </c>
      <c r="AC426" t="s">
        <v>105</v>
      </c>
      <c r="AD426">
        <v>2</v>
      </c>
      <c r="AE426" t="s">
        <v>105</v>
      </c>
      <c r="AF426">
        <v>1</v>
      </c>
      <c r="AK426" t="s">
        <v>105</v>
      </c>
      <c r="AL426">
        <v>1</v>
      </c>
      <c r="AM426" t="s">
        <v>105</v>
      </c>
      <c r="AN426">
        <v>1</v>
      </c>
      <c r="AU426">
        <v>1</v>
      </c>
      <c r="BC426" t="s">
        <v>105</v>
      </c>
      <c r="BD426">
        <v>15</v>
      </c>
      <c r="BE426">
        <v>427</v>
      </c>
      <c r="BF426">
        <v>427</v>
      </c>
      <c r="BG426">
        <v>532</v>
      </c>
      <c r="BI426" t="s">
        <v>106</v>
      </c>
      <c r="BJ426">
        <v>1</v>
      </c>
      <c r="BL426" t="s">
        <v>966</v>
      </c>
      <c r="BM426" s="4">
        <v>43283.570393518516</v>
      </c>
      <c r="BN426" s="4">
        <v>43283.574814814812</v>
      </c>
      <c r="BO426" s="4">
        <v>43283.574814814812</v>
      </c>
      <c r="BP426" t="s">
        <v>92</v>
      </c>
      <c r="BQ426" t="s">
        <v>93</v>
      </c>
      <c r="BR426" t="s">
        <v>94</v>
      </c>
    </row>
    <row r="427" spans="1:70" x14ac:dyDescent="0.3">
      <c r="A427" t="str">
        <f>"200258B0100"</f>
        <v>200258B0100</v>
      </c>
      <c r="B427" t="s">
        <v>967</v>
      </c>
      <c r="C427">
        <v>20</v>
      </c>
      <c r="D427" t="s">
        <v>88</v>
      </c>
      <c r="E427">
        <v>41</v>
      </c>
      <c r="F427" t="s">
        <v>968</v>
      </c>
      <c r="G427">
        <v>258</v>
      </c>
      <c r="H427">
        <v>1</v>
      </c>
      <c r="I427" t="s">
        <v>90</v>
      </c>
      <c r="J427">
        <v>0</v>
      </c>
      <c r="K427">
        <v>1</v>
      </c>
      <c r="L427">
        <v>5</v>
      </c>
      <c r="M427">
        <v>189</v>
      </c>
      <c r="N427">
        <v>448</v>
      </c>
      <c r="O427">
        <v>0</v>
      </c>
      <c r="P427">
        <v>447</v>
      </c>
      <c r="Q427">
        <v>3</v>
      </c>
      <c r="R427">
        <v>218</v>
      </c>
      <c r="S427">
        <v>5</v>
      </c>
      <c r="T427">
        <v>21</v>
      </c>
      <c r="U427">
        <v>40</v>
      </c>
      <c r="V427">
        <v>0</v>
      </c>
      <c r="W427">
        <v>1</v>
      </c>
      <c r="X427">
        <v>2</v>
      </c>
      <c r="Y427">
        <v>109</v>
      </c>
      <c r="Z427">
        <v>9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1</v>
      </c>
      <c r="AH427">
        <v>6</v>
      </c>
      <c r="AI427">
        <v>1</v>
      </c>
      <c r="AJ427">
        <v>0</v>
      </c>
      <c r="AK427">
        <v>2</v>
      </c>
      <c r="AL427">
        <v>0</v>
      </c>
      <c r="AM427">
        <v>1</v>
      </c>
      <c r="AN427">
        <v>3</v>
      </c>
      <c r="AZ427">
        <v>15</v>
      </c>
      <c r="BC427">
        <v>1</v>
      </c>
      <c r="BD427">
        <v>9</v>
      </c>
      <c r="BE427">
        <v>447</v>
      </c>
      <c r="BF427">
        <v>447</v>
      </c>
      <c r="BG427">
        <v>613</v>
      </c>
      <c r="BJ427">
        <v>1</v>
      </c>
      <c r="BL427" t="s">
        <v>969</v>
      </c>
      <c r="BM427" s="4">
        <v>43283.193055555559</v>
      </c>
      <c r="BN427" s="4">
        <v>43283.210312499999</v>
      </c>
      <c r="BO427" s="4">
        <v>43283.210312499999</v>
      </c>
      <c r="BP427" t="s">
        <v>92</v>
      </c>
      <c r="BQ427" t="s">
        <v>93</v>
      </c>
      <c r="BR427" t="s">
        <v>94</v>
      </c>
    </row>
    <row r="428" spans="1:70" x14ac:dyDescent="0.3">
      <c r="A428" t="str">
        <f>"200258C0100"</f>
        <v>200258C0100</v>
      </c>
      <c r="B428" t="s">
        <v>970</v>
      </c>
      <c r="C428">
        <v>20</v>
      </c>
      <c r="D428" t="s">
        <v>88</v>
      </c>
      <c r="E428">
        <v>41</v>
      </c>
      <c r="F428" t="s">
        <v>968</v>
      </c>
      <c r="G428">
        <v>258</v>
      </c>
      <c r="H428">
        <v>1</v>
      </c>
      <c r="I428" t="s">
        <v>98</v>
      </c>
      <c r="J428">
        <v>0</v>
      </c>
      <c r="K428">
        <v>1</v>
      </c>
      <c r="L428">
        <v>5</v>
      </c>
      <c r="M428">
        <v>172</v>
      </c>
      <c r="N428">
        <v>465</v>
      </c>
      <c r="O428">
        <v>4</v>
      </c>
      <c r="P428">
        <v>465</v>
      </c>
      <c r="Q428">
        <v>1</v>
      </c>
      <c r="R428">
        <v>195</v>
      </c>
      <c r="S428">
        <v>4</v>
      </c>
      <c r="T428">
        <v>14</v>
      </c>
      <c r="U428">
        <v>47</v>
      </c>
      <c r="V428">
        <v>1</v>
      </c>
      <c r="W428">
        <v>0</v>
      </c>
      <c r="X428">
        <v>1</v>
      </c>
      <c r="Y428">
        <v>136</v>
      </c>
      <c r="Z428">
        <v>10</v>
      </c>
      <c r="AA428">
        <v>0</v>
      </c>
      <c r="AB428">
        <v>1</v>
      </c>
      <c r="AC428">
        <v>0</v>
      </c>
      <c r="AD428">
        <v>0</v>
      </c>
      <c r="AE428">
        <v>0</v>
      </c>
      <c r="AF428">
        <v>0</v>
      </c>
      <c r="AG428">
        <v>2</v>
      </c>
      <c r="AH428">
        <v>11</v>
      </c>
      <c r="AI428">
        <v>0</v>
      </c>
      <c r="AJ428">
        <v>0</v>
      </c>
      <c r="AK428">
        <v>11</v>
      </c>
      <c r="AL428">
        <v>0</v>
      </c>
      <c r="AM428">
        <v>0</v>
      </c>
      <c r="AN428">
        <v>1</v>
      </c>
      <c r="AZ428">
        <v>11</v>
      </c>
      <c r="BC428">
        <v>0</v>
      </c>
      <c r="BD428">
        <v>19</v>
      </c>
      <c r="BE428">
        <v>465</v>
      </c>
      <c r="BF428">
        <v>465</v>
      </c>
      <c r="BG428">
        <v>612</v>
      </c>
      <c r="BJ428">
        <v>1</v>
      </c>
      <c r="BL428" t="s">
        <v>971</v>
      </c>
      <c r="BM428" s="4">
        <v>43283.151388888888</v>
      </c>
      <c r="BN428" s="4">
        <v>43283.168935185182</v>
      </c>
      <c r="BO428" s="4">
        <v>43283.168935185182</v>
      </c>
      <c r="BP428" t="s">
        <v>92</v>
      </c>
      <c r="BQ428" t="s">
        <v>93</v>
      </c>
      <c r="BR428" t="s">
        <v>94</v>
      </c>
    </row>
    <row r="429" spans="1:70" x14ac:dyDescent="0.3">
      <c r="A429" t="str">
        <f>"200258C0200"</f>
        <v>200258C0200</v>
      </c>
      <c r="B429" t="s">
        <v>972</v>
      </c>
      <c r="C429">
        <v>20</v>
      </c>
      <c r="D429" t="s">
        <v>88</v>
      </c>
      <c r="E429">
        <v>41</v>
      </c>
      <c r="F429" t="s">
        <v>968</v>
      </c>
      <c r="G429">
        <v>258</v>
      </c>
      <c r="H429">
        <v>2</v>
      </c>
      <c r="I429" t="s">
        <v>98</v>
      </c>
      <c r="J429">
        <v>0</v>
      </c>
      <c r="K429">
        <v>1</v>
      </c>
      <c r="L429">
        <v>5</v>
      </c>
      <c r="M429">
        <v>172</v>
      </c>
      <c r="N429">
        <v>464</v>
      </c>
      <c r="O429">
        <v>2</v>
      </c>
      <c r="P429">
        <v>464</v>
      </c>
      <c r="Q429">
        <v>2</v>
      </c>
      <c r="R429">
        <v>202</v>
      </c>
      <c r="S429">
        <v>0</v>
      </c>
      <c r="T429">
        <v>13</v>
      </c>
      <c r="U429">
        <v>62</v>
      </c>
      <c r="V429">
        <v>1</v>
      </c>
      <c r="W429">
        <v>1</v>
      </c>
      <c r="X429">
        <v>1</v>
      </c>
      <c r="Y429">
        <v>123</v>
      </c>
      <c r="Z429">
        <v>12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3</v>
      </c>
      <c r="AH429">
        <v>10</v>
      </c>
      <c r="AI429">
        <v>0</v>
      </c>
      <c r="AJ429">
        <v>0</v>
      </c>
      <c r="AK429">
        <v>4</v>
      </c>
      <c r="AL429">
        <v>2</v>
      </c>
      <c r="AM429">
        <v>0</v>
      </c>
      <c r="AN429">
        <v>0</v>
      </c>
      <c r="AZ429">
        <v>14</v>
      </c>
      <c r="BC429">
        <v>0</v>
      </c>
      <c r="BD429">
        <v>14</v>
      </c>
      <c r="BE429">
        <v>464</v>
      </c>
      <c r="BF429">
        <v>464</v>
      </c>
      <c r="BG429">
        <v>612</v>
      </c>
      <c r="BJ429">
        <v>1</v>
      </c>
      <c r="BL429" t="s">
        <v>973</v>
      </c>
      <c r="BM429" s="4">
        <v>43283.158333333333</v>
      </c>
      <c r="BN429" s="4">
        <v>43283.174108796295</v>
      </c>
      <c r="BO429" s="4">
        <v>43283.174108796295</v>
      </c>
      <c r="BP429" t="s">
        <v>92</v>
      </c>
      <c r="BQ429" t="s">
        <v>93</v>
      </c>
      <c r="BR429" t="s">
        <v>94</v>
      </c>
    </row>
    <row r="430" spans="1:70" x14ac:dyDescent="0.3">
      <c r="A430" t="str">
        <f>"200259B0100"</f>
        <v>200259B0100</v>
      </c>
      <c r="B430" t="s">
        <v>974</v>
      </c>
      <c r="C430">
        <v>20</v>
      </c>
      <c r="D430" t="s">
        <v>88</v>
      </c>
      <c r="E430">
        <v>41</v>
      </c>
      <c r="F430" t="s">
        <v>968</v>
      </c>
      <c r="G430">
        <v>259</v>
      </c>
      <c r="H430">
        <v>1</v>
      </c>
      <c r="I430" t="s">
        <v>90</v>
      </c>
      <c r="J430">
        <v>0</v>
      </c>
      <c r="K430">
        <v>1</v>
      </c>
      <c r="L430">
        <v>5</v>
      </c>
      <c r="M430">
        <v>115</v>
      </c>
      <c r="N430">
        <v>379</v>
      </c>
      <c r="O430">
        <v>6</v>
      </c>
      <c r="P430">
        <v>379</v>
      </c>
      <c r="Q430">
        <v>0</v>
      </c>
      <c r="R430">
        <v>139</v>
      </c>
      <c r="S430">
        <v>2</v>
      </c>
      <c r="T430">
        <v>7</v>
      </c>
      <c r="U430">
        <v>33</v>
      </c>
      <c r="V430">
        <v>0</v>
      </c>
      <c r="W430">
        <v>0</v>
      </c>
      <c r="X430">
        <v>3</v>
      </c>
      <c r="Y430">
        <v>170</v>
      </c>
      <c r="Z430">
        <v>5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5</v>
      </c>
      <c r="AH430">
        <v>0</v>
      </c>
      <c r="AI430">
        <v>0</v>
      </c>
      <c r="AJ430">
        <v>0</v>
      </c>
      <c r="AK430">
        <v>7</v>
      </c>
      <c r="AL430">
        <v>0</v>
      </c>
      <c r="AM430">
        <v>0</v>
      </c>
      <c r="AN430">
        <v>0</v>
      </c>
      <c r="AZ430">
        <v>5</v>
      </c>
      <c r="BC430">
        <v>0</v>
      </c>
      <c r="BD430">
        <v>3</v>
      </c>
      <c r="BE430">
        <v>379</v>
      </c>
      <c r="BF430">
        <v>379</v>
      </c>
      <c r="BG430">
        <v>470</v>
      </c>
      <c r="BJ430">
        <v>1</v>
      </c>
      <c r="BL430" t="s">
        <v>975</v>
      </c>
      <c r="BM430" s="4">
        <v>43283.159722222219</v>
      </c>
      <c r="BN430" s="4">
        <v>43283.172546296293</v>
      </c>
      <c r="BO430" s="4">
        <v>43283.172546296293</v>
      </c>
      <c r="BP430" t="s">
        <v>92</v>
      </c>
      <c r="BQ430" t="s">
        <v>93</v>
      </c>
      <c r="BR430" t="s">
        <v>94</v>
      </c>
    </row>
    <row r="431" spans="1:70" x14ac:dyDescent="0.3">
      <c r="A431" t="str">
        <f>"200259C0100"</f>
        <v>200259C0100</v>
      </c>
      <c r="B431" t="s">
        <v>976</v>
      </c>
      <c r="C431">
        <v>20</v>
      </c>
      <c r="D431" t="s">
        <v>88</v>
      </c>
      <c r="E431">
        <v>41</v>
      </c>
      <c r="F431" t="s">
        <v>968</v>
      </c>
      <c r="G431">
        <v>259</v>
      </c>
      <c r="H431">
        <v>1</v>
      </c>
      <c r="I431" t="s">
        <v>98</v>
      </c>
      <c r="J431">
        <v>0</v>
      </c>
      <c r="K431">
        <v>1</v>
      </c>
      <c r="L431">
        <v>5</v>
      </c>
      <c r="M431">
        <v>308</v>
      </c>
      <c r="N431">
        <v>29</v>
      </c>
      <c r="O431">
        <v>1</v>
      </c>
      <c r="P431">
        <v>338</v>
      </c>
      <c r="Q431">
        <v>1</v>
      </c>
      <c r="R431">
        <v>133</v>
      </c>
      <c r="S431">
        <v>3</v>
      </c>
      <c r="T431">
        <v>5</v>
      </c>
      <c r="U431">
        <v>27</v>
      </c>
      <c r="V431" t="s">
        <v>105</v>
      </c>
      <c r="W431" t="s">
        <v>105</v>
      </c>
      <c r="X431">
        <v>2</v>
      </c>
      <c r="Y431">
        <v>138</v>
      </c>
      <c r="Z431">
        <v>3</v>
      </c>
      <c r="AA431" t="s">
        <v>105</v>
      </c>
      <c r="AB431">
        <v>1</v>
      </c>
      <c r="AC431" t="s">
        <v>105</v>
      </c>
      <c r="AD431" t="s">
        <v>105</v>
      </c>
      <c r="AE431" t="s">
        <v>105</v>
      </c>
      <c r="AF431" t="s">
        <v>105</v>
      </c>
      <c r="AG431" t="s">
        <v>105</v>
      </c>
      <c r="AH431">
        <v>1</v>
      </c>
      <c r="AI431" t="s">
        <v>105</v>
      </c>
      <c r="AJ431" t="s">
        <v>105</v>
      </c>
      <c r="AK431">
        <v>10</v>
      </c>
      <c r="AL431" t="s">
        <v>105</v>
      </c>
      <c r="AM431" t="s">
        <v>105</v>
      </c>
      <c r="AN431" t="s">
        <v>105</v>
      </c>
      <c r="AZ431" t="s">
        <v>105</v>
      </c>
      <c r="BC431">
        <v>5</v>
      </c>
      <c r="BD431">
        <v>8</v>
      </c>
      <c r="BE431">
        <v>338</v>
      </c>
      <c r="BF431">
        <v>337</v>
      </c>
      <c r="BG431">
        <v>470</v>
      </c>
      <c r="BI431" t="s">
        <v>106</v>
      </c>
      <c r="BJ431">
        <v>1</v>
      </c>
      <c r="BL431" t="s">
        <v>977</v>
      </c>
      <c r="BM431" s="4">
        <v>43283.161111111112</v>
      </c>
      <c r="BN431" s="4">
        <v>43283.173344907409</v>
      </c>
      <c r="BO431" s="4">
        <v>43283.173344907409</v>
      </c>
      <c r="BP431" t="s">
        <v>92</v>
      </c>
      <c r="BQ431" t="s">
        <v>93</v>
      </c>
      <c r="BR431" t="s">
        <v>94</v>
      </c>
    </row>
    <row r="432" spans="1:70" x14ac:dyDescent="0.3">
      <c r="A432" t="str">
        <f>"200260B0100"</f>
        <v>200260B0100</v>
      </c>
      <c r="B432" t="s">
        <v>978</v>
      </c>
      <c r="C432">
        <v>20</v>
      </c>
      <c r="D432" t="s">
        <v>88</v>
      </c>
      <c r="E432">
        <v>41</v>
      </c>
      <c r="F432" t="s">
        <v>968</v>
      </c>
      <c r="G432">
        <v>260</v>
      </c>
      <c r="H432">
        <v>1</v>
      </c>
      <c r="I432" t="s">
        <v>90</v>
      </c>
      <c r="J432">
        <v>0</v>
      </c>
      <c r="K432">
        <v>1</v>
      </c>
      <c r="L432">
        <v>5</v>
      </c>
      <c r="M432">
        <v>112</v>
      </c>
      <c r="N432">
        <v>305</v>
      </c>
      <c r="O432">
        <v>6</v>
      </c>
      <c r="P432">
        <v>305</v>
      </c>
      <c r="Q432">
        <v>2</v>
      </c>
      <c r="R432">
        <v>85</v>
      </c>
      <c r="S432">
        <v>6</v>
      </c>
      <c r="T432">
        <v>14</v>
      </c>
      <c r="U432">
        <v>41</v>
      </c>
      <c r="V432">
        <v>1</v>
      </c>
      <c r="W432">
        <v>2</v>
      </c>
      <c r="X432">
        <v>0</v>
      </c>
      <c r="Y432">
        <v>145</v>
      </c>
      <c r="Z432">
        <v>5</v>
      </c>
      <c r="AA432">
        <v>0</v>
      </c>
      <c r="AB432">
        <v>2</v>
      </c>
      <c r="AC432">
        <v>0</v>
      </c>
      <c r="AD432">
        <v>0</v>
      </c>
      <c r="AE432">
        <v>0</v>
      </c>
      <c r="AF432">
        <v>0</v>
      </c>
      <c r="AG432" t="s">
        <v>105</v>
      </c>
      <c r="AH432">
        <v>2</v>
      </c>
      <c r="AI432" t="s">
        <v>105</v>
      </c>
      <c r="AJ432" t="s">
        <v>105</v>
      </c>
      <c r="AK432">
        <v>0</v>
      </c>
      <c r="AL432">
        <v>1</v>
      </c>
      <c r="AM432">
        <v>0</v>
      </c>
      <c r="AN432">
        <v>1</v>
      </c>
      <c r="AZ432">
        <v>3</v>
      </c>
      <c r="BC432">
        <v>0</v>
      </c>
      <c r="BD432">
        <v>14</v>
      </c>
      <c r="BE432">
        <v>305</v>
      </c>
      <c r="BF432">
        <v>324</v>
      </c>
      <c r="BG432">
        <v>393</v>
      </c>
      <c r="BI432" t="s">
        <v>106</v>
      </c>
      <c r="BJ432">
        <v>1</v>
      </c>
      <c r="BL432" t="s">
        <v>979</v>
      </c>
      <c r="BM432" s="4">
        <v>43283.140277777777</v>
      </c>
      <c r="BN432" s="4">
        <v>43283.144502314812</v>
      </c>
      <c r="BO432" s="4">
        <v>43283.144502314812</v>
      </c>
      <c r="BP432" t="s">
        <v>92</v>
      </c>
      <c r="BQ432" t="s">
        <v>93</v>
      </c>
      <c r="BR432" t="s">
        <v>94</v>
      </c>
    </row>
    <row r="433" spans="1:70" x14ac:dyDescent="0.3">
      <c r="A433" t="str">
        <f>"200260C0100"</f>
        <v>200260C0100</v>
      </c>
      <c r="B433" t="s">
        <v>980</v>
      </c>
      <c r="C433">
        <v>20</v>
      </c>
      <c r="D433" t="s">
        <v>88</v>
      </c>
      <c r="E433">
        <v>41</v>
      </c>
      <c r="F433" t="s">
        <v>968</v>
      </c>
      <c r="G433">
        <v>260</v>
      </c>
      <c r="H433">
        <v>1</v>
      </c>
      <c r="I433" t="s">
        <v>98</v>
      </c>
      <c r="J433">
        <v>0</v>
      </c>
      <c r="K433">
        <v>1</v>
      </c>
      <c r="L433">
        <v>5</v>
      </c>
      <c r="M433">
        <v>132</v>
      </c>
      <c r="N433">
        <v>284</v>
      </c>
      <c r="O433">
        <v>2</v>
      </c>
      <c r="P433">
        <v>284</v>
      </c>
      <c r="Q433">
        <v>0</v>
      </c>
      <c r="R433">
        <v>82</v>
      </c>
      <c r="S433">
        <v>0</v>
      </c>
      <c r="T433">
        <v>4</v>
      </c>
      <c r="U433">
        <v>36</v>
      </c>
      <c r="V433">
        <v>0</v>
      </c>
      <c r="W433">
        <v>3</v>
      </c>
      <c r="X433">
        <v>2</v>
      </c>
      <c r="Y433">
        <v>126</v>
      </c>
      <c r="Z433">
        <v>3</v>
      </c>
      <c r="AA433">
        <v>0</v>
      </c>
      <c r="AB433">
        <v>2</v>
      </c>
      <c r="AC433">
        <v>0</v>
      </c>
      <c r="AD433">
        <v>1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2</v>
      </c>
      <c r="AL433">
        <v>2</v>
      </c>
      <c r="AM433">
        <v>0</v>
      </c>
      <c r="AN433">
        <v>0</v>
      </c>
      <c r="AZ433">
        <v>18</v>
      </c>
      <c r="BC433">
        <v>0</v>
      </c>
      <c r="BD433">
        <v>3</v>
      </c>
      <c r="BE433">
        <v>284</v>
      </c>
      <c r="BF433">
        <v>284</v>
      </c>
      <c r="BG433">
        <v>392</v>
      </c>
      <c r="BJ433">
        <v>1</v>
      </c>
      <c r="BL433" t="s">
        <v>981</v>
      </c>
      <c r="BM433" s="4">
        <v>43283.131249999999</v>
      </c>
      <c r="BN433" s="4">
        <v>43283.135937500003</v>
      </c>
      <c r="BO433" s="4">
        <v>43283.135937500003</v>
      </c>
      <c r="BP433" t="s">
        <v>92</v>
      </c>
      <c r="BQ433" t="s">
        <v>93</v>
      </c>
      <c r="BR433" t="s">
        <v>94</v>
      </c>
    </row>
    <row r="434" spans="1:70" x14ac:dyDescent="0.3">
      <c r="A434" t="str">
        <f>"200261B0100"</f>
        <v>200261B0100</v>
      </c>
      <c r="B434" t="s">
        <v>982</v>
      </c>
      <c r="C434">
        <v>20</v>
      </c>
      <c r="D434" t="s">
        <v>88</v>
      </c>
      <c r="E434">
        <v>41</v>
      </c>
      <c r="F434" t="s">
        <v>968</v>
      </c>
      <c r="G434">
        <v>261</v>
      </c>
      <c r="H434">
        <v>1</v>
      </c>
      <c r="I434" t="s">
        <v>90</v>
      </c>
      <c r="J434">
        <v>0</v>
      </c>
      <c r="K434">
        <v>1</v>
      </c>
      <c r="L434">
        <v>5</v>
      </c>
      <c r="M434">
        <v>157</v>
      </c>
      <c r="N434">
        <v>614</v>
      </c>
      <c r="O434">
        <v>0</v>
      </c>
      <c r="P434">
        <v>457</v>
      </c>
      <c r="Q434">
        <v>7</v>
      </c>
      <c r="R434">
        <v>160</v>
      </c>
      <c r="S434">
        <v>6</v>
      </c>
      <c r="T434">
        <v>4</v>
      </c>
      <c r="U434">
        <v>35</v>
      </c>
      <c r="V434">
        <v>0</v>
      </c>
      <c r="W434">
        <v>0</v>
      </c>
      <c r="X434">
        <v>1</v>
      </c>
      <c r="Y434">
        <v>180</v>
      </c>
      <c r="Z434">
        <v>4</v>
      </c>
      <c r="AA434">
        <v>0</v>
      </c>
      <c r="AB434">
        <v>1</v>
      </c>
      <c r="AC434">
        <v>0</v>
      </c>
      <c r="AD434">
        <v>0</v>
      </c>
      <c r="AE434">
        <v>0</v>
      </c>
      <c r="AF434">
        <v>0</v>
      </c>
      <c r="AG434">
        <v>2</v>
      </c>
      <c r="AH434">
        <v>1</v>
      </c>
      <c r="AI434">
        <v>0</v>
      </c>
      <c r="AJ434">
        <v>0</v>
      </c>
      <c r="AK434">
        <v>10</v>
      </c>
      <c r="AL434">
        <v>0</v>
      </c>
      <c r="AM434">
        <v>1</v>
      </c>
      <c r="AN434">
        <v>2</v>
      </c>
      <c r="AZ434">
        <v>37</v>
      </c>
      <c r="BC434">
        <v>1</v>
      </c>
      <c r="BD434">
        <v>5</v>
      </c>
      <c r="BE434">
        <v>457</v>
      </c>
      <c r="BF434">
        <v>457</v>
      </c>
      <c r="BG434">
        <v>586</v>
      </c>
      <c r="BJ434">
        <v>1</v>
      </c>
      <c r="BL434" t="s">
        <v>983</v>
      </c>
      <c r="BM434" s="4">
        <v>43283.084722222222</v>
      </c>
      <c r="BN434" s="4">
        <v>43283.090324074074</v>
      </c>
      <c r="BO434" s="4">
        <v>43283.090324074074</v>
      </c>
      <c r="BP434" t="s">
        <v>92</v>
      </c>
      <c r="BQ434" t="s">
        <v>93</v>
      </c>
      <c r="BR434" t="s">
        <v>94</v>
      </c>
    </row>
    <row r="435" spans="1:70" x14ac:dyDescent="0.3">
      <c r="A435" t="str">
        <f>"200261C0100"</f>
        <v>200261C0100</v>
      </c>
      <c r="B435" t="s">
        <v>984</v>
      </c>
      <c r="C435">
        <v>20</v>
      </c>
      <c r="D435" t="s">
        <v>88</v>
      </c>
      <c r="E435">
        <v>41</v>
      </c>
      <c r="F435" t="s">
        <v>968</v>
      </c>
      <c r="G435">
        <v>261</v>
      </c>
      <c r="H435">
        <v>1</v>
      </c>
      <c r="I435" t="s">
        <v>98</v>
      </c>
      <c r="J435">
        <v>0</v>
      </c>
      <c r="K435">
        <v>1</v>
      </c>
      <c r="L435">
        <v>5</v>
      </c>
      <c r="M435">
        <v>169</v>
      </c>
      <c r="N435">
        <v>441</v>
      </c>
      <c r="O435">
        <v>3</v>
      </c>
      <c r="P435" t="s">
        <v>105</v>
      </c>
      <c r="Q435">
        <v>4</v>
      </c>
      <c r="R435">
        <v>166</v>
      </c>
      <c r="S435">
        <v>2</v>
      </c>
      <c r="T435">
        <v>12</v>
      </c>
      <c r="U435">
        <v>42</v>
      </c>
      <c r="V435">
        <v>1</v>
      </c>
      <c r="W435">
        <v>6</v>
      </c>
      <c r="X435">
        <v>0</v>
      </c>
      <c r="Y435">
        <v>148</v>
      </c>
      <c r="Z435">
        <v>7</v>
      </c>
      <c r="AA435">
        <v>0</v>
      </c>
      <c r="AB435">
        <v>2</v>
      </c>
      <c r="AC435">
        <v>0</v>
      </c>
      <c r="AD435">
        <v>0</v>
      </c>
      <c r="AE435">
        <v>0</v>
      </c>
      <c r="AF435">
        <v>0</v>
      </c>
      <c r="AG435">
        <v>2</v>
      </c>
      <c r="AH435">
        <v>1</v>
      </c>
      <c r="AI435">
        <v>0</v>
      </c>
      <c r="AJ435">
        <v>0</v>
      </c>
      <c r="AK435">
        <v>1</v>
      </c>
      <c r="AL435">
        <v>3</v>
      </c>
      <c r="AM435">
        <v>0</v>
      </c>
      <c r="AN435">
        <v>1</v>
      </c>
      <c r="AZ435">
        <v>32</v>
      </c>
      <c r="BC435" t="s">
        <v>105</v>
      </c>
      <c r="BD435">
        <v>5</v>
      </c>
      <c r="BE435" t="s">
        <v>105</v>
      </c>
      <c r="BF435">
        <v>435</v>
      </c>
      <c r="BG435">
        <v>586</v>
      </c>
      <c r="BI435" t="s">
        <v>106</v>
      </c>
      <c r="BJ435">
        <v>1</v>
      </c>
      <c r="BL435" t="s">
        <v>985</v>
      </c>
      <c r="BM435" s="4">
        <v>43283.088888888888</v>
      </c>
      <c r="BN435" s="4">
        <v>43283.094872685186</v>
      </c>
      <c r="BO435" s="4">
        <v>43283.094872685186</v>
      </c>
      <c r="BP435" t="s">
        <v>92</v>
      </c>
      <c r="BQ435" t="s">
        <v>93</v>
      </c>
      <c r="BR435" t="s">
        <v>94</v>
      </c>
    </row>
    <row r="436" spans="1:70" x14ac:dyDescent="0.3">
      <c r="A436" t="str">
        <f>"200262B0100"</f>
        <v>200262B0100</v>
      </c>
      <c r="B436" t="s">
        <v>986</v>
      </c>
      <c r="C436">
        <v>20</v>
      </c>
      <c r="D436" t="s">
        <v>88</v>
      </c>
      <c r="E436">
        <v>41</v>
      </c>
      <c r="F436" t="s">
        <v>968</v>
      </c>
      <c r="G436">
        <v>262</v>
      </c>
      <c r="H436">
        <v>1</v>
      </c>
      <c r="I436" t="s">
        <v>90</v>
      </c>
      <c r="J436">
        <v>0</v>
      </c>
      <c r="K436">
        <v>1</v>
      </c>
      <c r="L436">
        <v>5</v>
      </c>
      <c r="M436">
        <v>239</v>
      </c>
      <c r="N436">
        <v>522</v>
      </c>
      <c r="O436">
        <v>1</v>
      </c>
      <c r="P436">
        <v>522</v>
      </c>
      <c r="Q436">
        <v>4</v>
      </c>
      <c r="R436">
        <v>167</v>
      </c>
      <c r="S436">
        <v>6</v>
      </c>
      <c r="T436">
        <v>16</v>
      </c>
      <c r="U436">
        <v>101</v>
      </c>
      <c r="V436">
        <v>1</v>
      </c>
      <c r="W436">
        <v>5</v>
      </c>
      <c r="X436">
        <v>4</v>
      </c>
      <c r="Y436">
        <v>153</v>
      </c>
      <c r="Z436">
        <v>8</v>
      </c>
      <c r="AA436">
        <v>1</v>
      </c>
      <c r="AB436">
        <v>1</v>
      </c>
      <c r="AC436">
        <v>0</v>
      </c>
      <c r="AD436">
        <v>0</v>
      </c>
      <c r="AE436">
        <v>0</v>
      </c>
      <c r="AF436">
        <v>0</v>
      </c>
      <c r="AG436">
        <v>4</v>
      </c>
      <c r="AH436">
        <v>4</v>
      </c>
      <c r="AI436">
        <v>0</v>
      </c>
      <c r="AJ436">
        <v>0</v>
      </c>
      <c r="AK436">
        <v>9</v>
      </c>
      <c r="AL436">
        <v>3</v>
      </c>
      <c r="AM436">
        <v>0</v>
      </c>
      <c r="AN436">
        <v>1</v>
      </c>
      <c r="AZ436">
        <v>24</v>
      </c>
      <c r="BC436">
        <v>0</v>
      </c>
      <c r="BD436">
        <v>10</v>
      </c>
      <c r="BE436">
        <v>522</v>
      </c>
      <c r="BF436">
        <v>522</v>
      </c>
      <c r="BG436">
        <v>737</v>
      </c>
      <c r="BJ436">
        <v>1</v>
      </c>
      <c r="BL436" t="s">
        <v>987</v>
      </c>
      <c r="BM436" s="4">
        <v>43283.176388888889</v>
      </c>
      <c r="BN436" s="4">
        <v>43283.192453703705</v>
      </c>
      <c r="BO436" s="4">
        <v>43283.192453703705</v>
      </c>
      <c r="BP436" t="s">
        <v>92</v>
      </c>
      <c r="BQ436" t="s">
        <v>93</v>
      </c>
      <c r="BR436" t="s">
        <v>94</v>
      </c>
    </row>
    <row r="437" spans="1:70" x14ac:dyDescent="0.3">
      <c r="A437" t="str">
        <f>"200262C0100"</f>
        <v>200262C0100</v>
      </c>
      <c r="B437" t="s">
        <v>988</v>
      </c>
      <c r="C437">
        <v>20</v>
      </c>
      <c r="D437" t="s">
        <v>88</v>
      </c>
      <c r="E437">
        <v>41</v>
      </c>
      <c r="F437" t="s">
        <v>968</v>
      </c>
      <c r="G437">
        <v>262</v>
      </c>
      <c r="H437">
        <v>1</v>
      </c>
      <c r="I437" t="s">
        <v>98</v>
      </c>
      <c r="J437">
        <v>0</v>
      </c>
      <c r="K437">
        <v>1</v>
      </c>
      <c r="L437">
        <v>5</v>
      </c>
      <c r="M437">
        <v>221</v>
      </c>
      <c r="N437">
        <v>539</v>
      </c>
      <c r="O437">
        <v>1</v>
      </c>
      <c r="P437">
        <v>539</v>
      </c>
      <c r="Q437">
        <v>1</v>
      </c>
      <c r="R437">
        <v>187</v>
      </c>
      <c r="S437">
        <v>7</v>
      </c>
      <c r="T437">
        <v>21</v>
      </c>
      <c r="U437">
        <v>95</v>
      </c>
      <c r="V437">
        <v>0</v>
      </c>
      <c r="W437">
        <v>2</v>
      </c>
      <c r="X437">
        <v>0</v>
      </c>
      <c r="Y437">
        <v>150</v>
      </c>
      <c r="Z437">
        <v>5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5</v>
      </c>
      <c r="AH437">
        <v>5</v>
      </c>
      <c r="AI437">
        <v>0</v>
      </c>
      <c r="AJ437">
        <v>0</v>
      </c>
      <c r="AK437">
        <v>6</v>
      </c>
      <c r="AL437">
        <v>4</v>
      </c>
      <c r="AM437">
        <v>0</v>
      </c>
      <c r="AN437">
        <v>1</v>
      </c>
      <c r="AZ437">
        <v>36</v>
      </c>
      <c r="BC437">
        <v>1</v>
      </c>
      <c r="BD437">
        <v>13</v>
      </c>
      <c r="BE437">
        <v>539</v>
      </c>
      <c r="BF437">
        <v>539</v>
      </c>
      <c r="BG437">
        <v>736</v>
      </c>
      <c r="BJ437">
        <v>1</v>
      </c>
      <c r="BL437" t="s">
        <v>989</v>
      </c>
      <c r="BM437" s="4">
        <v>43283.174305555556</v>
      </c>
      <c r="BN437" s="4">
        <v>43283.18917824074</v>
      </c>
      <c r="BO437" s="4">
        <v>43283.18917824074</v>
      </c>
      <c r="BP437" t="s">
        <v>92</v>
      </c>
      <c r="BQ437" t="s">
        <v>93</v>
      </c>
      <c r="BR437" t="s">
        <v>94</v>
      </c>
    </row>
    <row r="438" spans="1:70" x14ac:dyDescent="0.3">
      <c r="A438" t="str">
        <f>"200263B0100"</f>
        <v>200263B0100</v>
      </c>
      <c r="B438" t="s">
        <v>990</v>
      </c>
      <c r="C438">
        <v>20</v>
      </c>
      <c r="D438" t="s">
        <v>88</v>
      </c>
      <c r="E438">
        <v>41</v>
      </c>
      <c r="F438" t="s">
        <v>968</v>
      </c>
      <c r="G438">
        <v>263</v>
      </c>
      <c r="H438">
        <v>1</v>
      </c>
      <c r="I438" t="s">
        <v>90</v>
      </c>
      <c r="J438">
        <v>0</v>
      </c>
      <c r="K438">
        <v>1</v>
      </c>
      <c r="L438">
        <v>5</v>
      </c>
      <c r="M438">
        <v>139</v>
      </c>
      <c r="N438">
        <v>294</v>
      </c>
      <c r="O438">
        <v>2</v>
      </c>
      <c r="P438">
        <v>294</v>
      </c>
      <c r="Q438">
        <v>2</v>
      </c>
      <c r="R438">
        <v>107</v>
      </c>
      <c r="S438">
        <v>0</v>
      </c>
      <c r="T438">
        <v>9</v>
      </c>
      <c r="U438">
        <v>25</v>
      </c>
      <c r="V438">
        <v>0</v>
      </c>
      <c r="W438">
        <v>2</v>
      </c>
      <c r="X438">
        <v>1</v>
      </c>
      <c r="Y438">
        <v>109</v>
      </c>
      <c r="Z438">
        <v>0</v>
      </c>
      <c r="AA438">
        <v>0</v>
      </c>
      <c r="AB438">
        <v>1</v>
      </c>
      <c r="AC438">
        <v>0</v>
      </c>
      <c r="AD438">
        <v>0</v>
      </c>
      <c r="AE438">
        <v>0</v>
      </c>
      <c r="AF438">
        <v>0</v>
      </c>
      <c r="AG438">
        <v>1</v>
      </c>
      <c r="AH438">
        <v>4</v>
      </c>
      <c r="AI438">
        <v>0</v>
      </c>
      <c r="AJ438">
        <v>0</v>
      </c>
      <c r="AK438">
        <v>4</v>
      </c>
      <c r="AL438">
        <v>2</v>
      </c>
      <c r="AM438">
        <v>0</v>
      </c>
      <c r="AN438">
        <v>2</v>
      </c>
      <c r="AZ438">
        <v>18</v>
      </c>
      <c r="BC438">
        <v>0</v>
      </c>
      <c r="BD438">
        <v>7</v>
      </c>
      <c r="BE438">
        <v>294</v>
      </c>
      <c r="BF438">
        <v>294</v>
      </c>
      <c r="BG438">
        <v>409</v>
      </c>
      <c r="BJ438">
        <v>1</v>
      </c>
      <c r="BL438" t="s">
        <v>991</v>
      </c>
      <c r="BM438" s="4">
        <v>43283.136805555558</v>
      </c>
      <c r="BN438" s="4">
        <v>43283.142280092594</v>
      </c>
      <c r="BO438" s="4">
        <v>43283.142280092594</v>
      </c>
      <c r="BP438" t="s">
        <v>92</v>
      </c>
      <c r="BQ438" t="s">
        <v>93</v>
      </c>
      <c r="BR438" t="s">
        <v>94</v>
      </c>
    </row>
    <row r="439" spans="1:70" x14ac:dyDescent="0.3">
      <c r="A439" t="str">
        <f>"200263C0100"</f>
        <v>200263C0100</v>
      </c>
      <c r="B439" t="s">
        <v>992</v>
      </c>
      <c r="C439">
        <v>20</v>
      </c>
      <c r="D439" t="s">
        <v>88</v>
      </c>
      <c r="E439">
        <v>41</v>
      </c>
      <c r="F439" t="s">
        <v>968</v>
      </c>
      <c r="G439">
        <v>263</v>
      </c>
      <c r="H439">
        <v>1</v>
      </c>
      <c r="I439" t="s">
        <v>98</v>
      </c>
      <c r="J439">
        <v>0</v>
      </c>
      <c r="K439">
        <v>1</v>
      </c>
      <c r="L439">
        <v>5</v>
      </c>
      <c r="M439">
        <v>125</v>
      </c>
      <c r="N439">
        <v>307</v>
      </c>
      <c r="O439">
        <v>2</v>
      </c>
      <c r="P439">
        <v>308</v>
      </c>
      <c r="Q439">
        <v>1</v>
      </c>
      <c r="R439">
        <v>95</v>
      </c>
      <c r="S439">
        <v>1</v>
      </c>
      <c r="T439">
        <v>9</v>
      </c>
      <c r="U439">
        <v>19</v>
      </c>
      <c r="V439">
        <v>0</v>
      </c>
      <c r="W439">
        <v>3</v>
      </c>
      <c r="X439">
        <v>0</v>
      </c>
      <c r="Y439">
        <v>142</v>
      </c>
      <c r="Z439">
        <v>7</v>
      </c>
      <c r="AA439">
        <v>1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1</v>
      </c>
      <c r="AH439">
        <v>1</v>
      </c>
      <c r="AI439">
        <v>0</v>
      </c>
      <c r="AJ439">
        <v>0</v>
      </c>
      <c r="AK439">
        <v>3</v>
      </c>
      <c r="AL439">
        <v>4</v>
      </c>
      <c r="AM439">
        <v>0</v>
      </c>
      <c r="AN439">
        <v>2</v>
      </c>
      <c r="AZ439">
        <v>11</v>
      </c>
      <c r="BC439">
        <v>0</v>
      </c>
      <c r="BD439">
        <v>8</v>
      </c>
      <c r="BE439" t="s">
        <v>105</v>
      </c>
      <c r="BF439">
        <v>308</v>
      </c>
      <c r="BG439">
        <v>408</v>
      </c>
      <c r="BJ439">
        <v>1</v>
      </c>
      <c r="BL439" t="s">
        <v>993</v>
      </c>
      <c r="BM439" s="4">
        <v>43283.134722222225</v>
      </c>
      <c r="BN439" s="4">
        <v>43283.140694444446</v>
      </c>
      <c r="BO439" s="4">
        <v>43283.140694444446</v>
      </c>
      <c r="BP439" t="s">
        <v>92</v>
      </c>
      <c r="BQ439" t="s">
        <v>93</v>
      </c>
      <c r="BR439" t="s">
        <v>94</v>
      </c>
    </row>
    <row r="440" spans="1:70" x14ac:dyDescent="0.3">
      <c r="A440" t="str">
        <f>"200264B0100"</f>
        <v>200264B0100</v>
      </c>
      <c r="B440" t="s">
        <v>994</v>
      </c>
      <c r="C440">
        <v>20</v>
      </c>
      <c r="D440" t="s">
        <v>88</v>
      </c>
      <c r="E440">
        <v>41</v>
      </c>
      <c r="F440" t="s">
        <v>968</v>
      </c>
      <c r="G440">
        <v>264</v>
      </c>
      <c r="H440">
        <v>1</v>
      </c>
      <c r="I440" t="s">
        <v>90</v>
      </c>
      <c r="J440">
        <v>0</v>
      </c>
      <c r="K440">
        <v>1</v>
      </c>
      <c r="L440">
        <v>5</v>
      </c>
      <c r="M440">
        <v>144</v>
      </c>
      <c r="N440">
        <v>385</v>
      </c>
      <c r="O440">
        <v>4</v>
      </c>
      <c r="P440">
        <v>385</v>
      </c>
      <c r="Q440">
        <v>2</v>
      </c>
      <c r="R440">
        <v>131</v>
      </c>
      <c r="S440">
        <v>2</v>
      </c>
      <c r="T440">
        <v>9</v>
      </c>
      <c r="U440">
        <v>42</v>
      </c>
      <c r="V440">
        <v>0</v>
      </c>
      <c r="W440">
        <v>0</v>
      </c>
      <c r="X440">
        <v>0</v>
      </c>
      <c r="Y440">
        <v>169</v>
      </c>
      <c r="Z440">
        <v>3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2</v>
      </c>
      <c r="AI440">
        <v>0</v>
      </c>
      <c r="AJ440">
        <v>0</v>
      </c>
      <c r="AK440">
        <v>3</v>
      </c>
      <c r="AL440">
        <v>1</v>
      </c>
      <c r="AM440">
        <v>0</v>
      </c>
      <c r="AN440">
        <v>0</v>
      </c>
      <c r="AZ440">
        <v>14</v>
      </c>
      <c r="BC440">
        <v>0</v>
      </c>
      <c r="BD440">
        <v>7</v>
      </c>
      <c r="BE440" t="s">
        <v>105</v>
      </c>
      <c r="BF440">
        <v>385</v>
      </c>
      <c r="BG440">
        <v>505</v>
      </c>
      <c r="BJ440">
        <v>1</v>
      </c>
      <c r="BL440" t="s">
        <v>995</v>
      </c>
      <c r="BM440" s="4">
        <v>43283.179166666669</v>
      </c>
      <c r="BN440" s="4">
        <v>43283.195821759262</v>
      </c>
      <c r="BO440" s="4">
        <v>43283.195821759262</v>
      </c>
      <c r="BP440" t="s">
        <v>92</v>
      </c>
      <c r="BQ440" t="s">
        <v>93</v>
      </c>
      <c r="BR440" t="s">
        <v>94</v>
      </c>
    </row>
    <row r="441" spans="1:70" x14ac:dyDescent="0.3">
      <c r="A441" t="str">
        <f>"200264C0100"</f>
        <v>200264C0100</v>
      </c>
      <c r="B441" t="s">
        <v>996</v>
      </c>
      <c r="C441">
        <v>20</v>
      </c>
      <c r="D441" t="s">
        <v>88</v>
      </c>
      <c r="E441">
        <v>41</v>
      </c>
      <c r="F441" t="s">
        <v>968</v>
      </c>
      <c r="G441">
        <v>264</v>
      </c>
      <c r="H441">
        <v>1</v>
      </c>
      <c r="I441" t="s">
        <v>98</v>
      </c>
      <c r="J441">
        <v>0</v>
      </c>
      <c r="K441">
        <v>1</v>
      </c>
      <c r="L441">
        <v>5</v>
      </c>
      <c r="M441">
        <v>158</v>
      </c>
      <c r="N441">
        <v>7</v>
      </c>
      <c r="O441">
        <v>7</v>
      </c>
      <c r="P441" t="s">
        <v>105</v>
      </c>
      <c r="Q441" t="s">
        <v>105</v>
      </c>
      <c r="R441">
        <v>141</v>
      </c>
      <c r="S441">
        <v>4</v>
      </c>
      <c r="T441">
        <v>8</v>
      </c>
      <c r="U441">
        <v>37</v>
      </c>
      <c r="V441">
        <v>1</v>
      </c>
      <c r="W441">
        <v>1</v>
      </c>
      <c r="X441" t="s">
        <v>105</v>
      </c>
      <c r="Y441">
        <v>152</v>
      </c>
      <c r="Z441">
        <v>1</v>
      </c>
      <c r="AA441" t="s">
        <v>105</v>
      </c>
      <c r="AB441" t="s">
        <v>105</v>
      </c>
      <c r="AC441" t="s">
        <v>105</v>
      </c>
      <c r="AD441" t="s">
        <v>105</v>
      </c>
      <c r="AE441">
        <v>1</v>
      </c>
      <c r="AF441" t="s">
        <v>105</v>
      </c>
      <c r="AG441">
        <v>1</v>
      </c>
      <c r="AH441">
        <v>4</v>
      </c>
      <c r="AI441" t="s">
        <v>105</v>
      </c>
      <c r="AJ441" t="s">
        <v>105</v>
      </c>
      <c r="AK441">
        <v>4</v>
      </c>
      <c r="AL441">
        <v>1</v>
      </c>
      <c r="AM441" t="s">
        <v>105</v>
      </c>
      <c r="AN441" t="s">
        <v>105</v>
      </c>
      <c r="AZ441">
        <v>7</v>
      </c>
      <c r="BC441">
        <v>7</v>
      </c>
      <c r="BD441">
        <v>6</v>
      </c>
      <c r="BE441">
        <v>369</v>
      </c>
      <c r="BF441">
        <v>376</v>
      </c>
      <c r="BG441">
        <v>505</v>
      </c>
      <c r="BI441" t="s">
        <v>106</v>
      </c>
      <c r="BJ441">
        <v>1</v>
      </c>
      <c r="BL441" t="s">
        <v>997</v>
      </c>
      <c r="BM441" s="4">
        <v>43283.189583333333</v>
      </c>
      <c r="BN441" s="4">
        <v>43283.210115740738</v>
      </c>
      <c r="BO441" s="4">
        <v>43283.210115740738</v>
      </c>
      <c r="BP441" t="s">
        <v>92</v>
      </c>
      <c r="BQ441" t="s">
        <v>93</v>
      </c>
      <c r="BR441" t="s">
        <v>94</v>
      </c>
    </row>
    <row r="442" spans="1:70" x14ac:dyDescent="0.3">
      <c r="A442" t="str">
        <f>"200265B0100"</f>
        <v>200265B0100</v>
      </c>
      <c r="B442" t="s">
        <v>998</v>
      </c>
      <c r="C442">
        <v>20</v>
      </c>
      <c r="D442" t="s">
        <v>88</v>
      </c>
      <c r="E442">
        <v>41</v>
      </c>
      <c r="F442" t="s">
        <v>968</v>
      </c>
      <c r="G442">
        <v>265</v>
      </c>
      <c r="H442">
        <v>1</v>
      </c>
      <c r="I442" t="s">
        <v>90</v>
      </c>
      <c r="J442">
        <v>0</v>
      </c>
      <c r="K442">
        <v>2</v>
      </c>
      <c r="L442">
        <v>5</v>
      </c>
      <c r="M442">
        <v>268</v>
      </c>
      <c r="N442">
        <v>472</v>
      </c>
      <c r="O442">
        <v>0</v>
      </c>
      <c r="P442">
        <v>472</v>
      </c>
      <c r="Q442">
        <v>4</v>
      </c>
      <c r="R442">
        <v>144</v>
      </c>
      <c r="S442">
        <v>4</v>
      </c>
      <c r="T442">
        <v>20</v>
      </c>
      <c r="U442">
        <v>43</v>
      </c>
      <c r="V442">
        <v>1</v>
      </c>
      <c r="W442">
        <v>0</v>
      </c>
      <c r="X442">
        <v>2</v>
      </c>
      <c r="Y442">
        <v>178</v>
      </c>
      <c r="Z442">
        <v>6</v>
      </c>
      <c r="AA442">
        <v>0</v>
      </c>
      <c r="AB442">
        <v>3</v>
      </c>
      <c r="AC442">
        <v>0</v>
      </c>
      <c r="AD442">
        <v>0</v>
      </c>
      <c r="AE442">
        <v>0</v>
      </c>
      <c r="AF442">
        <v>0</v>
      </c>
      <c r="AG442">
        <v>3</v>
      </c>
      <c r="AH442">
        <v>3</v>
      </c>
      <c r="AI442">
        <v>1</v>
      </c>
      <c r="AJ442">
        <v>0</v>
      </c>
      <c r="AK442">
        <v>8</v>
      </c>
      <c r="AL442">
        <v>1</v>
      </c>
      <c r="AM442">
        <v>0</v>
      </c>
      <c r="AN442">
        <v>1</v>
      </c>
      <c r="AZ442">
        <v>30</v>
      </c>
      <c r="BC442">
        <v>1</v>
      </c>
      <c r="BD442">
        <v>17</v>
      </c>
      <c r="BE442">
        <v>470</v>
      </c>
      <c r="BF442">
        <v>470</v>
      </c>
      <c r="BG442">
        <v>716</v>
      </c>
      <c r="BJ442">
        <v>1</v>
      </c>
      <c r="BL442" t="s">
        <v>999</v>
      </c>
      <c r="BM442" s="4">
        <v>43283.111111111109</v>
      </c>
      <c r="BN442" s="4">
        <v>43283.117048611108</v>
      </c>
      <c r="BO442" s="4">
        <v>43283.117048611108</v>
      </c>
      <c r="BP442" t="s">
        <v>92</v>
      </c>
      <c r="BQ442" t="s">
        <v>93</v>
      </c>
      <c r="BR442" t="s">
        <v>94</v>
      </c>
    </row>
    <row r="443" spans="1:70" x14ac:dyDescent="0.3">
      <c r="A443" t="str">
        <f>"200265C0100"</f>
        <v>200265C0100</v>
      </c>
      <c r="B443" t="s">
        <v>1000</v>
      </c>
      <c r="C443">
        <v>20</v>
      </c>
      <c r="D443" t="s">
        <v>88</v>
      </c>
      <c r="E443">
        <v>41</v>
      </c>
      <c r="F443" t="s">
        <v>968</v>
      </c>
      <c r="G443">
        <v>265</v>
      </c>
      <c r="H443">
        <v>1</v>
      </c>
      <c r="I443" t="s">
        <v>98</v>
      </c>
      <c r="J443">
        <v>0</v>
      </c>
      <c r="K443">
        <v>1</v>
      </c>
      <c r="L443">
        <v>5</v>
      </c>
      <c r="M443">
        <v>291</v>
      </c>
      <c r="N443">
        <v>450</v>
      </c>
      <c r="O443">
        <v>0</v>
      </c>
      <c r="P443">
        <v>448</v>
      </c>
      <c r="Q443">
        <v>2</v>
      </c>
      <c r="R443">
        <v>132</v>
      </c>
      <c r="S443">
        <v>2</v>
      </c>
      <c r="T443">
        <v>23</v>
      </c>
      <c r="U443">
        <v>55</v>
      </c>
      <c r="V443">
        <v>1</v>
      </c>
      <c r="W443">
        <v>2</v>
      </c>
      <c r="X443">
        <v>2</v>
      </c>
      <c r="Y443">
        <v>146</v>
      </c>
      <c r="Z443">
        <v>7</v>
      </c>
      <c r="AA443">
        <v>0</v>
      </c>
      <c r="AB443">
        <v>3</v>
      </c>
      <c r="AC443">
        <v>0</v>
      </c>
      <c r="AD443">
        <v>0</v>
      </c>
      <c r="AE443">
        <v>0</v>
      </c>
      <c r="AF443">
        <v>0</v>
      </c>
      <c r="AG443">
        <v>6</v>
      </c>
      <c r="AH443">
        <v>5</v>
      </c>
      <c r="AI443">
        <v>0</v>
      </c>
      <c r="AJ443">
        <v>0</v>
      </c>
      <c r="AK443">
        <v>7</v>
      </c>
      <c r="AL443">
        <v>1</v>
      </c>
      <c r="AM443">
        <v>0</v>
      </c>
      <c r="AN443">
        <v>1</v>
      </c>
      <c r="AZ443">
        <v>38</v>
      </c>
      <c r="BC443">
        <v>0</v>
      </c>
      <c r="BD443">
        <v>15</v>
      </c>
      <c r="BE443">
        <v>448</v>
      </c>
      <c r="BF443">
        <v>448</v>
      </c>
      <c r="BG443">
        <v>716</v>
      </c>
      <c r="BJ443">
        <v>1</v>
      </c>
      <c r="BL443" t="s">
        <v>1001</v>
      </c>
      <c r="BM443" s="4">
        <v>43283.113194444442</v>
      </c>
      <c r="BN443" s="4">
        <v>43283.118472222224</v>
      </c>
      <c r="BO443" s="4">
        <v>43283.118472222224</v>
      </c>
      <c r="BP443" t="s">
        <v>92</v>
      </c>
      <c r="BQ443" t="s">
        <v>93</v>
      </c>
      <c r="BR443" t="s">
        <v>94</v>
      </c>
    </row>
    <row r="444" spans="1:70" x14ac:dyDescent="0.3">
      <c r="A444" t="str">
        <f>"200265C0200"</f>
        <v>200265C0200</v>
      </c>
      <c r="B444" t="s">
        <v>1002</v>
      </c>
      <c r="C444">
        <v>20</v>
      </c>
      <c r="D444" t="s">
        <v>88</v>
      </c>
      <c r="E444">
        <v>41</v>
      </c>
      <c r="F444" t="s">
        <v>968</v>
      </c>
      <c r="G444">
        <v>265</v>
      </c>
      <c r="H444">
        <v>2</v>
      </c>
      <c r="I444" t="s">
        <v>98</v>
      </c>
      <c r="J444">
        <v>0</v>
      </c>
      <c r="K444">
        <v>1</v>
      </c>
      <c r="L444">
        <v>5</v>
      </c>
      <c r="M444">
        <v>259</v>
      </c>
      <c r="N444">
        <v>480</v>
      </c>
      <c r="O444">
        <v>1</v>
      </c>
      <c r="P444">
        <v>480</v>
      </c>
      <c r="Q444">
        <v>3</v>
      </c>
      <c r="R444">
        <v>122</v>
      </c>
      <c r="S444">
        <v>1</v>
      </c>
      <c r="T444">
        <v>27</v>
      </c>
      <c r="U444">
        <v>62</v>
      </c>
      <c r="V444">
        <v>0</v>
      </c>
      <c r="W444">
        <v>3</v>
      </c>
      <c r="X444">
        <v>1</v>
      </c>
      <c r="Y444">
        <v>193</v>
      </c>
      <c r="Z444">
        <v>3</v>
      </c>
      <c r="AA444">
        <v>1</v>
      </c>
      <c r="AB444">
        <v>0</v>
      </c>
      <c r="AC444">
        <v>0</v>
      </c>
      <c r="AD444">
        <v>0</v>
      </c>
      <c r="AE444">
        <v>0</v>
      </c>
      <c r="AF444" t="s">
        <v>127</v>
      </c>
      <c r="AG444">
        <v>1</v>
      </c>
      <c r="AH444">
        <v>9</v>
      </c>
      <c r="AI444">
        <v>0</v>
      </c>
      <c r="AJ444">
        <v>0</v>
      </c>
      <c r="AK444">
        <v>6</v>
      </c>
      <c r="AL444">
        <v>3</v>
      </c>
      <c r="AM444">
        <v>1</v>
      </c>
      <c r="AN444">
        <v>3</v>
      </c>
      <c r="AZ444">
        <v>27</v>
      </c>
      <c r="BC444" t="s">
        <v>105</v>
      </c>
      <c r="BD444">
        <v>14</v>
      </c>
      <c r="BE444">
        <v>480</v>
      </c>
      <c r="BF444">
        <v>480</v>
      </c>
      <c r="BG444">
        <v>716</v>
      </c>
      <c r="BI444" t="s">
        <v>106</v>
      </c>
      <c r="BJ444">
        <v>1</v>
      </c>
      <c r="BL444" t="s">
        <v>1003</v>
      </c>
      <c r="BM444" s="4">
        <v>43283.118750000001</v>
      </c>
      <c r="BN444" s="4">
        <v>43283.141157407408</v>
      </c>
      <c r="BO444" s="4">
        <v>43283.141157407408</v>
      </c>
      <c r="BP444" t="s">
        <v>92</v>
      </c>
      <c r="BQ444" t="s">
        <v>93</v>
      </c>
      <c r="BR444" t="s">
        <v>94</v>
      </c>
    </row>
    <row r="445" spans="1:70" x14ac:dyDescent="0.3">
      <c r="A445" t="str">
        <f>"200266B0100"</f>
        <v>200266B0100</v>
      </c>
      <c r="B445" t="s">
        <v>1004</v>
      </c>
      <c r="C445">
        <v>20</v>
      </c>
      <c r="D445" t="s">
        <v>88</v>
      </c>
      <c r="E445">
        <v>41</v>
      </c>
      <c r="F445" t="s">
        <v>968</v>
      </c>
      <c r="G445">
        <v>266</v>
      </c>
      <c r="H445">
        <v>1</v>
      </c>
      <c r="I445" t="s">
        <v>90</v>
      </c>
      <c r="J445">
        <v>0</v>
      </c>
      <c r="K445">
        <v>1</v>
      </c>
      <c r="L445">
        <v>5</v>
      </c>
      <c r="M445">
        <v>198</v>
      </c>
      <c r="N445">
        <v>442</v>
      </c>
      <c r="O445">
        <v>4</v>
      </c>
      <c r="P445">
        <v>442</v>
      </c>
      <c r="Q445">
        <v>2</v>
      </c>
      <c r="R445">
        <v>120</v>
      </c>
      <c r="S445">
        <v>2</v>
      </c>
      <c r="T445">
        <v>13</v>
      </c>
      <c r="U445">
        <v>48</v>
      </c>
      <c r="V445">
        <v>3</v>
      </c>
      <c r="W445">
        <v>0</v>
      </c>
      <c r="X445">
        <v>2</v>
      </c>
      <c r="Y445">
        <v>189</v>
      </c>
      <c r="Z445">
        <v>8</v>
      </c>
      <c r="AA445">
        <v>1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1</v>
      </c>
      <c r="AI445">
        <v>0</v>
      </c>
      <c r="AJ445">
        <v>0</v>
      </c>
      <c r="AK445">
        <v>4</v>
      </c>
      <c r="AL445">
        <v>4</v>
      </c>
      <c r="AM445">
        <v>1</v>
      </c>
      <c r="AN445">
        <v>4</v>
      </c>
      <c r="AZ445">
        <v>31</v>
      </c>
      <c r="BC445">
        <v>0</v>
      </c>
      <c r="BD445">
        <v>9</v>
      </c>
      <c r="BE445">
        <v>442</v>
      </c>
      <c r="BF445">
        <v>442</v>
      </c>
      <c r="BG445">
        <v>625</v>
      </c>
      <c r="BJ445">
        <v>1</v>
      </c>
      <c r="BL445" t="s">
        <v>1005</v>
      </c>
      <c r="BM445" s="4">
        <v>43283.144444444442</v>
      </c>
      <c r="BN445" s="4">
        <v>43283.152013888888</v>
      </c>
      <c r="BO445" s="4">
        <v>43283.152013888888</v>
      </c>
      <c r="BP445" t="s">
        <v>92</v>
      </c>
      <c r="BQ445" t="s">
        <v>93</v>
      </c>
      <c r="BR445" t="s">
        <v>94</v>
      </c>
    </row>
    <row r="446" spans="1:70" x14ac:dyDescent="0.3">
      <c r="A446" t="str">
        <f>"200267B0100"</f>
        <v>200267B0100</v>
      </c>
      <c r="B446" t="s">
        <v>1006</v>
      </c>
      <c r="C446">
        <v>20</v>
      </c>
      <c r="D446" t="s">
        <v>88</v>
      </c>
      <c r="E446">
        <v>41</v>
      </c>
      <c r="F446" t="s">
        <v>968</v>
      </c>
      <c r="G446">
        <v>267</v>
      </c>
      <c r="H446">
        <v>1</v>
      </c>
      <c r="I446" t="s">
        <v>90</v>
      </c>
      <c r="J446">
        <v>0</v>
      </c>
      <c r="K446">
        <v>1</v>
      </c>
      <c r="L446">
        <v>5</v>
      </c>
      <c r="M446">
        <v>209</v>
      </c>
      <c r="N446">
        <v>236</v>
      </c>
      <c r="O446">
        <v>4</v>
      </c>
      <c r="P446" t="s">
        <v>105</v>
      </c>
      <c r="Q446">
        <v>7</v>
      </c>
      <c r="R446">
        <v>70</v>
      </c>
      <c r="S446">
        <v>1</v>
      </c>
      <c r="T446">
        <v>11</v>
      </c>
      <c r="U446">
        <v>24</v>
      </c>
      <c r="V446">
        <v>1</v>
      </c>
      <c r="W446">
        <v>2</v>
      </c>
      <c r="X446" t="s">
        <v>105</v>
      </c>
      <c r="Y446">
        <v>84</v>
      </c>
      <c r="Z446">
        <v>1</v>
      </c>
      <c r="AA446" t="s">
        <v>105</v>
      </c>
      <c r="AB446">
        <v>1</v>
      </c>
      <c r="AC446">
        <v>1</v>
      </c>
      <c r="AD446" t="s">
        <v>105</v>
      </c>
      <c r="AE446" t="s">
        <v>105</v>
      </c>
      <c r="AF446" t="s">
        <v>105</v>
      </c>
      <c r="AG446" t="s">
        <v>105</v>
      </c>
      <c r="AH446">
        <v>5</v>
      </c>
      <c r="AI446" t="s">
        <v>105</v>
      </c>
      <c r="AJ446" t="s">
        <v>105</v>
      </c>
      <c r="AK446">
        <v>5</v>
      </c>
      <c r="AL446">
        <v>1</v>
      </c>
      <c r="AM446" t="s">
        <v>105</v>
      </c>
      <c r="AN446" t="s">
        <v>105</v>
      </c>
      <c r="AZ446">
        <v>18</v>
      </c>
      <c r="BC446" t="s">
        <v>105</v>
      </c>
      <c r="BD446" t="s">
        <v>105</v>
      </c>
      <c r="BE446">
        <v>232</v>
      </c>
      <c r="BF446">
        <v>232</v>
      </c>
      <c r="BG446">
        <v>417</v>
      </c>
      <c r="BI446" t="s">
        <v>106</v>
      </c>
      <c r="BJ446">
        <v>1</v>
      </c>
      <c r="BL446" s="2" t="s">
        <v>1007</v>
      </c>
      <c r="BM446" s="4">
        <v>43283.115972222222</v>
      </c>
      <c r="BN446" s="4">
        <v>43283.121608796297</v>
      </c>
      <c r="BO446" s="4">
        <v>43283.121608796297</v>
      </c>
      <c r="BP446" t="s">
        <v>92</v>
      </c>
      <c r="BQ446" t="s">
        <v>93</v>
      </c>
      <c r="BR446" t="s">
        <v>94</v>
      </c>
    </row>
    <row r="447" spans="1:70" x14ac:dyDescent="0.3">
      <c r="A447" t="str">
        <f>"200267C0100"</f>
        <v>200267C0100</v>
      </c>
      <c r="B447" t="s">
        <v>1008</v>
      </c>
      <c r="C447">
        <v>20</v>
      </c>
      <c r="D447" t="s">
        <v>88</v>
      </c>
      <c r="E447">
        <v>41</v>
      </c>
      <c r="F447" t="s">
        <v>968</v>
      </c>
      <c r="G447">
        <v>267</v>
      </c>
      <c r="H447">
        <v>1</v>
      </c>
      <c r="I447" t="s">
        <v>98</v>
      </c>
      <c r="J447">
        <v>0</v>
      </c>
      <c r="K447">
        <v>1</v>
      </c>
      <c r="L447">
        <v>5</v>
      </c>
      <c r="M447">
        <v>173</v>
      </c>
      <c r="N447">
        <v>267</v>
      </c>
      <c r="O447">
        <v>2</v>
      </c>
      <c r="P447">
        <v>265</v>
      </c>
      <c r="Q447">
        <v>7</v>
      </c>
      <c r="R447">
        <v>106</v>
      </c>
      <c r="S447">
        <v>1</v>
      </c>
      <c r="T447">
        <v>5</v>
      </c>
      <c r="U447">
        <v>28</v>
      </c>
      <c r="V447">
        <v>1</v>
      </c>
      <c r="W447">
        <v>1</v>
      </c>
      <c r="X447">
        <v>0</v>
      </c>
      <c r="Y447">
        <v>91</v>
      </c>
      <c r="Z447">
        <v>5</v>
      </c>
      <c r="AA447">
        <v>1</v>
      </c>
      <c r="AB447">
        <v>2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3</v>
      </c>
      <c r="AI447">
        <v>0</v>
      </c>
      <c r="AJ447">
        <v>0</v>
      </c>
      <c r="AK447">
        <v>2</v>
      </c>
      <c r="AL447">
        <v>1</v>
      </c>
      <c r="AM447">
        <v>0</v>
      </c>
      <c r="AN447">
        <v>1</v>
      </c>
      <c r="AZ447">
        <v>11</v>
      </c>
      <c r="BC447">
        <v>0</v>
      </c>
      <c r="BD447">
        <v>1</v>
      </c>
      <c r="BE447" t="s">
        <v>105</v>
      </c>
      <c r="BF447">
        <v>267</v>
      </c>
      <c r="BG447">
        <v>416</v>
      </c>
      <c r="BJ447">
        <v>1</v>
      </c>
      <c r="BL447" t="s">
        <v>1009</v>
      </c>
      <c r="BM447" s="4">
        <v>43283.167361111111</v>
      </c>
      <c r="BN447" s="4">
        <v>43283.187060185184</v>
      </c>
      <c r="BO447" s="4">
        <v>43283.187060185184</v>
      </c>
      <c r="BP447" t="s">
        <v>92</v>
      </c>
      <c r="BQ447" t="s">
        <v>93</v>
      </c>
      <c r="BR447" t="s">
        <v>94</v>
      </c>
    </row>
    <row r="448" spans="1:70" x14ac:dyDescent="0.3">
      <c r="A448" t="str">
        <f>"200267S0100"</f>
        <v>200267S0100</v>
      </c>
      <c r="B448" t="s">
        <v>1010</v>
      </c>
      <c r="C448">
        <v>20</v>
      </c>
      <c r="D448" t="s">
        <v>88</v>
      </c>
      <c r="E448">
        <v>41</v>
      </c>
      <c r="F448" t="s">
        <v>968</v>
      </c>
      <c r="G448">
        <v>267</v>
      </c>
      <c r="H448">
        <v>1</v>
      </c>
      <c r="I448" t="s">
        <v>113</v>
      </c>
      <c r="J448">
        <v>0</v>
      </c>
      <c r="K448">
        <v>1</v>
      </c>
      <c r="L448">
        <v>6</v>
      </c>
      <c r="BG448">
        <v>0</v>
      </c>
      <c r="BI448" t="s">
        <v>122</v>
      </c>
      <c r="BJ448">
        <v>0</v>
      </c>
      <c r="BL448" t="s">
        <v>1011</v>
      </c>
      <c r="BM448" s="4">
        <v>43283.286805555559</v>
      </c>
      <c r="BN448" s="4">
        <v>43283.790810185186</v>
      </c>
      <c r="BO448" s="4">
        <v>43283.790810185186</v>
      </c>
      <c r="BP448" t="s">
        <v>92</v>
      </c>
      <c r="BQ448" t="s">
        <v>93</v>
      </c>
      <c r="BR448" t="s">
        <v>94</v>
      </c>
    </row>
    <row r="449" spans="1:70" x14ac:dyDescent="0.3">
      <c r="A449" t="str">
        <f>"200268B0100"</f>
        <v>200268B0100</v>
      </c>
      <c r="B449" t="s">
        <v>1012</v>
      </c>
      <c r="C449">
        <v>20</v>
      </c>
      <c r="D449" t="s">
        <v>88</v>
      </c>
      <c r="E449">
        <v>41</v>
      </c>
      <c r="F449" t="s">
        <v>968</v>
      </c>
      <c r="G449">
        <v>268</v>
      </c>
      <c r="H449">
        <v>1</v>
      </c>
      <c r="I449" t="s">
        <v>90</v>
      </c>
      <c r="J449">
        <v>0</v>
      </c>
      <c r="K449">
        <v>1</v>
      </c>
      <c r="L449">
        <v>5</v>
      </c>
      <c r="M449">
        <v>140</v>
      </c>
      <c r="N449">
        <v>271</v>
      </c>
      <c r="O449">
        <v>2</v>
      </c>
      <c r="P449">
        <v>271</v>
      </c>
      <c r="Q449">
        <v>1</v>
      </c>
      <c r="R449">
        <v>91</v>
      </c>
      <c r="S449">
        <v>0</v>
      </c>
      <c r="T449">
        <v>9</v>
      </c>
      <c r="U449">
        <v>10</v>
      </c>
      <c r="V449">
        <v>0</v>
      </c>
      <c r="W449">
        <v>0</v>
      </c>
      <c r="X449">
        <v>0</v>
      </c>
      <c r="Y449">
        <v>114</v>
      </c>
      <c r="Z449">
        <v>0</v>
      </c>
      <c r="AA449">
        <v>2</v>
      </c>
      <c r="AB449">
        <v>1</v>
      </c>
      <c r="AC449">
        <v>0</v>
      </c>
      <c r="AD449">
        <v>0</v>
      </c>
      <c r="AE449">
        <v>0</v>
      </c>
      <c r="AF449">
        <v>0</v>
      </c>
      <c r="AG449">
        <v>3</v>
      </c>
      <c r="AH449">
        <v>4</v>
      </c>
      <c r="AI449">
        <v>2</v>
      </c>
      <c r="AJ449">
        <v>0</v>
      </c>
      <c r="AK449">
        <v>4</v>
      </c>
      <c r="AL449">
        <v>3</v>
      </c>
      <c r="AM449">
        <v>2</v>
      </c>
      <c r="AN449">
        <v>0</v>
      </c>
      <c r="AZ449">
        <v>13</v>
      </c>
      <c r="BC449">
        <v>0</v>
      </c>
      <c r="BD449">
        <v>12</v>
      </c>
      <c r="BE449">
        <v>271</v>
      </c>
      <c r="BF449">
        <v>271</v>
      </c>
      <c r="BG449">
        <v>387</v>
      </c>
      <c r="BJ449">
        <v>1</v>
      </c>
      <c r="BL449" t="s">
        <v>1013</v>
      </c>
      <c r="BM449" s="4">
        <v>43283.075694444444</v>
      </c>
      <c r="BN449" s="4">
        <v>43283.080428240741</v>
      </c>
      <c r="BO449" s="4">
        <v>43283.080428240741</v>
      </c>
      <c r="BP449" t="s">
        <v>92</v>
      </c>
      <c r="BQ449" t="s">
        <v>93</v>
      </c>
      <c r="BR449" t="s">
        <v>94</v>
      </c>
    </row>
    <row r="450" spans="1:70" x14ac:dyDescent="0.3">
      <c r="A450" t="str">
        <f>"200268C0100"</f>
        <v>200268C0100</v>
      </c>
      <c r="B450" t="s">
        <v>1014</v>
      </c>
      <c r="C450">
        <v>20</v>
      </c>
      <c r="D450" t="s">
        <v>88</v>
      </c>
      <c r="E450">
        <v>41</v>
      </c>
      <c r="F450" t="s">
        <v>968</v>
      </c>
      <c r="G450">
        <v>268</v>
      </c>
      <c r="H450">
        <v>1</v>
      </c>
      <c r="I450" t="s">
        <v>98</v>
      </c>
      <c r="J450">
        <v>0</v>
      </c>
      <c r="K450">
        <v>1</v>
      </c>
      <c r="L450">
        <v>5</v>
      </c>
      <c r="BG450">
        <v>387</v>
      </c>
      <c r="BI450" t="s">
        <v>122</v>
      </c>
      <c r="BJ450">
        <v>0</v>
      </c>
      <c r="BL450" t="s">
        <v>1015</v>
      </c>
      <c r="BM450" s="4">
        <v>43283.286805555559</v>
      </c>
      <c r="BN450" s="4">
        <v>43283.792766203704</v>
      </c>
      <c r="BO450" s="4">
        <v>43283.792766203704</v>
      </c>
      <c r="BP450" t="s">
        <v>92</v>
      </c>
      <c r="BQ450" t="s">
        <v>93</v>
      </c>
      <c r="BR450" t="s">
        <v>94</v>
      </c>
    </row>
    <row r="451" spans="1:70" x14ac:dyDescent="0.3">
      <c r="A451" t="str">
        <f>"200269B0100"</f>
        <v>200269B0100</v>
      </c>
      <c r="B451" t="s">
        <v>1016</v>
      </c>
      <c r="C451">
        <v>20</v>
      </c>
      <c r="D451" t="s">
        <v>88</v>
      </c>
      <c r="E451">
        <v>41</v>
      </c>
      <c r="F451" t="s">
        <v>968</v>
      </c>
      <c r="G451">
        <v>269</v>
      </c>
      <c r="H451">
        <v>1</v>
      </c>
      <c r="I451" t="s">
        <v>90</v>
      </c>
      <c r="J451">
        <v>0</v>
      </c>
      <c r="K451">
        <v>1</v>
      </c>
      <c r="L451">
        <v>5</v>
      </c>
      <c r="M451">
        <v>272</v>
      </c>
      <c r="N451">
        <v>447</v>
      </c>
      <c r="O451">
        <v>0</v>
      </c>
      <c r="P451">
        <v>447</v>
      </c>
      <c r="Q451">
        <v>3</v>
      </c>
      <c r="R451">
        <v>172</v>
      </c>
      <c r="S451">
        <v>3</v>
      </c>
      <c r="T451">
        <v>4</v>
      </c>
      <c r="U451">
        <v>37</v>
      </c>
      <c r="V451">
        <v>0</v>
      </c>
      <c r="W451">
        <v>0</v>
      </c>
      <c r="X451">
        <v>0</v>
      </c>
      <c r="Y451">
        <v>172</v>
      </c>
      <c r="Z451">
        <v>7</v>
      </c>
      <c r="AA451">
        <v>0</v>
      </c>
      <c r="AB451">
        <v>1</v>
      </c>
      <c r="AC451">
        <v>1</v>
      </c>
      <c r="AD451">
        <v>0</v>
      </c>
      <c r="AE451">
        <v>0</v>
      </c>
      <c r="AF451">
        <v>0</v>
      </c>
      <c r="AG451">
        <v>1</v>
      </c>
      <c r="AH451">
        <v>1</v>
      </c>
      <c r="AI451">
        <v>0</v>
      </c>
      <c r="AJ451">
        <v>0</v>
      </c>
      <c r="AK451">
        <v>7</v>
      </c>
      <c r="AL451">
        <v>2</v>
      </c>
      <c r="AM451">
        <v>0</v>
      </c>
      <c r="AN451">
        <v>0</v>
      </c>
      <c r="AZ451">
        <v>25</v>
      </c>
      <c r="BC451">
        <v>0</v>
      </c>
      <c r="BD451">
        <v>11</v>
      </c>
      <c r="BE451">
        <v>447</v>
      </c>
      <c r="BF451">
        <v>447</v>
      </c>
      <c r="BG451">
        <v>695</v>
      </c>
      <c r="BJ451">
        <v>1</v>
      </c>
      <c r="BL451" t="s">
        <v>1017</v>
      </c>
      <c r="BM451" s="4">
        <v>43283.07916666667</v>
      </c>
      <c r="BN451" s="4">
        <v>43283.084363425929</v>
      </c>
      <c r="BO451" s="4">
        <v>43283.084363425929</v>
      </c>
      <c r="BP451" t="s">
        <v>92</v>
      </c>
      <c r="BQ451" t="s">
        <v>93</v>
      </c>
      <c r="BR451" t="s">
        <v>94</v>
      </c>
    </row>
    <row r="452" spans="1:70" x14ac:dyDescent="0.3">
      <c r="A452" t="str">
        <f>"200269C0100"</f>
        <v>200269C0100</v>
      </c>
      <c r="B452" t="s">
        <v>1018</v>
      </c>
      <c r="C452">
        <v>20</v>
      </c>
      <c r="D452" t="s">
        <v>88</v>
      </c>
      <c r="E452">
        <v>41</v>
      </c>
      <c r="F452" t="s">
        <v>968</v>
      </c>
      <c r="G452">
        <v>269</v>
      </c>
      <c r="H452">
        <v>1</v>
      </c>
      <c r="I452" t="s">
        <v>98</v>
      </c>
      <c r="J452">
        <v>0</v>
      </c>
      <c r="K452">
        <v>1</v>
      </c>
      <c r="L452">
        <v>5</v>
      </c>
      <c r="M452">
        <v>261</v>
      </c>
      <c r="N452">
        <v>460</v>
      </c>
      <c r="O452">
        <v>2</v>
      </c>
      <c r="P452">
        <v>460</v>
      </c>
      <c r="Q452">
        <v>4</v>
      </c>
      <c r="R452">
        <v>145</v>
      </c>
      <c r="S452">
        <v>2</v>
      </c>
      <c r="T452">
        <v>3</v>
      </c>
      <c r="U452">
        <v>46</v>
      </c>
      <c r="V452">
        <v>3</v>
      </c>
      <c r="W452">
        <v>1</v>
      </c>
      <c r="X452">
        <v>2</v>
      </c>
      <c r="Y452">
        <v>194</v>
      </c>
      <c r="Z452">
        <v>2</v>
      </c>
      <c r="AA452">
        <v>3</v>
      </c>
      <c r="AB452">
        <v>1</v>
      </c>
      <c r="AC452">
        <v>0</v>
      </c>
      <c r="AD452">
        <v>0</v>
      </c>
      <c r="AE452">
        <v>0</v>
      </c>
      <c r="AF452">
        <v>0</v>
      </c>
      <c r="AG452">
        <v>7</v>
      </c>
      <c r="AH452">
        <v>0</v>
      </c>
      <c r="AI452">
        <v>0</v>
      </c>
      <c r="AJ452">
        <v>0</v>
      </c>
      <c r="AK452">
        <v>8</v>
      </c>
      <c r="AL452">
        <v>0</v>
      </c>
      <c r="AM452">
        <v>0</v>
      </c>
      <c r="AN452">
        <v>0</v>
      </c>
      <c r="AZ452">
        <v>0</v>
      </c>
      <c r="BC452">
        <v>0</v>
      </c>
      <c r="BD452">
        <v>12</v>
      </c>
      <c r="BE452">
        <v>460</v>
      </c>
      <c r="BF452">
        <v>433</v>
      </c>
      <c r="BG452">
        <v>695</v>
      </c>
      <c r="BJ452">
        <v>1</v>
      </c>
      <c r="BL452" t="s">
        <v>1019</v>
      </c>
      <c r="BM452" s="4">
        <v>43283.076388888891</v>
      </c>
      <c r="BN452" s="4">
        <v>43283.081828703704</v>
      </c>
      <c r="BO452" s="4">
        <v>43283.081828703704</v>
      </c>
      <c r="BP452" t="s">
        <v>92</v>
      </c>
      <c r="BQ452" t="s">
        <v>93</v>
      </c>
      <c r="BR452" t="s">
        <v>94</v>
      </c>
    </row>
    <row r="453" spans="1:70" x14ac:dyDescent="0.3">
      <c r="A453" t="str">
        <f>"200270B0100"</f>
        <v>200270B0100</v>
      </c>
      <c r="B453" t="s">
        <v>1020</v>
      </c>
      <c r="C453">
        <v>20</v>
      </c>
      <c r="D453" t="s">
        <v>88</v>
      </c>
      <c r="E453">
        <v>41</v>
      </c>
      <c r="F453" t="s">
        <v>968</v>
      </c>
      <c r="G453">
        <v>270</v>
      </c>
      <c r="H453">
        <v>1</v>
      </c>
      <c r="I453" t="s">
        <v>90</v>
      </c>
      <c r="J453">
        <v>0</v>
      </c>
      <c r="K453">
        <v>1</v>
      </c>
      <c r="L453">
        <v>5</v>
      </c>
      <c r="M453">
        <v>243</v>
      </c>
      <c r="N453">
        <v>382</v>
      </c>
      <c r="O453">
        <v>0</v>
      </c>
      <c r="P453">
        <v>382</v>
      </c>
      <c r="Q453">
        <v>2</v>
      </c>
      <c r="R453">
        <v>96</v>
      </c>
      <c r="S453">
        <v>13</v>
      </c>
      <c r="T453">
        <v>10</v>
      </c>
      <c r="U453">
        <v>36</v>
      </c>
      <c r="V453">
        <v>1</v>
      </c>
      <c r="W453">
        <v>0</v>
      </c>
      <c r="X453">
        <v>0</v>
      </c>
      <c r="Y453">
        <v>168</v>
      </c>
      <c r="Z453">
        <v>10</v>
      </c>
      <c r="AA453">
        <v>0</v>
      </c>
      <c r="AB453">
        <v>5</v>
      </c>
      <c r="AC453">
        <v>1</v>
      </c>
      <c r="AD453">
        <v>0</v>
      </c>
      <c r="AE453">
        <v>0</v>
      </c>
      <c r="AF453">
        <v>0</v>
      </c>
      <c r="AG453">
        <v>2</v>
      </c>
      <c r="AH453">
        <v>0</v>
      </c>
      <c r="AI453">
        <v>0</v>
      </c>
      <c r="AJ453">
        <v>0</v>
      </c>
      <c r="AK453">
        <v>8</v>
      </c>
      <c r="AL453">
        <v>3</v>
      </c>
      <c r="AM453">
        <v>1</v>
      </c>
      <c r="AN453">
        <v>1</v>
      </c>
      <c r="AZ453">
        <v>15</v>
      </c>
      <c r="BC453" t="s">
        <v>105</v>
      </c>
      <c r="BD453">
        <v>9</v>
      </c>
      <c r="BE453">
        <v>381</v>
      </c>
      <c r="BF453">
        <v>381</v>
      </c>
      <c r="BG453">
        <v>602</v>
      </c>
      <c r="BI453" t="s">
        <v>106</v>
      </c>
      <c r="BJ453">
        <v>1</v>
      </c>
      <c r="BL453" t="s">
        <v>1021</v>
      </c>
      <c r="BM453" s="4">
        <v>43283.24722222222</v>
      </c>
      <c r="BN453" s="4">
        <v>43283.272453703707</v>
      </c>
      <c r="BO453" s="4">
        <v>43283.272453703707</v>
      </c>
      <c r="BP453" t="s">
        <v>92</v>
      </c>
      <c r="BQ453" t="s">
        <v>93</v>
      </c>
      <c r="BR453" t="s">
        <v>94</v>
      </c>
    </row>
    <row r="454" spans="1:70" x14ac:dyDescent="0.3">
      <c r="A454" t="str">
        <f>"200270C0100"</f>
        <v>200270C0100</v>
      </c>
      <c r="B454" t="s">
        <v>1022</v>
      </c>
      <c r="C454">
        <v>20</v>
      </c>
      <c r="D454" t="s">
        <v>88</v>
      </c>
      <c r="E454">
        <v>41</v>
      </c>
      <c r="F454" t="s">
        <v>968</v>
      </c>
      <c r="G454">
        <v>270</v>
      </c>
      <c r="H454">
        <v>1</v>
      </c>
      <c r="I454" t="s">
        <v>98</v>
      </c>
      <c r="J454">
        <v>0</v>
      </c>
      <c r="K454">
        <v>1</v>
      </c>
      <c r="L454">
        <v>5</v>
      </c>
      <c r="M454">
        <v>246</v>
      </c>
      <c r="N454">
        <v>380</v>
      </c>
      <c r="O454">
        <v>1</v>
      </c>
      <c r="P454">
        <v>380</v>
      </c>
      <c r="Q454">
        <v>5</v>
      </c>
      <c r="R454">
        <v>73</v>
      </c>
      <c r="S454">
        <v>10</v>
      </c>
      <c r="T454">
        <v>9</v>
      </c>
      <c r="U454">
        <v>38</v>
      </c>
      <c r="V454">
        <v>0</v>
      </c>
      <c r="W454">
        <v>0</v>
      </c>
      <c r="X454">
        <v>0</v>
      </c>
      <c r="Y454">
        <v>168</v>
      </c>
      <c r="Z454">
        <v>7</v>
      </c>
      <c r="AA454">
        <v>1</v>
      </c>
      <c r="AB454">
        <v>2</v>
      </c>
      <c r="AC454">
        <v>0</v>
      </c>
      <c r="AD454">
        <v>0</v>
      </c>
      <c r="AE454">
        <v>0</v>
      </c>
      <c r="AF454">
        <v>0</v>
      </c>
      <c r="AG454">
        <v>1</v>
      </c>
      <c r="AH454">
        <v>2</v>
      </c>
      <c r="AI454">
        <v>0</v>
      </c>
      <c r="AJ454">
        <v>0</v>
      </c>
      <c r="AK454">
        <v>10</v>
      </c>
      <c r="AL454">
        <v>4</v>
      </c>
      <c r="AM454">
        <v>1</v>
      </c>
      <c r="AN454">
        <v>1</v>
      </c>
      <c r="AZ454">
        <v>41</v>
      </c>
      <c r="BC454">
        <v>0</v>
      </c>
      <c r="BD454">
        <v>7</v>
      </c>
      <c r="BE454">
        <v>380</v>
      </c>
      <c r="BF454">
        <v>380</v>
      </c>
      <c r="BG454">
        <v>602</v>
      </c>
      <c r="BJ454">
        <v>1</v>
      </c>
      <c r="BL454" t="s">
        <v>1023</v>
      </c>
      <c r="BM454" s="4">
        <v>43283.254166666666</v>
      </c>
      <c r="BN454" s="4">
        <v>43283.281157407408</v>
      </c>
      <c r="BO454" s="4">
        <v>43283.281157407408</v>
      </c>
      <c r="BP454" t="s">
        <v>92</v>
      </c>
      <c r="BQ454" t="s">
        <v>93</v>
      </c>
      <c r="BR454" t="s">
        <v>94</v>
      </c>
    </row>
    <row r="455" spans="1:70" x14ac:dyDescent="0.3">
      <c r="A455" t="str">
        <f>"200270C0200"</f>
        <v>200270C0200</v>
      </c>
      <c r="B455" t="s">
        <v>1024</v>
      </c>
      <c r="C455">
        <v>20</v>
      </c>
      <c r="D455" t="s">
        <v>88</v>
      </c>
      <c r="E455">
        <v>41</v>
      </c>
      <c r="F455" t="s">
        <v>968</v>
      </c>
      <c r="G455">
        <v>270</v>
      </c>
      <c r="H455">
        <v>2</v>
      </c>
      <c r="I455" t="s">
        <v>98</v>
      </c>
      <c r="J455">
        <v>0</v>
      </c>
      <c r="K455">
        <v>1</v>
      </c>
      <c r="L455">
        <v>5</v>
      </c>
      <c r="M455">
        <v>264</v>
      </c>
      <c r="N455">
        <v>363</v>
      </c>
      <c r="O455">
        <v>2</v>
      </c>
      <c r="P455">
        <v>363</v>
      </c>
      <c r="Q455">
        <v>4</v>
      </c>
      <c r="R455">
        <v>86</v>
      </c>
      <c r="S455">
        <v>14</v>
      </c>
      <c r="T455">
        <v>11</v>
      </c>
      <c r="U455">
        <v>36</v>
      </c>
      <c r="V455">
        <v>2</v>
      </c>
      <c r="W455">
        <v>0</v>
      </c>
      <c r="X455">
        <v>2</v>
      </c>
      <c r="Y455">
        <v>154</v>
      </c>
      <c r="Z455">
        <v>7</v>
      </c>
      <c r="AA455">
        <v>0</v>
      </c>
      <c r="AB455">
        <v>2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3</v>
      </c>
      <c r="AI455">
        <v>0</v>
      </c>
      <c r="AJ455">
        <v>0</v>
      </c>
      <c r="AK455">
        <v>10</v>
      </c>
      <c r="AL455">
        <v>4</v>
      </c>
      <c r="AM455">
        <v>0</v>
      </c>
      <c r="AN455">
        <v>2</v>
      </c>
      <c r="AZ455">
        <v>16</v>
      </c>
      <c r="BC455">
        <v>0</v>
      </c>
      <c r="BD455">
        <v>12</v>
      </c>
      <c r="BE455">
        <v>363</v>
      </c>
      <c r="BF455">
        <v>365</v>
      </c>
      <c r="BG455">
        <v>602</v>
      </c>
      <c r="BJ455">
        <v>1</v>
      </c>
      <c r="BL455" t="s">
        <v>1025</v>
      </c>
      <c r="BM455" s="4">
        <v>43283.249305555553</v>
      </c>
      <c r="BN455" s="4">
        <v>43283.274675925924</v>
      </c>
      <c r="BO455" s="4">
        <v>43283.274675925924</v>
      </c>
      <c r="BP455" t="s">
        <v>92</v>
      </c>
      <c r="BQ455" t="s">
        <v>93</v>
      </c>
      <c r="BR455" t="s">
        <v>94</v>
      </c>
    </row>
    <row r="456" spans="1:70" x14ac:dyDescent="0.3">
      <c r="A456" t="str">
        <f>"200270S0100"</f>
        <v>200270S0100</v>
      </c>
      <c r="B456" t="s">
        <v>1026</v>
      </c>
      <c r="C456">
        <v>20</v>
      </c>
      <c r="D456" t="s">
        <v>88</v>
      </c>
      <c r="E456">
        <v>41</v>
      </c>
      <c r="F456" t="s">
        <v>968</v>
      </c>
      <c r="G456">
        <v>270</v>
      </c>
      <c r="H456">
        <v>1</v>
      </c>
      <c r="I456" t="s">
        <v>113</v>
      </c>
      <c r="J456">
        <v>0</v>
      </c>
      <c r="K456">
        <v>1</v>
      </c>
      <c r="L456">
        <v>6</v>
      </c>
      <c r="M456">
        <v>762</v>
      </c>
      <c r="N456">
        <v>12</v>
      </c>
      <c r="O456">
        <v>0</v>
      </c>
      <c r="P456">
        <v>12</v>
      </c>
      <c r="Q456" t="s">
        <v>105</v>
      </c>
      <c r="R456">
        <v>3</v>
      </c>
      <c r="S456">
        <v>1</v>
      </c>
      <c r="T456">
        <v>2</v>
      </c>
      <c r="U456">
        <v>2</v>
      </c>
      <c r="V456" t="s">
        <v>105</v>
      </c>
      <c r="W456" t="s">
        <v>105</v>
      </c>
      <c r="X456" t="s">
        <v>105</v>
      </c>
      <c r="Y456">
        <v>3</v>
      </c>
      <c r="Z456" t="s">
        <v>105</v>
      </c>
      <c r="AA456" t="s">
        <v>105</v>
      </c>
      <c r="AB456">
        <v>1</v>
      </c>
      <c r="AC456" t="s">
        <v>105</v>
      </c>
      <c r="AD456" t="s">
        <v>105</v>
      </c>
      <c r="AE456" t="s">
        <v>105</v>
      </c>
      <c r="AF456" t="s">
        <v>105</v>
      </c>
      <c r="AG456" t="s">
        <v>105</v>
      </c>
      <c r="AH456" t="s">
        <v>105</v>
      </c>
      <c r="AI456" t="s">
        <v>105</v>
      </c>
      <c r="AJ456" t="s">
        <v>105</v>
      </c>
      <c r="AK456" t="s">
        <v>105</v>
      </c>
      <c r="AL456" t="s">
        <v>105</v>
      </c>
      <c r="AM456" t="s">
        <v>105</v>
      </c>
      <c r="AN456" t="s">
        <v>105</v>
      </c>
      <c r="AZ456" t="s">
        <v>105</v>
      </c>
      <c r="BC456" t="s">
        <v>105</v>
      </c>
      <c r="BD456" t="s">
        <v>105</v>
      </c>
      <c r="BE456">
        <v>12</v>
      </c>
      <c r="BF456">
        <v>12</v>
      </c>
      <c r="BG456">
        <v>0</v>
      </c>
      <c r="BI456" t="s">
        <v>106</v>
      </c>
      <c r="BJ456">
        <v>1</v>
      </c>
      <c r="BL456" t="s">
        <v>1027</v>
      </c>
      <c r="BM456" s="4">
        <v>43283.252083333333</v>
      </c>
      <c r="BN456" s="4">
        <v>43283.278136574074</v>
      </c>
      <c r="BO456" s="4">
        <v>43283.278136574074</v>
      </c>
      <c r="BP456" t="s">
        <v>92</v>
      </c>
      <c r="BQ456" t="s">
        <v>93</v>
      </c>
      <c r="BR456" t="s">
        <v>94</v>
      </c>
    </row>
    <row r="457" spans="1:70" x14ac:dyDescent="0.3">
      <c r="A457" t="str">
        <f>"200271B0100"</f>
        <v>200271B0100</v>
      </c>
      <c r="B457" t="s">
        <v>1028</v>
      </c>
      <c r="C457">
        <v>20</v>
      </c>
      <c r="D457" t="s">
        <v>88</v>
      </c>
      <c r="E457">
        <v>41</v>
      </c>
      <c r="F457" t="s">
        <v>968</v>
      </c>
      <c r="G457">
        <v>271</v>
      </c>
      <c r="H457">
        <v>1</v>
      </c>
      <c r="I457" t="s">
        <v>90</v>
      </c>
      <c r="J457">
        <v>0</v>
      </c>
      <c r="K457">
        <v>1</v>
      </c>
      <c r="L457">
        <v>5</v>
      </c>
      <c r="M457" t="s">
        <v>127</v>
      </c>
      <c r="N457" t="s">
        <v>127</v>
      </c>
      <c r="O457">
        <v>2</v>
      </c>
      <c r="P457">
        <v>312</v>
      </c>
      <c r="Q457">
        <v>6</v>
      </c>
      <c r="R457">
        <v>84</v>
      </c>
      <c r="S457">
        <v>3</v>
      </c>
      <c r="T457">
        <v>13</v>
      </c>
      <c r="U457">
        <v>25</v>
      </c>
      <c r="V457">
        <v>2</v>
      </c>
      <c r="W457">
        <v>0</v>
      </c>
      <c r="X457">
        <v>11</v>
      </c>
      <c r="Y457">
        <v>116</v>
      </c>
      <c r="Z457">
        <v>7</v>
      </c>
      <c r="AA457">
        <v>1</v>
      </c>
      <c r="AB457">
        <v>1</v>
      </c>
      <c r="AC457">
        <v>0</v>
      </c>
      <c r="AD457">
        <v>1</v>
      </c>
      <c r="AE457">
        <v>0</v>
      </c>
      <c r="AF457">
        <v>0</v>
      </c>
      <c r="AG457">
        <v>5</v>
      </c>
      <c r="AH457">
        <v>2</v>
      </c>
      <c r="AI457">
        <v>0</v>
      </c>
      <c r="AJ457">
        <v>0</v>
      </c>
      <c r="AK457">
        <v>3</v>
      </c>
      <c r="AL457">
        <v>3</v>
      </c>
      <c r="AM457">
        <v>0</v>
      </c>
      <c r="AN457">
        <v>2</v>
      </c>
      <c r="AZ457">
        <v>14</v>
      </c>
      <c r="BC457">
        <v>0</v>
      </c>
      <c r="BD457">
        <v>13</v>
      </c>
      <c r="BE457">
        <v>312</v>
      </c>
      <c r="BF457">
        <v>312</v>
      </c>
      <c r="BG457">
        <v>515</v>
      </c>
      <c r="BJ457">
        <v>1</v>
      </c>
      <c r="BL457" t="s">
        <v>1029</v>
      </c>
      <c r="BM457" s="4">
        <v>43283.263194444444</v>
      </c>
      <c r="BN457" s="4">
        <v>43283.2891087963</v>
      </c>
      <c r="BO457" s="4">
        <v>43283.2891087963</v>
      </c>
      <c r="BP457" t="s">
        <v>92</v>
      </c>
      <c r="BQ457" t="s">
        <v>93</v>
      </c>
      <c r="BR457" t="s">
        <v>94</v>
      </c>
    </row>
    <row r="458" spans="1:70" x14ac:dyDescent="0.3">
      <c r="A458" t="str">
        <f>"200271C0100"</f>
        <v>200271C0100</v>
      </c>
      <c r="B458" t="s">
        <v>1030</v>
      </c>
      <c r="C458">
        <v>20</v>
      </c>
      <c r="D458" t="s">
        <v>88</v>
      </c>
      <c r="E458">
        <v>41</v>
      </c>
      <c r="F458" t="s">
        <v>968</v>
      </c>
      <c r="G458">
        <v>271</v>
      </c>
      <c r="H458">
        <v>1</v>
      </c>
      <c r="I458" t="s">
        <v>98</v>
      </c>
      <c r="J458">
        <v>0</v>
      </c>
      <c r="K458">
        <v>1</v>
      </c>
      <c r="L458">
        <v>5</v>
      </c>
      <c r="M458">
        <v>215</v>
      </c>
      <c r="N458">
        <v>327</v>
      </c>
      <c r="O458">
        <v>0</v>
      </c>
      <c r="P458">
        <v>326</v>
      </c>
      <c r="Q458">
        <v>4</v>
      </c>
      <c r="R458">
        <v>86</v>
      </c>
      <c r="S458">
        <v>1</v>
      </c>
      <c r="T458">
        <v>28</v>
      </c>
      <c r="U458">
        <v>15</v>
      </c>
      <c r="V458">
        <v>1</v>
      </c>
      <c r="W458">
        <v>1</v>
      </c>
      <c r="X458">
        <v>4</v>
      </c>
      <c r="Y458">
        <v>117</v>
      </c>
      <c r="Z458">
        <v>10</v>
      </c>
      <c r="AA458">
        <v>0</v>
      </c>
      <c r="AB458">
        <v>1</v>
      </c>
      <c r="AC458">
        <v>0</v>
      </c>
      <c r="AD458">
        <v>0</v>
      </c>
      <c r="AE458">
        <v>0</v>
      </c>
      <c r="AF458">
        <v>0</v>
      </c>
      <c r="AG458">
        <v>2</v>
      </c>
      <c r="AH458">
        <v>2</v>
      </c>
      <c r="AI458">
        <v>0</v>
      </c>
      <c r="AJ458">
        <v>0</v>
      </c>
      <c r="AK458">
        <v>5</v>
      </c>
      <c r="AL458">
        <v>5</v>
      </c>
      <c r="AM458">
        <v>0</v>
      </c>
      <c r="AN458">
        <v>2</v>
      </c>
      <c r="AZ458">
        <v>20</v>
      </c>
      <c r="BC458" t="s">
        <v>105</v>
      </c>
      <c r="BD458">
        <v>20</v>
      </c>
      <c r="BE458" t="s">
        <v>105</v>
      </c>
      <c r="BF458">
        <v>324</v>
      </c>
      <c r="BG458">
        <v>515</v>
      </c>
      <c r="BI458" t="s">
        <v>106</v>
      </c>
      <c r="BJ458">
        <v>1</v>
      </c>
      <c r="BL458" t="s">
        <v>1031</v>
      </c>
      <c r="BM458" s="4">
        <v>43283.256249999999</v>
      </c>
      <c r="BN458" s="4">
        <v>43283.28597222222</v>
      </c>
      <c r="BO458" s="4">
        <v>43283.28597222222</v>
      </c>
      <c r="BP458" t="s">
        <v>92</v>
      </c>
      <c r="BQ458" t="s">
        <v>93</v>
      </c>
      <c r="BR458" t="s">
        <v>94</v>
      </c>
    </row>
    <row r="459" spans="1:70" x14ac:dyDescent="0.3">
      <c r="A459" t="str">
        <f>"200272B0100"</f>
        <v>200272B0100</v>
      </c>
      <c r="B459" t="s">
        <v>1032</v>
      </c>
      <c r="C459">
        <v>20</v>
      </c>
      <c r="D459" t="s">
        <v>88</v>
      </c>
      <c r="E459">
        <v>41</v>
      </c>
      <c r="F459" t="s">
        <v>968</v>
      </c>
      <c r="G459">
        <v>272</v>
      </c>
      <c r="H459">
        <v>1</v>
      </c>
      <c r="I459" t="s">
        <v>90</v>
      </c>
      <c r="J459">
        <v>0</v>
      </c>
      <c r="K459">
        <v>1</v>
      </c>
      <c r="L459">
        <v>5</v>
      </c>
      <c r="M459">
        <v>207</v>
      </c>
      <c r="N459">
        <v>398</v>
      </c>
      <c r="O459">
        <v>4</v>
      </c>
      <c r="P459">
        <v>398</v>
      </c>
      <c r="Q459">
        <v>1</v>
      </c>
      <c r="R459">
        <v>111</v>
      </c>
      <c r="S459">
        <v>3</v>
      </c>
      <c r="T459">
        <v>13</v>
      </c>
      <c r="U459">
        <v>32</v>
      </c>
      <c r="V459">
        <v>0</v>
      </c>
      <c r="W459">
        <v>1</v>
      </c>
      <c r="X459">
        <v>3</v>
      </c>
      <c r="Y459">
        <v>187</v>
      </c>
      <c r="Z459">
        <v>8</v>
      </c>
      <c r="AA459">
        <v>0</v>
      </c>
      <c r="AB459">
        <v>2</v>
      </c>
      <c r="AC459">
        <v>0</v>
      </c>
      <c r="AD459">
        <v>0</v>
      </c>
      <c r="AE459">
        <v>0</v>
      </c>
      <c r="AF459">
        <v>0</v>
      </c>
      <c r="AG459">
        <v>1</v>
      </c>
      <c r="AH459">
        <v>1</v>
      </c>
      <c r="AI459">
        <v>0</v>
      </c>
      <c r="AJ459">
        <v>0</v>
      </c>
      <c r="AK459">
        <v>5</v>
      </c>
      <c r="AL459">
        <v>1</v>
      </c>
      <c r="AM459">
        <v>0</v>
      </c>
      <c r="AN459">
        <v>0</v>
      </c>
      <c r="AZ459">
        <v>20</v>
      </c>
      <c r="BC459">
        <v>0</v>
      </c>
      <c r="BD459">
        <v>9</v>
      </c>
      <c r="BE459">
        <v>398</v>
      </c>
      <c r="BF459">
        <v>398</v>
      </c>
      <c r="BG459">
        <v>581</v>
      </c>
      <c r="BJ459">
        <v>1</v>
      </c>
      <c r="BL459" t="s">
        <v>1033</v>
      </c>
      <c r="BM459" s="4">
        <v>43283.102777777778</v>
      </c>
      <c r="BN459" s="4">
        <v>43283.108043981483</v>
      </c>
      <c r="BO459" s="4">
        <v>43283.108043981483</v>
      </c>
      <c r="BP459" t="s">
        <v>92</v>
      </c>
      <c r="BQ459" t="s">
        <v>93</v>
      </c>
      <c r="BR459" t="s">
        <v>94</v>
      </c>
    </row>
    <row r="460" spans="1:70" x14ac:dyDescent="0.3">
      <c r="A460" t="str">
        <f>"200272C0100"</f>
        <v>200272C0100</v>
      </c>
      <c r="B460" t="s">
        <v>1034</v>
      </c>
      <c r="C460">
        <v>20</v>
      </c>
      <c r="D460" t="s">
        <v>88</v>
      </c>
      <c r="E460">
        <v>41</v>
      </c>
      <c r="F460" t="s">
        <v>968</v>
      </c>
      <c r="G460">
        <v>272</v>
      </c>
      <c r="H460">
        <v>1</v>
      </c>
      <c r="I460" t="s">
        <v>98</v>
      </c>
      <c r="J460">
        <v>0</v>
      </c>
      <c r="K460">
        <v>1</v>
      </c>
      <c r="L460">
        <v>5</v>
      </c>
      <c r="M460">
        <v>200</v>
      </c>
      <c r="N460">
        <v>404</v>
      </c>
      <c r="O460">
        <v>0</v>
      </c>
      <c r="P460">
        <v>404</v>
      </c>
      <c r="Q460">
        <v>4</v>
      </c>
      <c r="R460">
        <v>105</v>
      </c>
      <c r="S460">
        <v>4</v>
      </c>
      <c r="T460">
        <v>7</v>
      </c>
      <c r="U460">
        <v>37</v>
      </c>
      <c r="V460">
        <v>2</v>
      </c>
      <c r="W460">
        <v>3</v>
      </c>
      <c r="X460">
        <v>2</v>
      </c>
      <c r="Y460">
        <v>192</v>
      </c>
      <c r="Z460">
        <v>3</v>
      </c>
      <c r="AA460">
        <v>0</v>
      </c>
      <c r="AB460">
        <v>2</v>
      </c>
      <c r="AC460">
        <v>0</v>
      </c>
      <c r="AD460">
        <v>0</v>
      </c>
      <c r="AE460">
        <v>0</v>
      </c>
      <c r="AF460">
        <v>0</v>
      </c>
      <c r="AG460">
        <v>1</v>
      </c>
      <c r="AH460">
        <v>3</v>
      </c>
      <c r="AI460">
        <v>0</v>
      </c>
      <c r="AJ460">
        <v>0</v>
      </c>
      <c r="AK460">
        <v>6</v>
      </c>
      <c r="AL460">
        <v>3</v>
      </c>
      <c r="AM460">
        <v>1</v>
      </c>
      <c r="AN460">
        <v>1</v>
      </c>
      <c r="AZ460">
        <v>15</v>
      </c>
      <c r="BC460">
        <v>0</v>
      </c>
      <c r="BD460">
        <v>13</v>
      </c>
      <c r="BE460">
        <v>404</v>
      </c>
      <c r="BF460">
        <v>404</v>
      </c>
      <c r="BG460">
        <v>580</v>
      </c>
      <c r="BJ460">
        <v>1</v>
      </c>
      <c r="BL460" t="s">
        <v>1035</v>
      </c>
      <c r="BM460" s="4">
        <v>43283.1</v>
      </c>
      <c r="BN460" s="4">
        <v>43283.103981481479</v>
      </c>
      <c r="BO460" s="4">
        <v>43283.103981481479</v>
      </c>
      <c r="BP460" t="s">
        <v>92</v>
      </c>
      <c r="BQ460" t="s">
        <v>93</v>
      </c>
      <c r="BR460" t="s">
        <v>94</v>
      </c>
    </row>
    <row r="461" spans="1:70" x14ac:dyDescent="0.3">
      <c r="A461" t="str">
        <f>"200273B0100"</f>
        <v>200273B0100</v>
      </c>
      <c r="B461" t="s">
        <v>1036</v>
      </c>
      <c r="C461">
        <v>20</v>
      </c>
      <c r="D461" t="s">
        <v>88</v>
      </c>
      <c r="E461">
        <v>41</v>
      </c>
      <c r="F461" t="s">
        <v>968</v>
      </c>
      <c r="G461">
        <v>273</v>
      </c>
      <c r="H461">
        <v>1</v>
      </c>
      <c r="I461" t="s">
        <v>90</v>
      </c>
      <c r="J461">
        <v>0</v>
      </c>
      <c r="K461">
        <v>1</v>
      </c>
      <c r="L461">
        <v>5</v>
      </c>
      <c r="M461">
        <v>209</v>
      </c>
      <c r="N461" t="s">
        <v>127</v>
      </c>
      <c r="O461">
        <v>2</v>
      </c>
      <c r="P461">
        <v>375</v>
      </c>
      <c r="Q461">
        <v>5</v>
      </c>
      <c r="R461">
        <v>113</v>
      </c>
      <c r="S461">
        <v>4</v>
      </c>
      <c r="T461">
        <v>11</v>
      </c>
      <c r="U461">
        <v>50</v>
      </c>
      <c r="V461">
        <v>2</v>
      </c>
      <c r="W461">
        <v>1</v>
      </c>
      <c r="X461">
        <v>1</v>
      </c>
      <c r="Y461">
        <v>133</v>
      </c>
      <c r="Z461">
        <v>4</v>
      </c>
      <c r="AA461">
        <v>0</v>
      </c>
      <c r="AB461">
        <v>4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6</v>
      </c>
      <c r="AI461">
        <v>1</v>
      </c>
      <c r="AJ461">
        <v>0</v>
      </c>
      <c r="AK461">
        <v>4</v>
      </c>
      <c r="AL461">
        <v>4</v>
      </c>
      <c r="AM461">
        <v>1</v>
      </c>
      <c r="AN461">
        <v>4</v>
      </c>
      <c r="AZ461">
        <v>17</v>
      </c>
      <c r="BC461">
        <v>1</v>
      </c>
      <c r="BD461">
        <v>9</v>
      </c>
      <c r="BE461">
        <v>375</v>
      </c>
      <c r="BF461">
        <v>375</v>
      </c>
      <c r="BG461">
        <v>560</v>
      </c>
      <c r="BJ461">
        <v>1</v>
      </c>
      <c r="BL461" t="s">
        <v>1037</v>
      </c>
      <c r="BM461" s="4">
        <v>43283.094444444447</v>
      </c>
      <c r="BN461" s="4">
        <v>43283.100578703707</v>
      </c>
      <c r="BO461" s="4">
        <v>43283.100578703707</v>
      </c>
      <c r="BP461" t="s">
        <v>92</v>
      </c>
      <c r="BQ461" t="s">
        <v>93</v>
      </c>
      <c r="BR461" t="s">
        <v>94</v>
      </c>
    </row>
    <row r="462" spans="1:70" x14ac:dyDescent="0.3">
      <c r="A462" t="str">
        <f>"200273C0100"</f>
        <v>200273C0100</v>
      </c>
      <c r="B462" t="s">
        <v>1038</v>
      </c>
      <c r="C462">
        <v>20</v>
      </c>
      <c r="D462" t="s">
        <v>88</v>
      </c>
      <c r="E462">
        <v>41</v>
      </c>
      <c r="F462" t="s">
        <v>968</v>
      </c>
      <c r="G462">
        <v>273</v>
      </c>
      <c r="H462">
        <v>1</v>
      </c>
      <c r="I462" t="s">
        <v>98</v>
      </c>
      <c r="J462">
        <v>0</v>
      </c>
      <c r="K462">
        <v>1</v>
      </c>
      <c r="L462">
        <v>5</v>
      </c>
      <c r="BG462">
        <v>560</v>
      </c>
      <c r="BI462" t="s">
        <v>122</v>
      </c>
      <c r="BJ462">
        <v>0</v>
      </c>
      <c r="BL462" s="2" t="s">
        <v>1039</v>
      </c>
      <c r="BM462" s="4">
        <v>43283.287499999999</v>
      </c>
      <c r="BN462" s="4">
        <v>43283.795370370368</v>
      </c>
      <c r="BO462" s="4">
        <v>43283.795370370368</v>
      </c>
      <c r="BP462" t="s">
        <v>92</v>
      </c>
      <c r="BQ462" t="s">
        <v>93</v>
      </c>
      <c r="BR462" t="s">
        <v>94</v>
      </c>
    </row>
    <row r="463" spans="1:70" x14ac:dyDescent="0.3">
      <c r="A463" t="str">
        <f>"200274B0100"</f>
        <v>200274B0100</v>
      </c>
      <c r="B463" t="s">
        <v>1040</v>
      </c>
      <c r="C463">
        <v>20</v>
      </c>
      <c r="D463" t="s">
        <v>88</v>
      </c>
      <c r="E463">
        <v>41</v>
      </c>
      <c r="F463" t="s">
        <v>968</v>
      </c>
      <c r="G463">
        <v>274</v>
      </c>
      <c r="H463">
        <v>1</v>
      </c>
      <c r="I463" t="s">
        <v>90</v>
      </c>
      <c r="J463">
        <v>0</v>
      </c>
      <c r="K463">
        <v>1</v>
      </c>
      <c r="L463">
        <v>5</v>
      </c>
      <c r="M463">
        <v>296</v>
      </c>
      <c r="N463">
        <v>417</v>
      </c>
      <c r="O463">
        <v>2</v>
      </c>
      <c r="P463">
        <v>417</v>
      </c>
      <c r="Q463">
        <v>6</v>
      </c>
      <c r="R463">
        <v>80</v>
      </c>
      <c r="S463">
        <v>1</v>
      </c>
      <c r="T463">
        <v>23</v>
      </c>
      <c r="U463">
        <v>65</v>
      </c>
      <c r="V463">
        <v>1</v>
      </c>
      <c r="W463">
        <v>0</v>
      </c>
      <c r="X463">
        <v>3</v>
      </c>
      <c r="Y463">
        <v>170</v>
      </c>
      <c r="Z463">
        <v>11</v>
      </c>
      <c r="AA463">
        <v>0</v>
      </c>
      <c r="AB463">
        <v>3</v>
      </c>
      <c r="AC463">
        <v>0</v>
      </c>
      <c r="AD463">
        <v>0</v>
      </c>
      <c r="AE463">
        <v>0</v>
      </c>
      <c r="AF463">
        <v>0</v>
      </c>
      <c r="AG463">
        <v>2</v>
      </c>
      <c r="AH463">
        <v>5</v>
      </c>
      <c r="AI463">
        <v>0</v>
      </c>
      <c r="AJ463">
        <v>1</v>
      </c>
      <c r="AK463">
        <v>8</v>
      </c>
      <c r="AL463">
        <v>4</v>
      </c>
      <c r="AM463">
        <v>1</v>
      </c>
      <c r="AN463">
        <v>1</v>
      </c>
      <c r="AZ463">
        <v>24</v>
      </c>
      <c r="BC463">
        <v>0</v>
      </c>
      <c r="BD463">
        <v>8</v>
      </c>
      <c r="BE463">
        <v>417</v>
      </c>
      <c r="BF463">
        <v>417</v>
      </c>
      <c r="BG463">
        <v>689</v>
      </c>
      <c r="BJ463">
        <v>1</v>
      </c>
      <c r="BL463" s="2" t="s">
        <v>1041</v>
      </c>
      <c r="BM463" s="4">
        <v>43283.1875</v>
      </c>
      <c r="BN463" s="4">
        <v>43283.206354166665</v>
      </c>
      <c r="BO463" s="4">
        <v>43283.206354166665</v>
      </c>
      <c r="BP463" t="s">
        <v>92</v>
      </c>
      <c r="BQ463" t="s">
        <v>93</v>
      </c>
      <c r="BR463" t="s">
        <v>94</v>
      </c>
    </row>
    <row r="464" spans="1:70" x14ac:dyDescent="0.3">
      <c r="A464" t="str">
        <f>"200274C0100"</f>
        <v>200274C0100</v>
      </c>
      <c r="B464" t="s">
        <v>1042</v>
      </c>
      <c r="C464">
        <v>20</v>
      </c>
      <c r="D464" t="s">
        <v>88</v>
      </c>
      <c r="E464">
        <v>41</v>
      </c>
      <c r="F464" t="s">
        <v>968</v>
      </c>
      <c r="G464">
        <v>274</v>
      </c>
      <c r="H464">
        <v>1</v>
      </c>
      <c r="I464" t="s">
        <v>98</v>
      </c>
      <c r="J464">
        <v>0</v>
      </c>
      <c r="K464">
        <v>1</v>
      </c>
      <c r="L464">
        <v>5</v>
      </c>
      <c r="BG464">
        <v>689</v>
      </c>
      <c r="BI464" t="s">
        <v>122</v>
      </c>
      <c r="BJ464">
        <v>0</v>
      </c>
      <c r="BL464" t="s">
        <v>1043</v>
      </c>
      <c r="BM464" s="4">
        <v>43283.288194444445</v>
      </c>
      <c r="BN464" s="4">
        <v>43283.795787037037</v>
      </c>
      <c r="BO464" s="4">
        <v>43283.795787037037</v>
      </c>
      <c r="BP464" t="s">
        <v>92</v>
      </c>
      <c r="BQ464" t="s">
        <v>93</v>
      </c>
      <c r="BR464" t="s">
        <v>94</v>
      </c>
    </row>
    <row r="465" spans="1:70" x14ac:dyDescent="0.3">
      <c r="A465" t="str">
        <f>"200274C0200"</f>
        <v>200274C0200</v>
      </c>
      <c r="B465" t="s">
        <v>1044</v>
      </c>
      <c r="C465">
        <v>20</v>
      </c>
      <c r="D465" t="s">
        <v>88</v>
      </c>
      <c r="E465">
        <v>41</v>
      </c>
      <c r="F465" t="s">
        <v>968</v>
      </c>
      <c r="G465">
        <v>274</v>
      </c>
      <c r="H465">
        <v>2</v>
      </c>
      <c r="I465" t="s">
        <v>98</v>
      </c>
      <c r="J465">
        <v>0</v>
      </c>
      <c r="K465">
        <v>1</v>
      </c>
      <c r="L465">
        <v>5</v>
      </c>
      <c r="BG465">
        <v>689</v>
      </c>
      <c r="BI465" t="s">
        <v>122</v>
      </c>
      <c r="BJ465">
        <v>0</v>
      </c>
      <c r="BL465" t="s">
        <v>1045</v>
      </c>
      <c r="BM465" s="4">
        <v>43283.288888888892</v>
      </c>
      <c r="BN465" s="4">
        <v>43283.7968287037</v>
      </c>
      <c r="BO465" s="4">
        <v>43283.7968287037</v>
      </c>
      <c r="BP465" t="s">
        <v>92</v>
      </c>
      <c r="BQ465" t="s">
        <v>93</v>
      </c>
      <c r="BR465" t="s">
        <v>94</v>
      </c>
    </row>
    <row r="466" spans="1:70" x14ac:dyDescent="0.3">
      <c r="A466" t="str">
        <f>"200275B0100"</f>
        <v>200275B0100</v>
      </c>
      <c r="B466" t="s">
        <v>1046</v>
      </c>
      <c r="C466">
        <v>20</v>
      </c>
      <c r="D466" t="s">
        <v>88</v>
      </c>
      <c r="E466">
        <v>41</v>
      </c>
      <c r="F466" t="s">
        <v>968</v>
      </c>
      <c r="G466">
        <v>275</v>
      </c>
      <c r="H466">
        <v>1</v>
      </c>
      <c r="I466" t="s">
        <v>90</v>
      </c>
      <c r="J466">
        <v>0</v>
      </c>
      <c r="K466">
        <v>2</v>
      </c>
      <c r="L466">
        <v>5</v>
      </c>
      <c r="M466">
        <v>57</v>
      </c>
      <c r="N466">
        <v>44</v>
      </c>
      <c r="O466">
        <v>3</v>
      </c>
      <c r="P466">
        <v>43</v>
      </c>
      <c r="Q466">
        <v>0</v>
      </c>
      <c r="R466">
        <v>16</v>
      </c>
      <c r="S466">
        <v>0</v>
      </c>
      <c r="T466">
        <v>1</v>
      </c>
      <c r="U466">
        <v>13</v>
      </c>
      <c r="V466">
        <v>0</v>
      </c>
      <c r="W466">
        <v>0</v>
      </c>
      <c r="X466">
        <v>0</v>
      </c>
      <c r="Y466">
        <v>12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Z466">
        <v>0</v>
      </c>
      <c r="BC466">
        <v>0</v>
      </c>
      <c r="BD466">
        <v>1</v>
      </c>
      <c r="BE466" t="s">
        <v>105</v>
      </c>
      <c r="BF466">
        <v>43</v>
      </c>
      <c r="BG466">
        <v>76</v>
      </c>
      <c r="BJ466">
        <v>1</v>
      </c>
      <c r="BL466" t="s">
        <v>1047</v>
      </c>
      <c r="BM466" s="4">
        <v>43283.169444444444</v>
      </c>
      <c r="BN466" s="4">
        <v>43283.181944444441</v>
      </c>
      <c r="BO466" s="4">
        <v>43283.181944444441</v>
      </c>
      <c r="BP466" t="s">
        <v>92</v>
      </c>
      <c r="BQ466" t="s">
        <v>93</v>
      </c>
      <c r="BR466" t="s">
        <v>94</v>
      </c>
    </row>
    <row r="467" spans="1:70" x14ac:dyDescent="0.3">
      <c r="A467" t="str">
        <f>"200283B0100"</f>
        <v>200283B0100</v>
      </c>
      <c r="B467" t="s">
        <v>1048</v>
      </c>
      <c r="C467">
        <v>20</v>
      </c>
      <c r="D467" t="s">
        <v>88</v>
      </c>
      <c r="E467">
        <v>43</v>
      </c>
      <c r="F467" t="s">
        <v>1049</v>
      </c>
      <c r="G467">
        <v>283</v>
      </c>
      <c r="H467">
        <v>1</v>
      </c>
      <c r="I467" t="s">
        <v>90</v>
      </c>
      <c r="J467">
        <v>0</v>
      </c>
      <c r="K467">
        <v>1</v>
      </c>
      <c r="L467">
        <v>5</v>
      </c>
      <c r="M467">
        <v>181</v>
      </c>
      <c r="N467">
        <v>386</v>
      </c>
      <c r="O467">
        <v>12</v>
      </c>
      <c r="P467">
        <v>374</v>
      </c>
      <c r="Q467">
        <v>13</v>
      </c>
      <c r="R467">
        <v>125</v>
      </c>
      <c r="S467">
        <v>9</v>
      </c>
      <c r="T467">
        <v>7</v>
      </c>
      <c r="U467">
        <v>19</v>
      </c>
      <c r="V467">
        <v>3</v>
      </c>
      <c r="W467">
        <v>3</v>
      </c>
      <c r="X467">
        <v>4</v>
      </c>
      <c r="Y467">
        <v>115</v>
      </c>
      <c r="Z467">
        <v>3</v>
      </c>
      <c r="AA467">
        <v>46</v>
      </c>
      <c r="AC467" t="s">
        <v>105</v>
      </c>
      <c r="AD467" t="s">
        <v>105</v>
      </c>
      <c r="AE467" t="s">
        <v>105</v>
      </c>
      <c r="AF467" t="s">
        <v>105</v>
      </c>
      <c r="AG467">
        <v>1</v>
      </c>
      <c r="AH467">
        <v>3</v>
      </c>
      <c r="AI467" t="s">
        <v>105</v>
      </c>
      <c r="AJ467" t="s">
        <v>105</v>
      </c>
      <c r="AK467">
        <v>3</v>
      </c>
      <c r="AL467">
        <v>1</v>
      </c>
      <c r="AM467" t="s">
        <v>105</v>
      </c>
      <c r="AN467">
        <v>2</v>
      </c>
      <c r="BC467" t="s">
        <v>105</v>
      </c>
      <c r="BD467">
        <v>17</v>
      </c>
      <c r="BE467">
        <v>374</v>
      </c>
      <c r="BF467">
        <v>374</v>
      </c>
      <c r="BG467">
        <v>535</v>
      </c>
      <c r="BI467" t="s">
        <v>106</v>
      </c>
      <c r="BJ467">
        <v>1</v>
      </c>
      <c r="BL467" t="s">
        <v>1050</v>
      </c>
      <c r="BM467" s="4">
        <v>43283.149305555555</v>
      </c>
      <c r="BN467" s="4">
        <v>43283.172060185185</v>
      </c>
      <c r="BO467" s="4">
        <v>43283.172060185185</v>
      </c>
      <c r="BP467" t="s">
        <v>92</v>
      </c>
      <c r="BQ467" t="s">
        <v>93</v>
      </c>
      <c r="BR467" t="s">
        <v>94</v>
      </c>
    </row>
    <row r="468" spans="1:70" x14ac:dyDescent="0.3">
      <c r="A468" t="str">
        <f>"200283C0100"</f>
        <v>200283C0100</v>
      </c>
      <c r="B468" t="s">
        <v>1051</v>
      </c>
      <c r="C468">
        <v>20</v>
      </c>
      <c r="D468" t="s">
        <v>88</v>
      </c>
      <c r="E468">
        <v>43</v>
      </c>
      <c r="F468" t="s">
        <v>1049</v>
      </c>
      <c r="G468">
        <v>283</v>
      </c>
      <c r="H468">
        <v>1</v>
      </c>
      <c r="I468" t="s">
        <v>98</v>
      </c>
      <c r="J468">
        <v>0</v>
      </c>
      <c r="K468">
        <v>1</v>
      </c>
      <c r="L468">
        <v>5</v>
      </c>
      <c r="M468">
        <v>223</v>
      </c>
      <c r="N468">
        <v>332</v>
      </c>
      <c r="O468">
        <v>3</v>
      </c>
      <c r="P468">
        <v>332</v>
      </c>
      <c r="Q468">
        <v>3</v>
      </c>
      <c r="R468">
        <v>120</v>
      </c>
      <c r="S468">
        <v>7</v>
      </c>
      <c r="T468">
        <v>10</v>
      </c>
      <c r="U468">
        <v>12</v>
      </c>
      <c r="V468">
        <v>3</v>
      </c>
      <c r="W468">
        <v>0</v>
      </c>
      <c r="X468">
        <v>5</v>
      </c>
      <c r="Y468">
        <v>111</v>
      </c>
      <c r="Z468">
        <v>6</v>
      </c>
      <c r="AA468">
        <v>36</v>
      </c>
      <c r="AC468">
        <v>1</v>
      </c>
      <c r="AD468">
        <v>0</v>
      </c>
      <c r="AE468">
        <v>0</v>
      </c>
      <c r="AF468">
        <v>0</v>
      </c>
      <c r="AG468">
        <v>2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BC468">
        <v>0</v>
      </c>
      <c r="BD468">
        <v>16</v>
      </c>
      <c r="BE468">
        <v>332</v>
      </c>
      <c r="BF468">
        <v>332</v>
      </c>
      <c r="BG468">
        <v>534</v>
      </c>
      <c r="BJ468">
        <v>1</v>
      </c>
      <c r="BL468" t="s">
        <v>1052</v>
      </c>
      <c r="BM468" s="4">
        <v>43283.145833333336</v>
      </c>
      <c r="BN468" s="4">
        <v>43283.153738425928</v>
      </c>
      <c r="BO468" s="4">
        <v>43283.153738425928</v>
      </c>
      <c r="BP468" t="s">
        <v>92</v>
      </c>
      <c r="BQ468" t="s">
        <v>93</v>
      </c>
      <c r="BR468" t="s">
        <v>94</v>
      </c>
    </row>
    <row r="469" spans="1:70" x14ac:dyDescent="0.3">
      <c r="A469" t="str">
        <f>"200283C0200"</f>
        <v>200283C0200</v>
      </c>
      <c r="B469" t="s">
        <v>1053</v>
      </c>
      <c r="C469">
        <v>20</v>
      </c>
      <c r="D469" t="s">
        <v>88</v>
      </c>
      <c r="E469">
        <v>43</v>
      </c>
      <c r="F469" t="s">
        <v>1049</v>
      </c>
      <c r="G469">
        <v>283</v>
      </c>
      <c r="H469">
        <v>2</v>
      </c>
      <c r="I469" t="s">
        <v>98</v>
      </c>
      <c r="J469">
        <v>0</v>
      </c>
      <c r="K469">
        <v>1</v>
      </c>
      <c r="L469">
        <v>5</v>
      </c>
      <c r="M469">
        <v>210</v>
      </c>
      <c r="N469">
        <v>559</v>
      </c>
      <c r="O469">
        <v>0</v>
      </c>
      <c r="P469">
        <v>349</v>
      </c>
      <c r="Q469">
        <v>6</v>
      </c>
      <c r="R469">
        <v>109</v>
      </c>
      <c r="S469">
        <v>5</v>
      </c>
      <c r="T469">
        <v>9</v>
      </c>
      <c r="U469">
        <v>10</v>
      </c>
      <c r="V469">
        <v>2</v>
      </c>
      <c r="W469">
        <v>2</v>
      </c>
      <c r="X469">
        <v>6</v>
      </c>
      <c r="Y469">
        <v>122</v>
      </c>
      <c r="Z469">
        <v>3</v>
      </c>
      <c r="AA469">
        <v>57</v>
      </c>
      <c r="AC469">
        <v>0</v>
      </c>
      <c r="AD469">
        <v>0</v>
      </c>
      <c r="AE469">
        <v>0</v>
      </c>
      <c r="AF469">
        <v>0</v>
      </c>
      <c r="AG469">
        <v>2</v>
      </c>
      <c r="AH469">
        <v>2</v>
      </c>
      <c r="AI469">
        <v>0</v>
      </c>
      <c r="AJ469">
        <v>0</v>
      </c>
      <c r="AK469">
        <v>2</v>
      </c>
      <c r="AL469">
        <v>0</v>
      </c>
      <c r="AM469">
        <v>0</v>
      </c>
      <c r="AN469">
        <v>2</v>
      </c>
      <c r="BC469">
        <v>0</v>
      </c>
      <c r="BD469">
        <v>10</v>
      </c>
      <c r="BE469">
        <v>349</v>
      </c>
      <c r="BF469">
        <v>349</v>
      </c>
      <c r="BG469">
        <v>534</v>
      </c>
      <c r="BJ469">
        <v>1</v>
      </c>
      <c r="BL469" s="2" t="s">
        <v>1054</v>
      </c>
      <c r="BM469" s="4">
        <v>43283.143750000003</v>
      </c>
      <c r="BN469" s="4">
        <v>43283.150682870371</v>
      </c>
      <c r="BO469" s="4">
        <v>43283.150682870371</v>
      </c>
      <c r="BP469" t="s">
        <v>92</v>
      </c>
      <c r="BQ469" t="s">
        <v>93</v>
      </c>
      <c r="BR469" t="s">
        <v>94</v>
      </c>
    </row>
    <row r="470" spans="1:70" x14ac:dyDescent="0.3">
      <c r="A470" t="str">
        <f>"200283E0100"</f>
        <v>200283E0100</v>
      </c>
      <c r="B470" s="2" t="s">
        <v>1055</v>
      </c>
      <c r="C470">
        <v>20</v>
      </c>
      <c r="D470" t="s">
        <v>88</v>
      </c>
      <c r="E470">
        <v>43</v>
      </c>
      <c r="F470" t="s">
        <v>1049</v>
      </c>
      <c r="G470">
        <v>283</v>
      </c>
      <c r="H470">
        <v>1</v>
      </c>
      <c r="I470" t="s">
        <v>156</v>
      </c>
      <c r="J470">
        <v>0</v>
      </c>
      <c r="K470">
        <v>1</v>
      </c>
      <c r="L470">
        <v>5</v>
      </c>
      <c r="M470" t="s">
        <v>127</v>
      </c>
      <c r="N470" t="s">
        <v>127</v>
      </c>
      <c r="O470" t="s">
        <v>127</v>
      </c>
      <c r="P470" t="s">
        <v>127</v>
      </c>
      <c r="Q470">
        <v>3</v>
      </c>
      <c r="R470">
        <v>18</v>
      </c>
      <c r="S470">
        <v>6</v>
      </c>
      <c r="T470">
        <v>2</v>
      </c>
      <c r="U470">
        <v>5</v>
      </c>
      <c r="V470">
        <v>3</v>
      </c>
      <c r="W470">
        <v>0</v>
      </c>
      <c r="X470">
        <v>0</v>
      </c>
      <c r="Y470">
        <v>22</v>
      </c>
      <c r="Z470">
        <v>2</v>
      </c>
      <c r="AA470">
        <v>5</v>
      </c>
      <c r="AC470">
        <v>1</v>
      </c>
      <c r="AD470" t="s">
        <v>105</v>
      </c>
      <c r="AE470" t="s">
        <v>105</v>
      </c>
      <c r="AF470" t="s">
        <v>105</v>
      </c>
      <c r="AG470">
        <v>1</v>
      </c>
      <c r="AH470">
        <v>1</v>
      </c>
      <c r="AI470">
        <v>1</v>
      </c>
      <c r="AJ470" t="s">
        <v>105</v>
      </c>
      <c r="AK470" t="s">
        <v>105</v>
      </c>
      <c r="AL470">
        <v>1</v>
      </c>
      <c r="AM470" t="s">
        <v>105</v>
      </c>
      <c r="AN470" t="s">
        <v>105</v>
      </c>
      <c r="BC470">
        <v>1</v>
      </c>
      <c r="BD470">
        <v>8</v>
      </c>
      <c r="BE470">
        <v>82</v>
      </c>
      <c r="BF470">
        <v>80</v>
      </c>
      <c r="BG470">
        <v>122</v>
      </c>
      <c r="BI470" t="s">
        <v>106</v>
      </c>
      <c r="BJ470">
        <v>1</v>
      </c>
      <c r="BL470" t="s">
        <v>1056</v>
      </c>
      <c r="BM470" s="4">
        <v>43283.143055555556</v>
      </c>
      <c r="BN470" s="4">
        <v>43283.157187500001</v>
      </c>
      <c r="BO470" s="4">
        <v>43283.157187500001</v>
      </c>
      <c r="BP470" t="s">
        <v>92</v>
      </c>
      <c r="BQ470" t="s">
        <v>93</v>
      </c>
      <c r="BR470" t="s">
        <v>94</v>
      </c>
    </row>
    <row r="471" spans="1:70" x14ac:dyDescent="0.3">
      <c r="A471" t="str">
        <f>"200284B0100"</f>
        <v>200284B0100</v>
      </c>
      <c r="B471" t="s">
        <v>1057</v>
      </c>
      <c r="C471">
        <v>20</v>
      </c>
      <c r="D471" t="s">
        <v>88</v>
      </c>
      <c r="E471">
        <v>43</v>
      </c>
      <c r="F471" t="s">
        <v>1049</v>
      </c>
      <c r="G471">
        <v>284</v>
      </c>
      <c r="H471">
        <v>1</v>
      </c>
      <c r="I471" t="s">
        <v>90</v>
      </c>
      <c r="J471">
        <v>0</v>
      </c>
      <c r="K471">
        <v>1</v>
      </c>
      <c r="L471">
        <v>5</v>
      </c>
      <c r="M471">
        <v>253</v>
      </c>
      <c r="N471">
        <v>487</v>
      </c>
      <c r="O471">
        <v>8</v>
      </c>
      <c r="P471">
        <v>487</v>
      </c>
      <c r="Q471">
        <v>5</v>
      </c>
      <c r="R471">
        <v>49</v>
      </c>
      <c r="S471">
        <v>23</v>
      </c>
      <c r="T471">
        <v>5</v>
      </c>
      <c r="U471">
        <v>35</v>
      </c>
      <c r="V471">
        <v>5</v>
      </c>
      <c r="W471">
        <v>3</v>
      </c>
      <c r="X471">
        <v>6</v>
      </c>
      <c r="Y471">
        <v>264</v>
      </c>
      <c r="Z471">
        <v>5</v>
      </c>
      <c r="AA471">
        <v>44</v>
      </c>
      <c r="AC471">
        <v>2</v>
      </c>
      <c r="AD471">
        <v>0</v>
      </c>
      <c r="AE471">
        <v>0</v>
      </c>
      <c r="AF471">
        <v>0</v>
      </c>
      <c r="AG471">
        <v>0</v>
      </c>
      <c r="AH471">
        <v>1</v>
      </c>
      <c r="AI471">
        <v>1</v>
      </c>
      <c r="AJ471">
        <v>0</v>
      </c>
      <c r="AK471">
        <v>4</v>
      </c>
      <c r="AL471">
        <v>3</v>
      </c>
      <c r="AM471">
        <v>0</v>
      </c>
      <c r="AN471">
        <v>2</v>
      </c>
      <c r="BC471" t="s">
        <v>105</v>
      </c>
      <c r="BD471">
        <v>30</v>
      </c>
      <c r="BE471">
        <v>487</v>
      </c>
      <c r="BF471">
        <v>487</v>
      </c>
      <c r="BG471">
        <v>718</v>
      </c>
      <c r="BI471" t="s">
        <v>106</v>
      </c>
      <c r="BJ471">
        <v>1</v>
      </c>
      <c r="BL471" t="s">
        <v>1058</v>
      </c>
      <c r="BM471" s="4">
        <v>43283.228472222225</v>
      </c>
      <c r="BN471" s="4">
        <v>43283.254120370373</v>
      </c>
      <c r="BO471" s="4">
        <v>43283.254120370373</v>
      </c>
      <c r="BP471" t="s">
        <v>92</v>
      </c>
      <c r="BQ471" t="s">
        <v>93</v>
      </c>
      <c r="BR471" t="s">
        <v>94</v>
      </c>
    </row>
    <row r="472" spans="1:70" x14ac:dyDescent="0.3">
      <c r="A472" t="str">
        <f>"200284C0100"</f>
        <v>200284C0100</v>
      </c>
      <c r="B472" t="s">
        <v>1059</v>
      </c>
      <c r="C472">
        <v>20</v>
      </c>
      <c r="D472" t="s">
        <v>88</v>
      </c>
      <c r="E472">
        <v>43</v>
      </c>
      <c r="F472" t="s">
        <v>1049</v>
      </c>
      <c r="G472">
        <v>284</v>
      </c>
      <c r="H472">
        <v>1</v>
      </c>
      <c r="I472" t="s">
        <v>98</v>
      </c>
      <c r="J472">
        <v>0</v>
      </c>
      <c r="K472">
        <v>1</v>
      </c>
      <c r="L472">
        <v>5</v>
      </c>
      <c r="M472">
        <v>284</v>
      </c>
      <c r="N472">
        <v>455</v>
      </c>
      <c r="O472">
        <v>11</v>
      </c>
      <c r="P472">
        <v>457</v>
      </c>
      <c r="Q472">
        <v>4</v>
      </c>
      <c r="R472">
        <v>52</v>
      </c>
      <c r="S472">
        <v>20</v>
      </c>
      <c r="T472">
        <v>7</v>
      </c>
      <c r="U472">
        <v>21</v>
      </c>
      <c r="V472">
        <v>7</v>
      </c>
      <c r="W472">
        <v>2</v>
      </c>
      <c r="X472">
        <v>2</v>
      </c>
      <c r="Y472">
        <v>239</v>
      </c>
      <c r="Z472">
        <v>5</v>
      </c>
      <c r="AA472">
        <v>67</v>
      </c>
      <c r="AC472">
        <v>0</v>
      </c>
      <c r="AD472">
        <v>0</v>
      </c>
      <c r="AE472">
        <v>0</v>
      </c>
      <c r="AF472">
        <v>0</v>
      </c>
      <c r="AG472">
        <v>64</v>
      </c>
      <c r="AH472">
        <v>0</v>
      </c>
      <c r="AI472">
        <v>0</v>
      </c>
      <c r="AJ472">
        <v>0</v>
      </c>
      <c r="AK472">
        <v>10</v>
      </c>
      <c r="AL472">
        <v>0</v>
      </c>
      <c r="AM472">
        <v>0</v>
      </c>
      <c r="AN472">
        <v>0</v>
      </c>
      <c r="BC472">
        <v>19</v>
      </c>
      <c r="BD472">
        <v>19</v>
      </c>
      <c r="BE472">
        <v>457</v>
      </c>
      <c r="BF472">
        <v>538</v>
      </c>
      <c r="BG472">
        <v>718</v>
      </c>
      <c r="BJ472">
        <v>1</v>
      </c>
      <c r="BL472" t="s">
        <v>1060</v>
      </c>
      <c r="BM472" s="4">
        <v>43283.217361111114</v>
      </c>
      <c r="BN472" s="4">
        <v>43283.245092592595</v>
      </c>
      <c r="BO472" s="4">
        <v>43283.245092592595</v>
      </c>
      <c r="BP472" t="s">
        <v>92</v>
      </c>
      <c r="BQ472" t="s">
        <v>93</v>
      </c>
      <c r="BR472" t="s">
        <v>94</v>
      </c>
    </row>
    <row r="473" spans="1:70" x14ac:dyDescent="0.3">
      <c r="A473" t="str">
        <f>"200284C0200"</f>
        <v>200284C0200</v>
      </c>
      <c r="B473" t="s">
        <v>1061</v>
      </c>
      <c r="C473">
        <v>20</v>
      </c>
      <c r="D473" t="s">
        <v>88</v>
      </c>
      <c r="E473">
        <v>43</v>
      </c>
      <c r="F473" t="s">
        <v>1049</v>
      </c>
      <c r="G473">
        <v>284</v>
      </c>
      <c r="H473">
        <v>2</v>
      </c>
      <c r="I473" t="s">
        <v>98</v>
      </c>
      <c r="J473">
        <v>0</v>
      </c>
      <c r="K473">
        <v>1</v>
      </c>
      <c r="L473">
        <v>5</v>
      </c>
      <c r="M473">
        <v>280</v>
      </c>
      <c r="N473">
        <v>459</v>
      </c>
      <c r="O473">
        <v>9</v>
      </c>
      <c r="P473" t="s">
        <v>127</v>
      </c>
      <c r="Q473">
        <v>3</v>
      </c>
      <c r="R473">
        <v>50</v>
      </c>
      <c r="S473">
        <v>20</v>
      </c>
      <c r="T473">
        <v>3</v>
      </c>
      <c r="U473">
        <v>28</v>
      </c>
      <c r="V473">
        <v>6</v>
      </c>
      <c r="W473">
        <v>1</v>
      </c>
      <c r="X473">
        <v>6</v>
      </c>
      <c r="Y473">
        <v>265</v>
      </c>
      <c r="Z473">
        <v>9</v>
      </c>
      <c r="AA473">
        <v>44</v>
      </c>
      <c r="AC473">
        <v>0</v>
      </c>
      <c r="AD473">
        <v>1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1</v>
      </c>
      <c r="AL473">
        <v>2</v>
      </c>
      <c r="AM473">
        <v>0</v>
      </c>
      <c r="AN473">
        <v>3</v>
      </c>
      <c r="BC473">
        <v>0</v>
      </c>
      <c r="BD473">
        <v>17</v>
      </c>
      <c r="BE473">
        <v>459</v>
      </c>
      <c r="BF473">
        <v>459</v>
      </c>
      <c r="BG473">
        <v>718</v>
      </c>
      <c r="BJ473">
        <v>1</v>
      </c>
      <c r="BL473" t="s">
        <v>1062</v>
      </c>
      <c r="BM473" s="4">
        <v>43283.176388888889</v>
      </c>
      <c r="BN473" s="4">
        <v>43283.193483796298</v>
      </c>
      <c r="BO473" s="4">
        <v>43283.193483796298</v>
      </c>
      <c r="BP473" t="s">
        <v>92</v>
      </c>
      <c r="BQ473" t="s">
        <v>93</v>
      </c>
      <c r="BR473" t="s">
        <v>94</v>
      </c>
    </row>
    <row r="474" spans="1:70" x14ac:dyDescent="0.3">
      <c r="A474" t="str">
        <f>"200284C0300"</f>
        <v>200284C0300</v>
      </c>
      <c r="B474" t="s">
        <v>1063</v>
      </c>
      <c r="C474">
        <v>20</v>
      </c>
      <c r="D474" t="s">
        <v>88</v>
      </c>
      <c r="E474">
        <v>43</v>
      </c>
      <c r="F474" t="s">
        <v>1049</v>
      </c>
      <c r="G474">
        <v>284</v>
      </c>
      <c r="H474">
        <v>3</v>
      </c>
      <c r="I474" t="s">
        <v>98</v>
      </c>
      <c r="J474">
        <v>0</v>
      </c>
      <c r="K474">
        <v>1</v>
      </c>
      <c r="L474">
        <v>5</v>
      </c>
      <c r="M474">
        <v>289</v>
      </c>
      <c r="N474">
        <v>451</v>
      </c>
      <c r="O474">
        <v>8</v>
      </c>
      <c r="P474">
        <v>451</v>
      </c>
      <c r="Q474">
        <v>4</v>
      </c>
      <c r="R474">
        <v>53</v>
      </c>
      <c r="S474">
        <v>28</v>
      </c>
      <c r="T474">
        <v>4</v>
      </c>
      <c r="U474">
        <v>26</v>
      </c>
      <c r="V474">
        <v>8</v>
      </c>
      <c r="W474">
        <v>4</v>
      </c>
      <c r="X474">
        <v>5</v>
      </c>
      <c r="Y474">
        <v>235</v>
      </c>
      <c r="Z474">
        <v>5</v>
      </c>
      <c r="AA474">
        <v>54</v>
      </c>
      <c r="AC474" t="s">
        <v>105</v>
      </c>
      <c r="AD474">
        <v>1</v>
      </c>
      <c r="AE474" t="s">
        <v>105</v>
      </c>
      <c r="AF474" t="s">
        <v>105</v>
      </c>
      <c r="AG474">
        <v>1</v>
      </c>
      <c r="AH474">
        <v>1</v>
      </c>
      <c r="AI474" t="s">
        <v>105</v>
      </c>
      <c r="AJ474" t="s">
        <v>105</v>
      </c>
      <c r="AK474">
        <v>4</v>
      </c>
      <c r="AL474">
        <v>1</v>
      </c>
      <c r="AM474" t="s">
        <v>105</v>
      </c>
      <c r="AN474" t="s">
        <v>105</v>
      </c>
      <c r="BC474" t="s">
        <v>105</v>
      </c>
      <c r="BD474">
        <v>18</v>
      </c>
      <c r="BE474">
        <v>451</v>
      </c>
      <c r="BF474">
        <v>452</v>
      </c>
      <c r="BG474">
        <v>718</v>
      </c>
      <c r="BI474" t="s">
        <v>106</v>
      </c>
      <c r="BJ474">
        <v>1</v>
      </c>
      <c r="BL474" t="s">
        <v>1064</v>
      </c>
      <c r="BM474" s="4">
        <v>43283.26666666667</v>
      </c>
      <c r="BN474" s="4">
        <v>43283.29619212963</v>
      </c>
      <c r="BO474" s="4">
        <v>43283.29619212963</v>
      </c>
      <c r="BP474" t="s">
        <v>92</v>
      </c>
      <c r="BQ474" t="s">
        <v>93</v>
      </c>
      <c r="BR474" t="s">
        <v>94</v>
      </c>
    </row>
    <row r="475" spans="1:70" x14ac:dyDescent="0.3">
      <c r="A475" t="str">
        <f>"200284C0400"</f>
        <v>200284C0400</v>
      </c>
      <c r="B475" t="s">
        <v>1065</v>
      </c>
      <c r="C475">
        <v>20</v>
      </c>
      <c r="D475" t="s">
        <v>88</v>
      </c>
      <c r="E475">
        <v>43</v>
      </c>
      <c r="F475" t="s">
        <v>1049</v>
      </c>
      <c r="G475">
        <v>284</v>
      </c>
      <c r="H475">
        <v>4</v>
      </c>
      <c r="I475" t="s">
        <v>98</v>
      </c>
      <c r="J475">
        <v>0</v>
      </c>
      <c r="K475">
        <v>1</v>
      </c>
      <c r="L475">
        <v>5</v>
      </c>
      <c r="M475">
        <v>281</v>
      </c>
      <c r="N475">
        <v>459</v>
      </c>
      <c r="O475">
        <v>1</v>
      </c>
      <c r="P475">
        <v>459</v>
      </c>
      <c r="Q475">
        <v>1</v>
      </c>
      <c r="R475">
        <v>68</v>
      </c>
      <c r="S475">
        <v>14</v>
      </c>
      <c r="T475">
        <v>8</v>
      </c>
      <c r="U475">
        <v>19</v>
      </c>
      <c r="V475">
        <v>2</v>
      </c>
      <c r="W475">
        <v>3</v>
      </c>
      <c r="X475">
        <v>6</v>
      </c>
      <c r="Y475">
        <v>265</v>
      </c>
      <c r="Z475">
        <v>4</v>
      </c>
      <c r="AA475">
        <v>46</v>
      </c>
      <c r="AC475">
        <v>1</v>
      </c>
      <c r="AD475">
        <v>0</v>
      </c>
      <c r="AE475">
        <v>1</v>
      </c>
      <c r="AF475">
        <v>1</v>
      </c>
      <c r="AG475">
        <v>0</v>
      </c>
      <c r="AH475">
        <v>3</v>
      </c>
      <c r="AI475">
        <v>0</v>
      </c>
      <c r="AJ475">
        <v>0</v>
      </c>
      <c r="AK475">
        <v>7</v>
      </c>
      <c r="AL475">
        <v>0</v>
      </c>
      <c r="AM475">
        <v>1</v>
      </c>
      <c r="AN475">
        <v>3</v>
      </c>
      <c r="BC475">
        <v>0</v>
      </c>
      <c r="BD475">
        <v>6</v>
      </c>
      <c r="BE475">
        <v>459</v>
      </c>
      <c r="BF475">
        <v>459</v>
      </c>
      <c r="BG475">
        <v>718</v>
      </c>
      <c r="BJ475">
        <v>1</v>
      </c>
      <c r="BL475" t="s">
        <v>1066</v>
      </c>
      <c r="BM475" s="4">
        <v>43283.345833333333</v>
      </c>
      <c r="BN475" s="4">
        <v>43283.467326388891</v>
      </c>
      <c r="BO475" s="4">
        <v>43283.467326388891</v>
      </c>
      <c r="BP475" t="s">
        <v>92</v>
      </c>
      <c r="BQ475" t="s">
        <v>93</v>
      </c>
      <c r="BR475" t="s">
        <v>94</v>
      </c>
    </row>
    <row r="476" spans="1:70" x14ac:dyDescent="0.3">
      <c r="A476" t="str">
        <f>"200284C0500"</f>
        <v>200284C0500</v>
      </c>
      <c r="B476" t="s">
        <v>1067</v>
      </c>
      <c r="C476">
        <v>20</v>
      </c>
      <c r="D476" t="s">
        <v>88</v>
      </c>
      <c r="E476">
        <v>43</v>
      </c>
      <c r="F476" t="s">
        <v>1049</v>
      </c>
      <c r="G476">
        <v>284</v>
      </c>
      <c r="H476">
        <v>5</v>
      </c>
      <c r="I476" t="s">
        <v>98</v>
      </c>
      <c r="J476">
        <v>0</v>
      </c>
      <c r="K476">
        <v>1</v>
      </c>
      <c r="L476">
        <v>5</v>
      </c>
      <c r="BG476">
        <v>718</v>
      </c>
      <c r="BI476" t="s">
        <v>122</v>
      </c>
      <c r="BJ476">
        <v>0</v>
      </c>
      <c r="BL476" t="s">
        <v>1068</v>
      </c>
      <c r="BM476" s="4">
        <v>43283.410416666666</v>
      </c>
      <c r="BN476" s="4">
        <v>43283.424166666664</v>
      </c>
      <c r="BO476" s="4">
        <v>43283.424166666664</v>
      </c>
      <c r="BP476" t="s">
        <v>92</v>
      </c>
      <c r="BQ476" t="s">
        <v>93</v>
      </c>
      <c r="BR476" t="s">
        <v>94</v>
      </c>
    </row>
    <row r="477" spans="1:70" x14ac:dyDescent="0.3">
      <c r="A477" t="str">
        <f>"200284C0600"</f>
        <v>200284C0600</v>
      </c>
      <c r="B477" t="s">
        <v>1069</v>
      </c>
      <c r="C477">
        <v>20</v>
      </c>
      <c r="D477" t="s">
        <v>88</v>
      </c>
      <c r="E477">
        <v>43</v>
      </c>
      <c r="F477" t="s">
        <v>1049</v>
      </c>
      <c r="G477">
        <v>284</v>
      </c>
      <c r="H477">
        <v>6</v>
      </c>
      <c r="I477" t="s">
        <v>98</v>
      </c>
      <c r="J477">
        <v>0</v>
      </c>
      <c r="K477">
        <v>1</v>
      </c>
      <c r="L477">
        <v>5</v>
      </c>
      <c r="M477">
        <v>429</v>
      </c>
      <c r="N477">
        <v>441</v>
      </c>
      <c r="O477">
        <v>6</v>
      </c>
      <c r="P477">
        <v>454</v>
      </c>
      <c r="Q477">
        <v>4</v>
      </c>
      <c r="R477">
        <v>73</v>
      </c>
      <c r="S477">
        <v>16</v>
      </c>
      <c r="T477">
        <v>16</v>
      </c>
      <c r="U477">
        <v>26</v>
      </c>
      <c r="V477">
        <v>7</v>
      </c>
      <c r="W477">
        <v>2</v>
      </c>
      <c r="X477">
        <v>6</v>
      </c>
      <c r="Y477">
        <v>224</v>
      </c>
      <c r="Z477">
        <v>2</v>
      </c>
      <c r="AA477">
        <v>41</v>
      </c>
      <c r="AC477">
        <v>0</v>
      </c>
      <c r="AD477">
        <v>0</v>
      </c>
      <c r="AE477">
        <v>0</v>
      </c>
      <c r="AF477">
        <v>1</v>
      </c>
      <c r="AG477">
        <v>0</v>
      </c>
      <c r="AH477">
        <v>1</v>
      </c>
      <c r="AI477">
        <v>0</v>
      </c>
      <c r="AJ477">
        <v>0</v>
      </c>
      <c r="AK477">
        <v>2</v>
      </c>
      <c r="AL477">
        <v>2</v>
      </c>
      <c r="AM477">
        <v>0</v>
      </c>
      <c r="AN477">
        <v>1</v>
      </c>
      <c r="BC477" t="s">
        <v>105</v>
      </c>
      <c r="BD477">
        <v>25</v>
      </c>
      <c r="BE477">
        <v>449</v>
      </c>
      <c r="BF477">
        <v>449</v>
      </c>
      <c r="BG477">
        <v>718</v>
      </c>
      <c r="BI477" t="s">
        <v>106</v>
      </c>
      <c r="BJ477">
        <v>1</v>
      </c>
      <c r="BL477" t="s">
        <v>1070</v>
      </c>
      <c r="BM477" s="4">
        <v>43283.343055555553</v>
      </c>
      <c r="BN477" s="4">
        <v>43283.358148148145</v>
      </c>
      <c r="BO477" s="4">
        <v>43283.358148148145</v>
      </c>
      <c r="BP477" t="s">
        <v>92</v>
      </c>
      <c r="BQ477" t="s">
        <v>93</v>
      </c>
      <c r="BR477" t="s">
        <v>94</v>
      </c>
    </row>
    <row r="478" spans="1:70" x14ac:dyDescent="0.3">
      <c r="A478" t="str">
        <f>"200285B0100"</f>
        <v>200285B0100</v>
      </c>
      <c r="B478" t="s">
        <v>1071</v>
      </c>
      <c r="C478">
        <v>20</v>
      </c>
      <c r="D478" t="s">
        <v>88</v>
      </c>
      <c r="E478">
        <v>43</v>
      </c>
      <c r="F478" t="s">
        <v>1049</v>
      </c>
      <c r="G478">
        <v>285</v>
      </c>
      <c r="H478">
        <v>1</v>
      </c>
      <c r="I478" t="s">
        <v>90</v>
      </c>
      <c r="J478">
        <v>0</v>
      </c>
      <c r="K478">
        <v>1</v>
      </c>
      <c r="L478">
        <v>5</v>
      </c>
      <c r="M478" t="s">
        <v>127</v>
      </c>
      <c r="N478" t="s">
        <v>127</v>
      </c>
      <c r="O478" t="s">
        <v>127</v>
      </c>
      <c r="P478" t="s">
        <v>127</v>
      </c>
      <c r="Q478">
        <v>3</v>
      </c>
      <c r="R478">
        <v>121</v>
      </c>
      <c r="S478">
        <v>5</v>
      </c>
      <c r="T478">
        <v>11</v>
      </c>
      <c r="U478">
        <v>24</v>
      </c>
      <c r="V478">
        <v>8</v>
      </c>
      <c r="W478">
        <v>1</v>
      </c>
      <c r="X478">
        <v>5</v>
      </c>
      <c r="Y478">
        <v>159</v>
      </c>
      <c r="Z478">
        <v>5</v>
      </c>
      <c r="AA478">
        <v>28</v>
      </c>
      <c r="AC478">
        <v>1</v>
      </c>
      <c r="AD478">
        <v>0</v>
      </c>
      <c r="AE478">
        <v>0</v>
      </c>
      <c r="AF478">
        <v>0</v>
      </c>
      <c r="AG478">
        <v>0</v>
      </c>
      <c r="AH478">
        <v>3</v>
      </c>
      <c r="AI478">
        <v>0</v>
      </c>
      <c r="AJ478">
        <v>1</v>
      </c>
      <c r="AK478">
        <v>0</v>
      </c>
      <c r="AL478">
        <v>0</v>
      </c>
      <c r="AM478">
        <v>0</v>
      </c>
      <c r="AN478">
        <v>0</v>
      </c>
      <c r="BC478">
        <v>0</v>
      </c>
      <c r="BD478">
        <v>16</v>
      </c>
      <c r="BE478">
        <v>391</v>
      </c>
      <c r="BF478">
        <v>391</v>
      </c>
      <c r="BG478">
        <v>628</v>
      </c>
      <c r="BJ478">
        <v>1</v>
      </c>
      <c r="BL478" t="s">
        <v>1072</v>
      </c>
      <c r="BM478" s="4">
        <v>43283.222916666666</v>
      </c>
      <c r="BN478" s="4">
        <v>43283.254664351851</v>
      </c>
      <c r="BO478" s="4">
        <v>43283.254664351851</v>
      </c>
      <c r="BP478" t="s">
        <v>92</v>
      </c>
      <c r="BQ478" t="s">
        <v>93</v>
      </c>
      <c r="BR478" t="s">
        <v>94</v>
      </c>
    </row>
    <row r="479" spans="1:70" x14ac:dyDescent="0.3">
      <c r="A479" t="str">
        <f>"200285C0100"</f>
        <v>200285C0100</v>
      </c>
      <c r="B479" t="s">
        <v>1073</v>
      </c>
      <c r="C479">
        <v>20</v>
      </c>
      <c r="D479" t="s">
        <v>88</v>
      </c>
      <c r="E479">
        <v>43</v>
      </c>
      <c r="F479" t="s">
        <v>1049</v>
      </c>
      <c r="G479">
        <v>285</v>
      </c>
      <c r="H479">
        <v>1</v>
      </c>
      <c r="I479" t="s">
        <v>98</v>
      </c>
      <c r="J479">
        <v>0</v>
      </c>
      <c r="K479">
        <v>1</v>
      </c>
      <c r="L479">
        <v>5</v>
      </c>
      <c r="M479">
        <v>257</v>
      </c>
      <c r="N479">
        <v>392</v>
      </c>
      <c r="O479">
        <v>7</v>
      </c>
      <c r="P479">
        <v>376</v>
      </c>
      <c r="Q479">
        <v>5</v>
      </c>
      <c r="R479">
        <v>113</v>
      </c>
      <c r="S479">
        <v>12</v>
      </c>
      <c r="T479">
        <v>9</v>
      </c>
      <c r="U479">
        <v>29</v>
      </c>
      <c r="V479">
        <v>2</v>
      </c>
      <c r="W479">
        <v>0</v>
      </c>
      <c r="X479">
        <v>8</v>
      </c>
      <c r="Y479">
        <v>152</v>
      </c>
      <c r="Z479">
        <v>2</v>
      </c>
      <c r="AA479">
        <v>28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2</v>
      </c>
      <c r="AI479">
        <v>0</v>
      </c>
      <c r="AJ479">
        <v>0</v>
      </c>
      <c r="AK479">
        <v>0</v>
      </c>
      <c r="AL479">
        <v>2</v>
      </c>
      <c r="AM479">
        <v>0</v>
      </c>
      <c r="AN479">
        <v>1</v>
      </c>
      <c r="BC479">
        <v>0</v>
      </c>
      <c r="BD479">
        <v>11</v>
      </c>
      <c r="BE479">
        <v>376</v>
      </c>
      <c r="BF479">
        <v>376</v>
      </c>
      <c r="BG479">
        <v>627</v>
      </c>
      <c r="BJ479">
        <v>1</v>
      </c>
      <c r="BL479" t="s">
        <v>1074</v>
      </c>
      <c r="BM479" s="4">
        <v>43283.22152777778</v>
      </c>
      <c r="BN479" s="4">
        <v>43283.244664351849</v>
      </c>
      <c r="BO479" s="4">
        <v>43283.244664351849</v>
      </c>
      <c r="BP479" t="s">
        <v>92</v>
      </c>
      <c r="BQ479" t="s">
        <v>93</v>
      </c>
      <c r="BR479" t="s">
        <v>94</v>
      </c>
    </row>
    <row r="480" spans="1:70" x14ac:dyDescent="0.3">
      <c r="A480" t="str">
        <f>"200285C0200"</f>
        <v>200285C0200</v>
      </c>
      <c r="B480" t="s">
        <v>1075</v>
      </c>
      <c r="C480">
        <v>20</v>
      </c>
      <c r="D480" t="s">
        <v>88</v>
      </c>
      <c r="E480">
        <v>43</v>
      </c>
      <c r="F480" t="s">
        <v>1049</v>
      </c>
      <c r="G480">
        <v>285</v>
      </c>
      <c r="H480">
        <v>2</v>
      </c>
      <c r="I480" t="s">
        <v>98</v>
      </c>
      <c r="J480">
        <v>0</v>
      </c>
      <c r="K480">
        <v>1</v>
      </c>
      <c r="L480">
        <v>5</v>
      </c>
      <c r="M480">
        <v>282</v>
      </c>
      <c r="N480">
        <v>367</v>
      </c>
      <c r="O480">
        <v>0</v>
      </c>
      <c r="P480">
        <v>367</v>
      </c>
      <c r="Q480">
        <v>4</v>
      </c>
      <c r="R480">
        <v>124</v>
      </c>
      <c r="S480">
        <v>14</v>
      </c>
      <c r="T480">
        <v>4</v>
      </c>
      <c r="U480">
        <v>18</v>
      </c>
      <c r="V480">
        <v>0</v>
      </c>
      <c r="W480">
        <v>3</v>
      </c>
      <c r="X480">
        <v>5</v>
      </c>
      <c r="Y480">
        <v>148</v>
      </c>
      <c r="Z480">
        <v>1</v>
      </c>
      <c r="AA480">
        <v>24</v>
      </c>
      <c r="AC480">
        <v>1</v>
      </c>
      <c r="AD480">
        <v>0</v>
      </c>
      <c r="AE480">
        <v>0</v>
      </c>
      <c r="AF480">
        <v>0</v>
      </c>
      <c r="AG480">
        <v>0</v>
      </c>
      <c r="AH480">
        <v>1</v>
      </c>
      <c r="AI480">
        <v>0</v>
      </c>
      <c r="AJ480">
        <v>0</v>
      </c>
      <c r="AK480">
        <v>2</v>
      </c>
      <c r="AL480">
        <v>1</v>
      </c>
      <c r="AM480">
        <v>0</v>
      </c>
      <c r="AN480">
        <v>3</v>
      </c>
      <c r="BC480">
        <v>0</v>
      </c>
      <c r="BD480">
        <v>14</v>
      </c>
      <c r="BE480">
        <v>353</v>
      </c>
      <c r="BF480">
        <v>367</v>
      </c>
      <c r="BG480">
        <v>627</v>
      </c>
      <c r="BJ480">
        <v>1</v>
      </c>
      <c r="BL480" t="s">
        <v>1076</v>
      </c>
      <c r="BM480" s="4">
        <v>43283.223611111112</v>
      </c>
      <c r="BN480" s="4">
        <v>43283.246932870374</v>
      </c>
      <c r="BO480" s="4">
        <v>43283.246932870374</v>
      </c>
      <c r="BP480" t="s">
        <v>92</v>
      </c>
      <c r="BQ480" t="s">
        <v>93</v>
      </c>
      <c r="BR480" t="s">
        <v>94</v>
      </c>
    </row>
    <row r="481" spans="1:70" x14ac:dyDescent="0.3">
      <c r="A481" t="str">
        <f>"200285C0300"</f>
        <v>200285C0300</v>
      </c>
      <c r="B481" t="s">
        <v>1077</v>
      </c>
      <c r="C481">
        <v>20</v>
      </c>
      <c r="D481" t="s">
        <v>88</v>
      </c>
      <c r="E481">
        <v>43</v>
      </c>
      <c r="F481" t="s">
        <v>1049</v>
      </c>
      <c r="G481">
        <v>285</v>
      </c>
      <c r="H481">
        <v>3</v>
      </c>
      <c r="I481" t="s">
        <v>98</v>
      </c>
      <c r="J481">
        <v>0</v>
      </c>
      <c r="K481">
        <v>1</v>
      </c>
      <c r="L481">
        <v>5</v>
      </c>
      <c r="M481" t="s">
        <v>105</v>
      </c>
      <c r="N481" t="s">
        <v>105</v>
      </c>
      <c r="O481" t="s">
        <v>105</v>
      </c>
      <c r="P481" t="s">
        <v>105</v>
      </c>
      <c r="Q481">
        <v>4</v>
      </c>
      <c r="R481">
        <v>127</v>
      </c>
      <c r="S481">
        <v>17</v>
      </c>
      <c r="T481">
        <v>13</v>
      </c>
      <c r="U481">
        <v>20</v>
      </c>
      <c r="V481">
        <v>4</v>
      </c>
      <c r="W481">
        <v>2</v>
      </c>
      <c r="X481">
        <v>5</v>
      </c>
      <c r="Y481">
        <v>119</v>
      </c>
      <c r="Z481">
        <v>2</v>
      </c>
      <c r="AA481">
        <v>26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1</v>
      </c>
      <c r="AL481">
        <v>2</v>
      </c>
      <c r="AM481">
        <v>0</v>
      </c>
      <c r="AN481">
        <v>0</v>
      </c>
      <c r="BC481">
        <v>1</v>
      </c>
      <c r="BD481">
        <v>13</v>
      </c>
      <c r="BE481" t="s">
        <v>105</v>
      </c>
      <c r="BF481">
        <v>356</v>
      </c>
      <c r="BG481">
        <v>627</v>
      </c>
      <c r="BJ481">
        <v>1</v>
      </c>
      <c r="BL481" t="s">
        <v>1078</v>
      </c>
      <c r="BM481" s="4">
        <v>43283.226388888892</v>
      </c>
      <c r="BN481" s="4">
        <v>43283.249108796299</v>
      </c>
      <c r="BO481" s="4">
        <v>43283.249108796299</v>
      </c>
      <c r="BP481" t="s">
        <v>92</v>
      </c>
      <c r="BQ481" t="s">
        <v>93</v>
      </c>
      <c r="BR481" t="s">
        <v>94</v>
      </c>
    </row>
    <row r="482" spans="1:70" x14ac:dyDescent="0.3">
      <c r="A482" t="str">
        <f>"200286B0100"</f>
        <v>200286B0100</v>
      </c>
      <c r="B482" t="s">
        <v>1079</v>
      </c>
      <c r="C482">
        <v>20</v>
      </c>
      <c r="D482" t="s">
        <v>88</v>
      </c>
      <c r="E482">
        <v>43</v>
      </c>
      <c r="F482" t="s">
        <v>1049</v>
      </c>
      <c r="G482">
        <v>286</v>
      </c>
      <c r="H482">
        <v>1</v>
      </c>
      <c r="I482" t="s">
        <v>90</v>
      </c>
      <c r="J482">
        <v>0</v>
      </c>
      <c r="K482">
        <v>1</v>
      </c>
      <c r="L482">
        <v>5</v>
      </c>
      <c r="M482">
        <v>231</v>
      </c>
      <c r="N482">
        <v>417</v>
      </c>
      <c r="O482">
        <v>8</v>
      </c>
      <c r="P482">
        <v>417</v>
      </c>
      <c r="Q482">
        <v>6</v>
      </c>
      <c r="R482">
        <v>103</v>
      </c>
      <c r="S482">
        <v>16</v>
      </c>
      <c r="T482">
        <v>5</v>
      </c>
      <c r="U482">
        <v>27</v>
      </c>
      <c r="V482">
        <v>2</v>
      </c>
      <c r="W482">
        <v>1</v>
      </c>
      <c r="X482">
        <v>1</v>
      </c>
      <c r="Y482">
        <v>183</v>
      </c>
      <c r="Z482">
        <v>7</v>
      </c>
      <c r="AA482">
        <v>46</v>
      </c>
      <c r="AC482">
        <v>0</v>
      </c>
      <c r="AD482">
        <v>1</v>
      </c>
      <c r="AE482">
        <v>0</v>
      </c>
      <c r="AF482">
        <v>0</v>
      </c>
      <c r="AG482">
        <v>0</v>
      </c>
      <c r="AH482">
        <v>1</v>
      </c>
      <c r="AI482">
        <v>0</v>
      </c>
      <c r="AJ482">
        <v>1</v>
      </c>
      <c r="AK482">
        <v>1</v>
      </c>
      <c r="AL482">
        <v>0</v>
      </c>
      <c r="AM482">
        <v>0</v>
      </c>
      <c r="AN482">
        <v>0</v>
      </c>
      <c r="BC482">
        <v>0</v>
      </c>
      <c r="BD482">
        <v>16</v>
      </c>
      <c r="BE482">
        <v>417</v>
      </c>
      <c r="BF482">
        <v>417</v>
      </c>
      <c r="BG482">
        <v>626</v>
      </c>
      <c r="BJ482">
        <v>1</v>
      </c>
      <c r="BL482" t="s">
        <v>1080</v>
      </c>
      <c r="BM482" s="4">
        <v>43283.179166666669</v>
      </c>
      <c r="BN482" s="4">
        <v>43283.196342592593</v>
      </c>
      <c r="BO482" s="4">
        <v>43283.196342592593</v>
      </c>
      <c r="BP482" t="s">
        <v>92</v>
      </c>
      <c r="BQ482" t="s">
        <v>93</v>
      </c>
      <c r="BR482" t="s">
        <v>94</v>
      </c>
    </row>
    <row r="483" spans="1:70" x14ac:dyDescent="0.3">
      <c r="A483" t="str">
        <f>"200286C0100"</f>
        <v>200286C0100</v>
      </c>
      <c r="B483" t="s">
        <v>1081</v>
      </c>
      <c r="C483">
        <v>20</v>
      </c>
      <c r="D483" t="s">
        <v>88</v>
      </c>
      <c r="E483">
        <v>43</v>
      </c>
      <c r="F483" t="s">
        <v>1049</v>
      </c>
      <c r="G483">
        <v>286</v>
      </c>
      <c r="H483">
        <v>1</v>
      </c>
      <c r="I483" t="s">
        <v>98</v>
      </c>
      <c r="J483">
        <v>0</v>
      </c>
      <c r="K483">
        <v>1</v>
      </c>
      <c r="L483">
        <v>5</v>
      </c>
      <c r="M483">
        <v>246</v>
      </c>
      <c r="N483">
        <v>400</v>
      </c>
      <c r="O483">
        <v>5</v>
      </c>
      <c r="P483">
        <v>400</v>
      </c>
      <c r="Q483">
        <v>4</v>
      </c>
      <c r="R483">
        <v>88</v>
      </c>
      <c r="S483">
        <v>30</v>
      </c>
      <c r="T483">
        <v>6</v>
      </c>
      <c r="U483">
        <v>23</v>
      </c>
      <c r="V483">
        <v>2</v>
      </c>
      <c r="W483">
        <v>2</v>
      </c>
      <c r="X483">
        <v>4</v>
      </c>
      <c r="Y483">
        <v>158</v>
      </c>
      <c r="Z483">
        <v>6</v>
      </c>
      <c r="AA483">
        <v>52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1</v>
      </c>
      <c r="AI483">
        <v>0</v>
      </c>
      <c r="AJ483">
        <v>0</v>
      </c>
      <c r="AK483">
        <v>5</v>
      </c>
      <c r="AL483">
        <v>0</v>
      </c>
      <c r="AM483">
        <v>0</v>
      </c>
      <c r="AN483">
        <v>0</v>
      </c>
      <c r="BC483">
        <v>0</v>
      </c>
      <c r="BD483">
        <v>14</v>
      </c>
      <c r="BE483">
        <v>400</v>
      </c>
      <c r="BF483">
        <v>395</v>
      </c>
      <c r="BG483">
        <v>625</v>
      </c>
      <c r="BJ483">
        <v>1</v>
      </c>
      <c r="BL483" t="s">
        <v>1082</v>
      </c>
      <c r="BM483" s="4">
        <v>43283.178472222222</v>
      </c>
      <c r="BN483" s="4">
        <v>43283.195868055554</v>
      </c>
      <c r="BO483" s="4">
        <v>43283.195868055554</v>
      </c>
      <c r="BP483" t="s">
        <v>92</v>
      </c>
      <c r="BQ483" t="s">
        <v>93</v>
      </c>
      <c r="BR483" t="s">
        <v>94</v>
      </c>
    </row>
    <row r="484" spans="1:70" x14ac:dyDescent="0.3">
      <c r="A484" t="str">
        <f>"200287B0100"</f>
        <v>200287B0100</v>
      </c>
      <c r="B484" t="s">
        <v>1083</v>
      </c>
      <c r="C484">
        <v>20</v>
      </c>
      <c r="D484" t="s">
        <v>88</v>
      </c>
      <c r="E484">
        <v>43</v>
      </c>
      <c r="F484" t="s">
        <v>1049</v>
      </c>
      <c r="G484">
        <v>287</v>
      </c>
      <c r="H484">
        <v>1</v>
      </c>
      <c r="I484" t="s">
        <v>90</v>
      </c>
      <c r="J484">
        <v>0</v>
      </c>
      <c r="K484">
        <v>1</v>
      </c>
      <c r="L484">
        <v>5</v>
      </c>
      <c r="M484">
        <v>271</v>
      </c>
      <c r="N484">
        <v>430</v>
      </c>
      <c r="O484">
        <v>1</v>
      </c>
      <c r="P484">
        <v>436</v>
      </c>
      <c r="Q484">
        <v>6</v>
      </c>
      <c r="R484">
        <v>125</v>
      </c>
      <c r="S484">
        <v>8</v>
      </c>
      <c r="T484">
        <v>7</v>
      </c>
      <c r="U484">
        <v>27</v>
      </c>
      <c r="V484">
        <v>2</v>
      </c>
      <c r="W484">
        <v>0</v>
      </c>
      <c r="X484">
        <v>5</v>
      </c>
      <c r="Y484">
        <v>172</v>
      </c>
      <c r="Z484">
        <v>5</v>
      </c>
      <c r="AA484">
        <v>49</v>
      </c>
      <c r="AC484">
        <v>0</v>
      </c>
      <c r="AD484">
        <v>1</v>
      </c>
      <c r="AE484">
        <v>0</v>
      </c>
      <c r="AF484">
        <v>0</v>
      </c>
      <c r="AG484">
        <v>1</v>
      </c>
      <c r="AH484">
        <v>4</v>
      </c>
      <c r="AI484">
        <v>0</v>
      </c>
      <c r="AJ484">
        <v>0</v>
      </c>
      <c r="AK484">
        <v>4</v>
      </c>
      <c r="AL484">
        <v>1</v>
      </c>
      <c r="AM484">
        <v>1</v>
      </c>
      <c r="AN484">
        <v>0</v>
      </c>
      <c r="BC484">
        <v>0</v>
      </c>
      <c r="BD484">
        <v>18</v>
      </c>
      <c r="BE484">
        <v>436</v>
      </c>
      <c r="BF484">
        <v>436</v>
      </c>
      <c r="BG484">
        <v>681</v>
      </c>
      <c r="BJ484">
        <v>1</v>
      </c>
      <c r="BL484" t="s">
        <v>1084</v>
      </c>
      <c r="BM484" s="4">
        <v>43283.180555555555</v>
      </c>
      <c r="BN484" s="4">
        <v>43283.197708333333</v>
      </c>
      <c r="BO484" s="4">
        <v>43283.197708333333</v>
      </c>
      <c r="BP484" t="s">
        <v>92</v>
      </c>
      <c r="BQ484" t="s">
        <v>93</v>
      </c>
      <c r="BR484" t="s">
        <v>94</v>
      </c>
    </row>
    <row r="485" spans="1:70" x14ac:dyDescent="0.3">
      <c r="A485" t="str">
        <f>"200287C0100"</f>
        <v>200287C0100</v>
      </c>
      <c r="B485" t="s">
        <v>1085</v>
      </c>
      <c r="C485">
        <v>20</v>
      </c>
      <c r="D485" t="s">
        <v>88</v>
      </c>
      <c r="E485">
        <v>43</v>
      </c>
      <c r="F485" t="s">
        <v>1049</v>
      </c>
      <c r="G485">
        <v>287</v>
      </c>
      <c r="H485">
        <v>1</v>
      </c>
      <c r="I485" t="s">
        <v>98</v>
      </c>
      <c r="J485">
        <v>0</v>
      </c>
      <c r="K485">
        <v>1</v>
      </c>
      <c r="L485">
        <v>5</v>
      </c>
      <c r="M485">
        <v>281</v>
      </c>
      <c r="N485">
        <v>413</v>
      </c>
      <c r="O485">
        <v>1</v>
      </c>
      <c r="P485">
        <v>425</v>
      </c>
      <c r="Q485">
        <v>4</v>
      </c>
      <c r="R485">
        <v>105</v>
      </c>
      <c r="S485">
        <v>17</v>
      </c>
      <c r="T485">
        <v>3</v>
      </c>
      <c r="U485">
        <v>18</v>
      </c>
      <c r="V485">
        <v>4</v>
      </c>
      <c r="W485">
        <v>1</v>
      </c>
      <c r="X485">
        <v>3</v>
      </c>
      <c r="Y485">
        <v>173</v>
      </c>
      <c r="Z485">
        <v>9</v>
      </c>
      <c r="AA485">
        <v>60</v>
      </c>
      <c r="AC485">
        <v>0</v>
      </c>
      <c r="AD485">
        <v>0</v>
      </c>
      <c r="AE485">
        <v>0</v>
      </c>
      <c r="AF485">
        <v>0</v>
      </c>
      <c r="AG485">
        <v>1</v>
      </c>
      <c r="AH485">
        <v>0</v>
      </c>
      <c r="AI485">
        <v>1</v>
      </c>
      <c r="AJ485">
        <v>0</v>
      </c>
      <c r="AK485">
        <v>2</v>
      </c>
      <c r="AL485">
        <v>2</v>
      </c>
      <c r="AM485">
        <v>0</v>
      </c>
      <c r="AN485">
        <v>2</v>
      </c>
      <c r="BC485">
        <v>0</v>
      </c>
      <c r="BD485">
        <v>20</v>
      </c>
      <c r="BE485">
        <v>425</v>
      </c>
      <c r="BF485">
        <v>425</v>
      </c>
      <c r="BG485">
        <v>681</v>
      </c>
      <c r="BJ485">
        <v>1</v>
      </c>
      <c r="BL485" t="s">
        <v>1086</v>
      </c>
      <c r="BM485" s="4">
        <v>43283.204861111109</v>
      </c>
      <c r="BN485" s="4">
        <v>43283.221909722219</v>
      </c>
      <c r="BO485" s="4">
        <v>43283.221909722219</v>
      </c>
      <c r="BP485" t="s">
        <v>92</v>
      </c>
      <c r="BQ485" t="s">
        <v>93</v>
      </c>
      <c r="BR485" t="s">
        <v>94</v>
      </c>
    </row>
    <row r="486" spans="1:70" x14ac:dyDescent="0.3">
      <c r="A486" t="str">
        <f>"200288B0100"</f>
        <v>200288B0100</v>
      </c>
      <c r="B486" t="s">
        <v>1087</v>
      </c>
      <c r="C486">
        <v>20</v>
      </c>
      <c r="D486" t="s">
        <v>88</v>
      </c>
      <c r="E486">
        <v>43</v>
      </c>
      <c r="F486" t="s">
        <v>1049</v>
      </c>
      <c r="G486">
        <v>288</v>
      </c>
      <c r="H486">
        <v>1</v>
      </c>
      <c r="I486" t="s">
        <v>90</v>
      </c>
      <c r="J486">
        <v>0</v>
      </c>
      <c r="K486">
        <v>1</v>
      </c>
      <c r="L486">
        <v>5</v>
      </c>
      <c r="M486">
        <v>221</v>
      </c>
      <c r="N486">
        <v>446</v>
      </c>
      <c r="O486">
        <v>2</v>
      </c>
      <c r="P486">
        <v>446</v>
      </c>
      <c r="Q486">
        <v>5</v>
      </c>
      <c r="R486">
        <v>117</v>
      </c>
      <c r="S486">
        <v>33</v>
      </c>
      <c r="T486">
        <v>7</v>
      </c>
      <c r="U486">
        <v>20</v>
      </c>
      <c r="V486">
        <v>2</v>
      </c>
      <c r="W486">
        <v>3</v>
      </c>
      <c r="X486">
        <v>4</v>
      </c>
      <c r="Y486">
        <v>170</v>
      </c>
      <c r="Z486">
        <v>6</v>
      </c>
      <c r="AA486">
        <v>59</v>
      </c>
      <c r="AC486">
        <v>0</v>
      </c>
      <c r="AD486">
        <v>0</v>
      </c>
      <c r="AE486">
        <v>0</v>
      </c>
      <c r="AF486">
        <v>0</v>
      </c>
      <c r="AG486">
        <v>2</v>
      </c>
      <c r="AH486">
        <v>0</v>
      </c>
      <c r="AI486">
        <v>0</v>
      </c>
      <c r="AJ486">
        <v>0</v>
      </c>
      <c r="AK486">
        <v>2</v>
      </c>
      <c r="AL486">
        <v>3</v>
      </c>
      <c r="AM486">
        <v>0</v>
      </c>
      <c r="AN486">
        <v>1</v>
      </c>
      <c r="BC486">
        <v>1</v>
      </c>
      <c r="BD486">
        <v>11</v>
      </c>
      <c r="BE486">
        <v>446</v>
      </c>
      <c r="BF486">
        <v>446</v>
      </c>
      <c r="BG486">
        <v>645</v>
      </c>
      <c r="BJ486">
        <v>1</v>
      </c>
      <c r="BL486" s="2" t="s">
        <v>1088</v>
      </c>
      <c r="BM486" s="4">
        <v>43283.186111111114</v>
      </c>
      <c r="BN486" s="4">
        <v>43283.205949074072</v>
      </c>
      <c r="BO486" s="4">
        <v>43283.205949074072</v>
      </c>
      <c r="BP486" t="s">
        <v>92</v>
      </c>
      <c r="BQ486" t="s">
        <v>93</v>
      </c>
      <c r="BR486" t="s">
        <v>94</v>
      </c>
    </row>
    <row r="487" spans="1:70" x14ac:dyDescent="0.3">
      <c r="A487" t="str">
        <f>"200288C0100"</f>
        <v>200288C0100</v>
      </c>
      <c r="B487" t="s">
        <v>1089</v>
      </c>
      <c r="C487">
        <v>20</v>
      </c>
      <c r="D487" t="s">
        <v>88</v>
      </c>
      <c r="E487">
        <v>43</v>
      </c>
      <c r="F487" t="s">
        <v>1049</v>
      </c>
      <c r="G487">
        <v>288</v>
      </c>
      <c r="H487">
        <v>1</v>
      </c>
      <c r="I487" t="s">
        <v>98</v>
      </c>
      <c r="J487">
        <v>0</v>
      </c>
      <c r="K487">
        <v>1</v>
      </c>
      <c r="L487">
        <v>5</v>
      </c>
      <c r="M487">
        <v>228</v>
      </c>
      <c r="N487">
        <v>438</v>
      </c>
      <c r="O487">
        <v>1</v>
      </c>
      <c r="P487">
        <v>438</v>
      </c>
      <c r="Q487">
        <v>7</v>
      </c>
      <c r="R487">
        <v>154</v>
      </c>
      <c r="S487">
        <v>21</v>
      </c>
      <c r="T487">
        <v>2</v>
      </c>
      <c r="U487">
        <v>14</v>
      </c>
      <c r="V487">
        <v>7</v>
      </c>
      <c r="W487">
        <v>1</v>
      </c>
      <c r="X487">
        <v>8</v>
      </c>
      <c r="Y487">
        <v>163</v>
      </c>
      <c r="Z487">
        <v>1</v>
      </c>
      <c r="AA487">
        <v>37</v>
      </c>
      <c r="AC487">
        <v>0</v>
      </c>
      <c r="AD487">
        <v>0</v>
      </c>
      <c r="AE487">
        <v>0</v>
      </c>
      <c r="AF487">
        <v>0</v>
      </c>
      <c r="AG487">
        <v>4</v>
      </c>
      <c r="AH487">
        <v>6</v>
      </c>
      <c r="AI487">
        <v>0</v>
      </c>
      <c r="AJ487">
        <v>0</v>
      </c>
      <c r="AK487">
        <v>3</v>
      </c>
      <c r="AL487">
        <v>1</v>
      </c>
      <c r="AM487">
        <v>0</v>
      </c>
      <c r="AN487">
        <v>0</v>
      </c>
      <c r="BC487">
        <v>0</v>
      </c>
      <c r="BD487">
        <v>9</v>
      </c>
      <c r="BE487">
        <v>438</v>
      </c>
      <c r="BF487">
        <v>438</v>
      </c>
      <c r="BG487">
        <v>644</v>
      </c>
      <c r="BJ487">
        <v>1</v>
      </c>
      <c r="BL487" t="s">
        <v>1090</v>
      </c>
      <c r="BM487" s="4">
        <v>43283.179861111108</v>
      </c>
      <c r="BN487" s="4">
        <v>43283.207905092589</v>
      </c>
      <c r="BO487" s="4">
        <v>43283.207905092589</v>
      </c>
      <c r="BP487" t="s">
        <v>92</v>
      </c>
      <c r="BQ487" t="s">
        <v>93</v>
      </c>
      <c r="BR487" t="s">
        <v>94</v>
      </c>
    </row>
    <row r="488" spans="1:70" x14ac:dyDescent="0.3">
      <c r="A488" t="str">
        <f>"200289B0100"</f>
        <v>200289B0100</v>
      </c>
      <c r="B488" t="s">
        <v>1091</v>
      </c>
      <c r="C488">
        <v>20</v>
      </c>
      <c r="D488" t="s">
        <v>88</v>
      </c>
      <c r="E488">
        <v>43</v>
      </c>
      <c r="F488" t="s">
        <v>1049</v>
      </c>
      <c r="G488">
        <v>289</v>
      </c>
      <c r="H488">
        <v>1</v>
      </c>
      <c r="I488" t="s">
        <v>90</v>
      </c>
      <c r="J488">
        <v>0</v>
      </c>
      <c r="K488">
        <v>1</v>
      </c>
      <c r="L488">
        <v>5</v>
      </c>
      <c r="M488">
        <v>251</v>
      </c>
      <c r="N488">
        <v>703</v>
      </c>
      <c r="O488">
        <v>11</v>
      </c>
      <c r="P488">
        <v>427</v>
      </c>
      <c r="Q488">
        <v>8</v>
      </c>
      <c r="R488">
        <v>91</v>
      </c>
      <c r="S488">
        <v>9</v>
      </c>
      <c r="T488">
        <v>5</v>
      </c>
      <c r="U488">
        <v>22</v>
      </c>
      <c r="V488">
        <v>5</v>
      </c>
      <c r="W488">
        <v>0</v>
      </c>
      <c r="X488">
        <v>1</v>
      </c>
      <c r="Y488">
        <v>215</v>
      </c>
      <c r="Z488">
        <v>6</v>
      </c>
      <c r="AA488">
        <v>54</v>
      </c>
      <c r="AC488">
        <v>1</v>
      </c>
      <c r="AD488">
        <v>0</v>
      </c>
      <c r="AE488">
        <v>0</v>
      </c>
      <c r="AF488">
        <v>0</v>
      </c>
      <c r="AG488">
        <v>2</v>
      </c>
      <c r="AH488">
        <v>1</v>
      </c>
      <c r="AI488">
        <v>0</v>
      </c>
      <c r="AJ488">
        <v>0</v>
      </c>
      <c r="AK488">
        <v>9</v>
      </c>
      <c r="AL488">
        <v>0</v>
      </c>
      <c r="AM488">
        <v>0</v>
      </c>
      <c r="AN488">
        <v>1</v>
      </c>
      <c r="BC488">
        <v>0</v>
      </c>
      <c r="BD488">
        <v>11</v>
      </c>
      <c r="BE488">
        <v>441</v>
      </c>
      <c r="BF488">
        <v>441</v>
      </c>
      <c r="BG488">
        <v>671</v>
      </c>
      <c r="BJ488">
        <v>1</v>
      </c>
      <c r="BL488" t="s">
        <v>1092</v>
      </c>
      <c r="BM488" s="4">
        <v>43283.177083333336</v>
      </c>
      <c r="BN488" s="4">
        <v>43283.193136574075</v>
      </c>
      <c r="BO488" s="4">
        <v>43283.193136574075</v>
      </c>
      <c r="BP488" t="s">
        <v>92</v>
      </c>
      <c r="BQ488" t="s">
        <v>93</v>
      </c>
      <c r="BR488" t="s">
        <v>94</v>
      </c>
    </row>
    <row r="489" spans="1:70" x14ac:dyDescent="0.3">
      <c r="A489" t="str">
        <f>"200289C0100"</f>
        <v>200289C0100</v>
      </c>
      <c r="B489" t="s">
        <v>1093</v>
      </c>
      <c r="C489">
        <v>20</v>
      </c>
      <c r="D489" t="s">
        <v>88</v>
      </c>
      <c r="E489">
        <v>43</v>
      </c>
      <c r="F489" t="s">
        <v>1049</v>
      </c>
      <c r="G489">
        <v>289</v>
      </c>
      <c r="H489">
        <v>1</v>
      </c>
      <c r="I489" t="s">
        <v>98</v>
      </c>
      <c r="J489">
        <v>0</v>
      </c>
      <c r="K489">
        <v>1</v>
      </c>
      <c r="L489">
        <v>5</v>
      </c>
      <c r="M489">
        <v>258</v>
      </c>
      <c r="N489">
        <v>435</v>
      </c>
      <c r="O489">
        <v>7</v>
      </c>
      <c r="P489">
        <v>435</v>
      </c>
      <c r="Q489">
        <v>1</v>
      </c>
      <c r="R489">
        <v>108</v>
      </c>
      <c r="S489">
        <v>9</v>
      </c>
      <c r="T489">
        <v>4</v>
      </c>
      <c r="U489">
        <v>22</v>
      </c>
      <c r="V489">
        <v>4</v>
      </c>
      <c r="W489">
        <v>4</v>
      </c>
      <c r="X489">
        <v>2</v>
      </c>
      <c r="Y489">
        <v>4</v>
      </c>
      <c r="Z489">
        <v>7</v>
      </c>
      <c r="AA489">
        <v>50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1</v>
      </c>
      <c r="AI489">
        <v>0</v>
      </c>
      <c r="AJ489">
        <v>0</v>
      </c>
      <c r="AK489">
        <v>0</v>
      </c>
      <c r="AL489">
        <v>2</v>
      </c>
      <c r="AM489">
        <v>0</v>
      </c>
      <c r="AN489">
        <v>0</v>
      </c>
      <c r="BC489">
        <v>1</v>
      </c>
      <c r="BD489">
        <v>17</v>
      </c>
      <c r="BE489" t="s">
        <v>105</v>
      </c>
      <c r="BF489">
        <v>236</v>
      </c>
      <c r="BG489">
        <v>671</v>
      </c>
      <c r="BJ489">
        <v>1</v>
      </c>
      <c r="BL489" t="s">
        <v>1094</v>
      </c>
      <c r="BM489" s="4">
        <v>43283.198611111111</v>
      </c>
      <c r="BN489" s="4">
        <v>43283.214768518519</v>
      </c>
      <c r="BO489" s="4">
        <v>43283.214768518519</v>
      </c>
      <c r="BP489" t="s">
        <v>92</v>
      </c>
      <c r="BQ489" t="s">
        <v>93</v>
      </c>
      <c r="BR489" t="s">
        <v>94</v>
      </c>
    </row>
    <row r="490" spans="1:70" x14ac:dyDescent="0.3">
      <c r="A490" t="str">
        <f>"200289S0100"</f>
        <v>200289S0100</v>
      </c>
      <c r="B490" t="s">
        <v>1095</v>
      </c>
      <c r="C490">
        <v>20</v>
      </c>
      <c r="D490" t="s">
        <v>88</v>
      </c>
      <c r="E490">
        <v>43</v>
      </c>
      <c r="F490" t="s">
        <v>1049</v>
      </c>
      <c r="G490">
        <v>289</v>
      </c>
      <c r="H490">
        <v>1</v>
      </c>
      <c r="I490" t="s">
        <v>113</v>
      </c>
      <c r="J490">
        <v>0</v>
      </c>
      <c r="K490">
        <v>1</v>
      </c>
      <c r="L490">
        <v>6</v>
      </c>
      <c r="M490">
        <v>736</v>
      </c>
      <c r="N490">
        <v>36</v>
      </c>
      <c r="O490">
        <v>0</v>
      </c>
      <c r="P490">
        <v>36</v>
      </c>
      <c r="Q490">
        <v>0</v>
      </c>
      <c r="R490">
        <v>9</v>
      </c>
      <c r="S490">
        <v>0</v>
      </c>
      <c r="T490">
        <v>1</v>
      </c>
      <c r="U490">
        <v>0</v>
      </c>
      <c r="V490">
        <v>1</v>
      </c>
      <c r="W490">
        <v>0</v>
      </c>
      <c r="X490">
        <v>0</v>
      </c>
      <c r="Y490">
        <v>20</v>
      </c>
      <c r="Z490">
        <v>0</v>
      </c>
      <c r="AA490">
        <v>2</v>
      </c>
      <c r="AC490">
        <v>0</v>
      </c>
      <c r="AD490">
        <v>0</v>
      </c>
      <c r="AE490">
        <v>0</v>
      </c>
      <c r="AF490">
        <v>0</v>
      </c>
      <c r="AG490">
        <v>1</v>
      </c>
      <c r="AH490">
        <v>0</v>
      </c>
      <c r="AI490">
        <v>0</v>
      </c>
      <c r="AJ490">
        <v>0</v>
      </c>
      <c r="AK490">
        <v>1</v>
      </c>
      <c r="AL490">
        <v>0</v>
      </c>
      <c r="AM490">
        <v>0</v>
      </c>
      <c r="AN490">
        <v>0</v>
      </c>
      <c r="BC490">
        <v>0</v>
      </c>
      <c r="BD490">
        <v>1</v>
      </c>
      <c r="BE490">
        <v>36</v>
      </c>
      <c r="BF490">
        <v>36</v>
      </c>
      <c r="BG490">
        <v>0</v>
      </c>
      <c r="BJ490">
        <v>1</v>
      </c>
      <c r="BL490" s="2" t="s">
        <v>1096</v>
      </c>
      <c r="BM490" s="4">
        <v>43283.18472222222</v>
      </c>
      <c r="BN490" s="4">
        <v>43283.202349537038</v>
      </c>
      <c r="BO490" s="4">
        <v>43283.202349537038</v>
      </c>
      <c r="BP490" t="s">
        <v>92</v>
      </c>
      <c r="BQ490" t="s">
        <v>93</v>
      </c>
      <c r="BR490" t="s">
        <v>94</v>
      </c>
    </row>
    <row r="491" spans="1:70" x14ac:dyDescent="0.3">
      <c r="A491" t="str">
        <f>"200289S0200"</f>
        <v>200289S0200</v>
      </c>
      <c r="B491" t="s">
        <v>1097</v>
      </c>
      <c r="C491">
        <v>20</v>
      </c>
      <c r="D491" t="s">
        <v>88</v>
      </c>
      <c r="E491">
        <v>43</v>
      </c>
      <c r="F491" t="s">
        <v>1049</v>
      </c>
      <c r="G491">
        <v>289</v>
      </c>
      <c r="H491">
        <v>2</v>
      </c>
      <c r="I491" t="s">
        <v>113</v>
      </c>
      <c r="J491">
        <v>0</v>
      </c>
      <c r="K491">
        <v>1</v>
      </c>
      <c r="L491">
        <v>6</v>
      </c>
      <c r="M491">
        <v>654</v>
      </c>
      <c r="N491">
        <v>118</v>
      </c>
      <c r="O491">
        <v>0</v>
      </c>
      <c r="P491">
        <v>118</v>
      </c>
      <c r="Q491">
        <v>0</v>
      </c>
      <c r="R491">
        <v>10</v>
      </c>
      <c r="S491">
        <v>1</v>
      </c>
      <c r="T491">
        <v>0</v>
      </c>
      <c r="U491">
        <v>2</v>
      </c>
      <c r="V491">
        <v>2</v>
      </c>
      <c r="W491">
        <v>0</v>
      </c>
      <c r="X491">
        <v>0</v>
      </c>
      <c r="Y491">
        <v>94</v>
      </c>
      <c r="Z491">
        <v>0</v>
      </c>
      <c r="AA491">
        <v>4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1</v>
      </c>
      <c r="AI491">
        <v>0</v>
      </c>
      <c r="AJ491">
        <v>0</v>
      </c>
      <c r="AK491">
        <v>0</v>
      </c>
      <c r="AL491">
        <v>1</v>
      </c>
      <c r="AM491">
        <v>0</v>
      </c>
      <c r="AN491">
        <v>0</v>
      </c>
      <c r="BC491">
        <v>0</v>
      </c>
      <c r="BD491">
        <v>3</v>
      </c>
      <c r="BE491">
        <v>118</v>
      </c>
      <c r="BF491">
        <v>118</v>
      </c>
      <c r="BG491">
        <v>0</v>
      </c>
      <c r="BJ491">
        <v>1</v>
      </c>
      <c r="BL491" t="s">
        <v>1098</v>
      </c>
      <c r="BM491" s="4">
        <v>43283.177777777775</v>
      </c>
      <c r="BN491" s="4">
        <v>43283.194502314815</v>
      </c>
      <c r="BO491" s="4">
        <v>43283.194502314815</v>
      </c>
      <c r="BP491" t="s">
        <v>92</v>
      </c>
      <c r="BQ491" t="s">
        <v>93</v>
      </c>
      <c r="BR491" t="s">
        <v>94</v>
      </c>
    </row>
    <row r="492" spans="1:70" x14ac:dyDescent="0.3">
      <c r="A492" t="str">
        <f>"200290B0100"</f>
        <v>200290B0100</v>
      </c>
      <c r="B492" t="s">
        <v>1099</v>
      </c>
      <c r="C492">
        <v>20</v>
      </c>
      <c r="D492" t="s">
        <v>88</v>
      </c>
      <c r="E492">
        <v>43</v>
      </c>
      <c r="F492" t="s">
        <v>1049</v>
      </c>
      <c r="G492">
        <v>290</v>
      </c>
      <c r="H492">
        <v>1</v>
      </c>
      <c r="I492" t="s">
        <v>90</v>
      </c>
      <c r="J492">
        <v>0</v>
      </c>
      <c r="K492">
        <v>1</v>
      </c>
      <c r="L492">
        <v>5</v>
      </c>
      <c r="M492">
        <v>192</v>
      </c>
      <c r="N492">
        <v>411</v>
      </c>
      <c r="O492">
        <v>9</v>
      </c>
      <c r="P492">
        <v>406</v>
      </c>
      <c r="Q492">
        <v>1</v>
      </c>
      <c r="R492">
        <v>41</v>
      </c>
      <c r="S492">
        <v>5</v>
      </c>
      <c r="T492">
        <v>10</v>
      </c>
      <c r="U492">
        <v>12</v>
      </c>
      <c r="V492">
        <v>2</v>
      </c>
      <c r="W492">
        <v>0</v>
      </c>
      <c r="X492">
        <v>7</v>
      </c>
      <c r="Y492">
        <v>269</v>
      </c>
      <c r="Z492">
        <v>7</v>
      </c>
      <c r="AA492">
        <v>26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5</v>
      </c>
      <c r="AL492">
        <v>1</v>
      </c>
      <c r="AM492">
        <v>1</v>
      </c>
      <c r="AN492">
        <v>2</v>
      </c>
      <c r="BC492">
        <v>0</v>
      </c>
      <c r="BD492">
        <v>17</v>
      </c>
      <c r="BE492">
        <v>406</v>
      </c>
      <c r="BF492">
        <v>406</v>
      </c>
      <c r="BG492">
        <v>581</v>
      </c>
      <c r="BJ492">
        <v>1</v>
      </c>
      <c r="BL492" t="s">
        <v>1100</v>
      </c>
      <c r="BM492" s="4">
        <v>43283.085416666669</v>
      </c>
      <c r="BN492" s="4">
        <v>43283.092129629629</v>
      </c>
      <c r="BO492" s="4">
        <v>43283.092129629629</v>
      </c>
      <c r="BP492" t="s">
        <v>92</v>
      </c>
      <c r="BQ492" t="s">
        <v>93</v>
      </c>
      <c r="BR492" t="s">
        <v>94</v>
      </c>
    </row>
    <row r="493" spans="1:70" x14ac:dyDescent="0.3">
      <c r="A493" t="str">
        <f>"200290C0100"</f>
        <v>200290C0100</v>
      </c>
      <c r="B493" t="s">
        <v>1101</v>
      </c>
      <c r="C493">
        <v>20</v>
      </c>
      <c r="D493" t="s">
        <v>88</v>
      </c>
      <c r="E493">
        <v>43</v>
      </c>
      <c r="F493" t="s">
        <v>1049</v>
      </c>
      <c r="G493">
        <v>290</v>
      </c>
      <c r="H493">
        <v>1</v>
      </c>
      <c r="I493" t="s">
        <v>98</v>
      </c>
      <c r="J493">
        <v>0</v>
      </c>
      <c r="K493">
        <v>1</v>
      </c>
      <c r="L493">
        <v>5</v>
      </c>
      <c r="BG493">
        <v>581</v>
      </c>
      <c r="BI493" t="s">
        <v>122</v>
      </c>
      <c r="BJ493">
        <v>0</v>
      </c>
      <c r="BL493" t="s">
        <v>1102</v>
      </c>
      <c r="BM493" s="4">
        <v>43283.410416666666</v>
      </c>
      <c r="BN493" s="4">
        <v>43283.414166666669</v>
      </c>
      <c r="BO493" s="4">
        <v>43283.414166666669</v>
      </c>
      <c r="BP493" t="s">
        <v>92</v>
      </c>
      <c r="BQ493" t="s">
        <v>93</v>
      </c>
      <c r="BR493" t="s">
        <v>94</v>
      </c>
    </row>
    <row r="494" spans="1:70" x14ac:dyDescent="0.3">
      <c r="A494" t="str">
        <f>"200290E0100"</f>
        <v>200290E0100</v>
      </c>
      <c r="B494" s="2" t="s">
        <v>1103</v>
      </c>
      <c r="C494">
        <v>20</v>
      </c>
      <c r="D494" t="s">
        <v>88</v>
      </c>
      <c r="E494">
        <v>43</v>
      </c>
      <c r="F494" t="s">
        <v>1049</v>
      </c>
      <c r="G494">
        <v>290</v>
      </c>
      <c r="H494">
        <v>1</v>
      </c>
      <c r="I494" t="s">
        <v>156</v>
      </c>
      <c r="J494">
        <v>0</v>
      </c>
      <c r="K494">
        <v>1</v>
      </c>
      <c r="L494">
        <v>5</v>
      </c>
      <c r="M494">
        <v>277</v>
      </c>
      <c r="N494">
        <v>433</v>
      </c>
      <c r="O494">
        <v>6</v>
      </c>
      <c r="P494">
        <v>433</v>
      </c>
      <c r="Q494">
        <v>0</v>
      </c>
      <c r="R494">
        <v>56</v>
      </c>
      <c r="S494">
        <v>7</v>
      </c>
      <c r="T494">
        <v>3</v>
      </c>
      <c r="U494">
        <v>26</v>
      </c>
      <c r="V494">
        <v>1</v>
      </c>
      <c r="W494">
        <v>1</v>
      </c>
      <c r="X494">
        <v>3</v>
      </c>
      <c r="Y494">
        <v>241</v>
      </c>
      <c r="Z494">
        <v>5</v>
      </c>
      <c r="AA494">
        <v>63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1</v>
      </c>
      <c r="AI494">
        <v>0</v>
      </c>
      <c r="AJ494">
        <v>0</v>
      </c>
      <c r="AK494">
        <v>5</v>
      </c>
      <c r="AL494">
        <v>4</v>
      </c>
      <c r="AM494">
        <v>0</v>
      </c>
      <c r="AN494">
        <v>0</v>
      </c>
      <c r="BC494">
        <v>0</v>
      </c>
      <c r="BD494">
        <v>0</v>
      </c>
      <c r="BE494">
        <v>431</v>
      </c>
      <c r="BF494">
        <v>416</v>
      </c>
      <c r="BG494">
        <v>688</v>
      </c>
      <c r="BJ494">
        <v>1</v>
      </c>
      <c r="BL494" t="s">
        <v>1104</v>
      </c>
      <c r="BM494" s="4">
        <v>43283.081944444442</v>
      </c>
      <c r="BN494" s="4">
        <v>43283.094525462962</v>
      </c>
      <c r="BO494" s="4">
        <v>43283.094525462962</v>
      </c>
      <c r="BP494" t="s">
        <v>92</v>
      </c>
      <c r="BQ494" t="s">
        <v>93</v>
      </c>
      <c r="BR494" t="s">
        <v>94</v>
      </c>
    </row>
    <row r="495" spans="1:70" x14ac:dyDescent="0.3">
      <c r="A495" t="str">
        <f>"200290E0101"</f>
        <v>200290E0101</v>
      </c>
      <c r="B495" s="2" t="s">
        <v>1105</v>
      </c>
      <c r="C495">
        <v>20</v>
      </c>
      <c r="D495" t="s">
        <v>88</v>
      </c>
      <c r="E495">
        <v>43</v>
      </c>
      <c r="F495" t="s">
        <v>1049</v>
      </c>
      <c r="G495">
        <v>290</v>
      </c>
      <c r="H495">
        <v>1</v>
      </c>
      <c r="I495" t="s">
        <v>156</v>
      </c>
      <c r="J495">
        <v>1</v>
      </c>
      <c r="K495">
        <v>1</v>
      </c>
      <c r="L495">
        <v>5</v>
      </c>
      <c r="M495">
        <v>257</v>
      </c>
      <c r="N495">
        <v>453</v>
      </c>
      <c r="O495">
        <v>5</v>
      </c>
      <c r="P495">
        <v>453</v>
      </c>
      <c r="Q495">
        <v>3</v>
      </c>
      <c r="R495">
        <v>65</v>
      </c>
      <c r="S495">
        <v>7</v>
      </c>
      <c r="T495">
        <v>2</v>
      </c>
      <c r="U495">
        <v>27</v>
      </c>
      <c r="V495">
        <v>2</v>
      </c>
      <c r="W495">
        <v>2</v>
      </c>
      <c r="X495">
        <v>2</v>
      </c>
      <c r="Y495">
        <v>265</v>
      </c>
      <c r="Z495">
        <v>6</v>
      </c>
      <c r="AA495">
        <v>56</v>
      </c>
      <c r="AC495">
        <v>1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3</v>
      </c>
      <c r="AL495">
        <v>2</v>
      </c>
      <c r="AM495">
        <v>0</v>
      </c>
      <c r="AN495">
        <v>0</v>
      </c>
      <c r="BC495">
        <v>0</v>
      </c>
      <c r="BD495">
        <v>10</v>
      </c>
      <c r="BE495">
        <v>453</v>
      </c>
      <c r="BF495">
        <v>453</v>
      </c>
      <c r="BG495">
        <v>688</v>
      </c>
      <c r="BJ495">
        <v>1</v>
      </c>
      <c r="BL495" t="s">
        <v>1106</v>
      </c>
      <c r="BM495" s="4">
        <v>43283.087500000001</v>
      </c>
      <c r="BN495" s="4">
        <v>43283.091851851852</v>
      </c>
      <c r="BO495" s="4">
        <v>43283.091851851852</v>
      </c>
      <c r="BP495" t="s">
        <v>92</v>
      </c>
      <c r="BQ495" t="s">
        <v>93</v>
      </c>
      <c r="BR495" t="s">
        <v>94</v>
      </c>
    </row>
    <row r="496" spans="1:70" x14ac:dyDescent="0.3">
      <c r="A496" t="str">
        <f>"200290E0102"</f>
        <v>200290E0102</v>
      </c>
      <c r="B496" s="2" t="s">
        <v>1107</v>
      </c>
      <c r="C496">
        <v>20</v>
      </c>
      <c r="D496" t="s">
        <v>88</v>
      </c>
      <c r="E496">
        <v>43</v>
      </c>
      <c r="F496" t="s">
        <v>1049</v>
      </c>
      <c r="G496">
        <v>290</v>
      </c>
      <c r="H496">
        <v>1</v>
      </c>
      <c r="I496" t="s">
        <v>156</v>
      </c>
      <c r="J496">
        <v>2</v>
      </c>
      <c r="K496">
        <v>1</v>
      </c>
      <c r="L496">
        <v>5</v>
      </c>
      <c r="M496">
        <v>262</v>
      </c>
      <c r="N496">
        <v>446</v>
      </c>
      <c r="O496">
        <v>4</v>
      </c>
      <c r="P496">
        <v>442</v>
      </c>
      <c r="Q496">
        <v>5</v>
      </c>
      <c r="R496">
        <v>70</v>
      </c>
      <c r="S496">
        <v>7</v>
      </c>
      <c r="T496">
        <v>5</v>
      </c>
      <c r="U496">
        <v>31</v>
      </c>
      <c r="V496">
        <v>4</v>
      </c>
      <c r="W496">
        <v>0</v>
      </c>
      <c r="X496">
        <v>5</v>
      </c>
      <c r="Y496">
        <v>226</v>
      </c>
      <c r="Z496">
        <v>11</v>
      </c>
      <c r="AA496">
        <v>51</v>
      </c>
      <c r="AC496">
        <v>0</v>
      </c>
      <c r="AD496">
        <v>0</v>
      </c>
      <c r="AE496">
        <v>0</v>
      </c>
      <c r="AF496">
        <v>0</v>
      </c>
      <c r="AG496">
        <v>2</v>
      </c>
      <c r="AH496">
        <v>1</v>
      </c>
      <c r="AI496">
        <v>0</v>
      </c>
      <c r="AJ496">
        <v>0</v>
      </c>
      <c r="AK496">
        <v>5</v>
      </c>
      <c r="AL496">
        <v>1</v>
      </c>
      <c r="AM496">
        <v>0</v>
      </c>
      <c r="AN496">
        <v>0</v>
      </c>
      <c r="BC496">
        <v>0</v>
      </c>
      <c r="BD496">
        <v>18</v>
      </c>
      <c r="BE496">
        <v>442</v>
      </c>
      <c r="BF496">
        <v>442</v>
      </c>
      <c r="BG496">
        <v>688</v>
      </c>
      <c r="BJ496">
        <v>1</v>
      </c>
      <c r="BL496" t="s">
        <v>1108</v>
      </c>
      <c r="BM496" s="4">
        <v>43283.086805555555</v>
      </c>
      <c r="BN496" s="4">
        <v>43283.091956018521</v>
      </c>
      <c r="BO496" s="4">
        <v>43283.091956018521</v>
      </c>
      <c r="BP496" t="s">
        <v>92</v>
      </c>
      <c r="BQ496" t="s">
        <v>93</v>
      </c>
      <c r="BR496" t="s">
        <v>94</v>
      </c>
    </row>
    <row r="497" spans="1:70" x14ac:dyDescent="0.3">
      <c r="A497" t="str">
        <f>"200290S0100"</f>
        <v>200290S0100</v>
      </c>
      <c r="B497" t="s">
        <v>1109</v>
      </c>
      <c r="C497">
        <v>20</v>
      </c>
      <c r="D497" t="s">
        <v>88</v>
      </c>
      <c r="E497">
        <v>43</v>
      </c>
      <c r="F497" t="s">
        <v>1049</v>
      </c>
      <c r="G497">
        <v>290</v>
      </c>
      <c r="H497">
        <v>1</v>
      </c>
      <c r="I497" t="s">
        <v>113</v>
      </c>
      <c r="J497">
        <v>0</v>
      </c>
      <c r="K497">
        <v>1</v>
      </c>
      <c r="L497">
        <v>6</v>
      </c>
      <c r="M497">
        <v>124</v>
      </c>
      <c r="N497">
        <v>648</v>
      </c>
      <c r="O497">
        <v>0</v>
      </c>
      <c r="P497">
        <v>648</v>
      </c>
      <c r="Q497">
        <v>1</v>
      </c>
      <c r="R497">
        <v>119</v>
      </c>
      <c r="S497">
        <v>5</v>
      </c>
      <c r="T497">
        <v>1</v>
      </c>
      <c r="U497">
        <v>9</v>
      </c>
      <c r="V497">
        <v>2</v>
      </c>
      <c r="W497">
        <v>0</v>
      </c>
      <c r="X497">
        <v>30</v>
      </c>
      <c r="Y497">
        <v>429</v>
      </c>
      <c r="Z497">
        <v>2</v>
      </c>
      <c r="AA497">
        <v>35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1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BC497">
        <v>0</v>
      </c>
      <c r="BD497">
        <v>12</v>
      </c>
      <c r="BE497">
        <v>648</v>
      </c>
      <c r="BF497">
        <v>646</v>
      </c>
      <c r="BG497">
        <v>0</v>
      </c>
      <c r="BJ497">
        <v>1</v>
      </c>
      <c r="BL497" t="s">
        <v>1110</v>
      </c>
      <c r="BM497" s="4">
        <v>43283.088888888888</v>
      </c>
      <c r="BN497" s="4">
        <v>43283.093275462961</v>
      </c>
      <c r="BO497" s="4">
        <v>43283.093275462961</v>
      </c>
      <c r="BP497" t="s">
        <v>92</v>
      </c>
      <c r="BQ497" t="s">
        <v>93</v>
      </c>
      <c r="BR497" t="s">
        <v>94</v>
      </c>
    </row>
    <row r="498" spans="1:70" x14ac:dyDescent="0.3">
      <c r="A498" t="str">
        <f>"200291B0100"</f>
        <v>200291B0100</v>
      </c>
      <c r="B498" t="s">
        <v>1111</v>
      </c>
      <c r="C498">
        <v>20</v>
      </c>
      <c r="D498" t="s">
        <v>88</v>
      </c>
      <c r="E498">
        <v>43</v>
      </c>
      <c r="F498" t="s">
        <v>1049</v>
      </c>
      <c r="G498">
        <v>291</v>
      </c>
      <c r="H498">
        <v>1</v>
      </c>
      <c r="I498" t="s">
        <v>90</v>
      </c>
      <c r="J498">
        <v>0</v>
      </c>
      <c r="K498">
        <v>1</v>
      </c>
      <c r="L498">
        <v>5</v>
      </c>
      <c r="M498">
        <v>265</v>
      </c>
      <c r="N498">
        <v>499</v>
      </c>
      <c r="O498">
        <v>2</v>
      </c>
      <c r="P498">
        <v>514</v>
      </c>
      <c r="Q498">
        <v>5</v>
      </c>
      <c r="R498">
        <v>93</v>
      </c>
      <c r="S498">
        <v>11</v>
      </c>
      <c r="T498">
        <v>13</v>
      </c>
      <c r="U498">
        <v>25</v>
      </c>
      <c r="V498">
        <v>1</v>
      </c>
      <c r="W498">
        <v>0</v>
      </c>
      <c r="X498">
        <v>6</v>
      </c>
      <c r="Y498">
        <v>281</v>
      </c>
      <c r="Z498">
        <v>3</v>
      </c>
      <c r="AA498">
        <v>50</v>
      </c>
      <c r="AC498">
        <v>0</v>
      </c>
      <c r="AD498">
        <v>0</v>
      </c>
      <c r="AE498">
        <v>0</v>
      </c>
      <c r="AF498">
        <v>0</v>
      </c>
      <c r="AG498">
        <v>1</v>
      </c>
      <c r="AH498">
        <v>5</v>
      </c>
      <c r="AI498">
        <v>0</v>
      </c>
      <c r="AJ498">
        <v>1</v>
      </c>
      <c r="AK498">
        <v>2</v>
      </c>
      <c r="AL498">
        <v>5</v>
      </c>
      <c r="AM498">
        <v>0</v>
      </c>
      <c r="AN498">
        <v>0</v>
      </c>
      <c r="BC498">
        <v>0</v>
      </c>
      <c r="BD498">
        <v>12</v>
      </c>
      <c r="BE498">
        <v>514</v>
      </c>
      <c r="BF498">
        <v>514</v>
      </c>
      <c r="BG498">
        <v>744</v>
      </c>
      <c r="BJ498">
        <v>1</v>
      </c>
      <c r="BL498" t="s">
        <v>1112</v>
      </c>
      <c r="BM498" s="4">
        <v>43283.225694444445</v>
      </c>
      <c r="BN498" s="4">
        <v>43283.255497685182</v>
      </c>
      <c r="BO498" s="4">
        <v>43283.255497685182</v>
      </c>
      <c r="BP498" t="s">
        <v>92</v>
      </c>
      <c r="BQ498" t="s">
        <v>93</v>
      </c>
      <c r="BR498" t="s">
        <v>94</v>
      </c>
    </row>
    <row r="499" spans="1:70" x14ac:dyDescent="0.3">
      <c r="A499" t="str">
        <f>"200291C0100"</f>
        <v>200291C0100</v>
      </c>
      <c r="B499" t="s">
        <v>1113</v>
      </c>
      <c r="C499">
        <v>20</v>
      </c>
      <c r="D499" t="s">
        <v>88</v>
      </c>
      <c r="E499">
        <v>43</v>
      </c>
      <c r="F499" t="s">
        <v>1049</v>
      </c>
      <c r="G499">
        <v>291</v>
      </c>
      <c r="H499">
        <v>1</v>
      </c>
      <c r="I499" t="s">
        <v>98</v>
      </c>
      <c r="J499">
        <v>0</v>
      </c>
      <c r="K499">
        <v>1</v>
      </c>
      <c r="L499">
        <v>5</v>
      </c>
      <c r="M499">
        <v>235</v>
      </c>
      <c r="N499">
        <v>509</v>
      </c>
      <c r="O499">
        <v>8</v>
      </c>
      <c r="P499">
        <v>508</v>
      </c>
      <c r="Q499">
        <v>0</v>
      </c>
      <c r="R499">
        <v>94</v>
      </c>
      <c r="S499">
        <v>13</v>
      </c>
      <c r="T499">
        <v>13</v>
      </c>
      <c r="U499">
        <v>28</v>
      </c>
      <c r="V499">
        <v>1</v>
      </c>
      <c r="W499">
        <v>2</v>
      </c>
      <c r="X499">
        <v>5</v>
      </c>
      <c r="Y499">
        <v>37</v>
      </c>
      <c r="Z499">
        <v>237</v>
      </c>
      <c r="AA499">
        <v>7</v>
      </c>
      <c r="AC499">
        <v>1</v>
      </c>
      <c r="AD499">
        <v>0</v>
      </c>
      <c r="AE499">
        <v>0</v>
      </c>
      <c r="AF499">
        <v>0</v>
      </c>
      <c r="AG499">
        <v>0</v>
      </c>
      <c r="AH499">
        <v>1</v>
      </c>
      <c r="AI499">
        <v>0</v>
      </c>
      <c r="AJ499">
        <v>0</v>
      </c>
      <c r="AK499">
        <v>0</v>
      </c>
      <c r="AL499">
        <v>3</v>
      </c>
      <c r="AM499">
        <v>2</v>
      </c>
      <c r="AN499">
        <v>5</v>
      </c>
      <c r="BC499">
        <v>25</v>
      </c>
      <c r="BD499">
        <v>25</v>
      </c>
      <c r="BE499">
        <v>508</v>
      </c>
      <c r="BF499">
        <v>499</v>
      </c>
      <c r="BG499">
        <v>744</v>
      </c>
      <c r="BJ499">
        <v>1</v>
      </c>
      <c r="BL499" t="s">
        <v>1114</v>
      </c>
      <c r="BM499" s="4">
        <v>43283.268750000003</v>
      </c>
      <c r="BN499" s="4">
        <v>43283.297974537039</v>
      </c>
      <c r="BO499" s="4">
        <v>43283.297974537039</v>
      </c>
      <c r="BP499" t="s">
        <v>92</v>
      </c>
      <c r="BQ499" t="s">
        <v>93</v>
      </c>
      <c r="BR499" t="s">
        <v>94</v>
      </c>
    </row>
    <row r="500" spans="1:70" x14ac:dyDescent="0.3">
      <c r="A500" t="str">
        <f>"200291S0100"</f>
        <v>200291S0100</v>
      </c>
      <c r="B500" t="s">
        <v>1115</v>
      </c>
      <c r="C500">
        <v>20</v>
      </c>
      <c r="D500" t="s">
        <v>88</v>
      </c>
      <c r="E500">
        <v>43</v>
      </c>
      <c r="F500" t="s">
        <v>1049</v>
      </c>
      <c r="G500">
        <v>291</v>
      </c>
      <c r="H500">
        <v>1</v>
      </c>
      <c r="I500" t="s">
        <v>113</v>
      </c>
      <c r="J500">
        <v>0</v>
      </c>
      <c r="K500">
        <v>1</v>
      </c>
      <c r="L500">
        <v>6</v>
      </c>
      <c r="BG500">
        <v>0</v>
      </c>
      <c r="BI500" t="s">
        <v>122</v>
      </c>
      <c r="BJ500">
        <v>0</v>
      </c>
      <c r="BL500" t="s">
        <v>1116</v>
      </c>
      <c r="BM500" s="4">
        <v>43283.5</v>
      </c>
      <c r="BN500" s="4">
        <v>43283.502465277779</v>
      </c>
      <c r="BO500" s="4">
        <v>43283.502465277779</v>
      </c>
      <c r="BP500" t="s">
        <v>92</v>
      </c>
      <c r="BQ500" t="s">
        <v>93</v>
      </c>
      <c r="BR500" t="s">
        <v>94</v>
      </c>
    </row>
    <row r="501" spans="1:70" x14ac:dyDescent="0.3">
      <c r="A501" t="str">
        <f>"200292B0100"</f>
        <v>200292B0100</v>
      </c>
      <c r="B501" t="s">
        <v>1117</v>
      </c>
      <c r="C501">
        <v>20</v>
      </c>
      <c r="D501" t="s">
        <v>88</v>
      </c>
      <c r="E501">
        <v>43</v>
      </c>
      <c r="F501" t="s">
        <v>1049</v>
      </c>
      <c r="G501">
        <v>292</v>
      </c>
      <c r="H501">
        <v>1</v>
      </c>
      <c r="I501" t="s">
        <v>90</v>
      </c>
      <c r="J501">
        <v>0</v>
      </c>
      <c r="K501">
        <v>1</v>
      </c>
      <c r="L501">
        <v>5</v>
      </c>
      <c r="M501">
        <v>191</v>
      </c>
      <c r="N501">
        <v>409</v>
      </c>
      <c r="O501">
        <v>3</v>
      </c>
      <c r="P501">
        <v>407</v>
      </c>
      <c r="Q501">
        <v>2</v>
      </c>
      <c r="R501">
        <v>108</v>
      </c>
      <c r="S501">
        <v>10</v>
      </c>
      <c r="T501">
        <v>3</v>
      </c>
      <c r="U501">
        <v>14</v>
      </c>
      <c r="V501">
        <v>1</v>
      </c>
      <c r="W501">
        <v>0</v>
      </c>
      <c r="X501">
        <v>5</v>
      </c>
      <c r="Y501">
        <v>187</v>
      </c>
      <c r="Z501">
        <v>6</v>
      </c>
      <c r="AA501">
        <v>56</v>
      </c>
      <c r="AC501">
        <v>0</v>
      </c>
      <c r="AD501">
        <v>0</v>
      </c>
      <c r="AE501">
        <v>0</v>
      </c>
      <c r="AF501">
        <v>0</v>
      </c>
      <c r="AG501">
        <v>1</v>
      </c>
      <c r="AH501">
        <v>1</v>
      </c>
      <c r="AI501">
        <v>1</v>
      </c>
      <c r="AJ501">
        <v>0</v>
      </c>
      <c r="AK501">
        <v>2</v>
      </c>
      <c r="AL501">
        <v>0</v>
      </c>
      <c r="AM501">
        <v>0</v>
      </c>
      <c r="AN501">
        <v>0</v>
      </c>
      <c r="BC501">
        <v>0</v>
      </c>
      <c r="BD501">
        <v>10</v>
      </c>
      <c r="BE501">
        <v>407</v>
      </c>
      <c r="BF501">
        <v>407</v>
      </c>
      <c r="BG501">
        <v>576</v>
      </c>
      <c r="BJ501">
        <v>1</v>
      </c>
      <c r="BL501" t="s">
        <v>1118</v>
      </c>
      <c r="BM501" s="4">
        <v>43283.267361111109</v>
      </c>
      <c r="BN501" s="4">
        <v>43283.306064814817</v>
      </c>
      <c r="BO501" s="4">
        <v>43283.306064814817</v>
      </c>
      <c r="BP501" t="s">
        <v>92</v>
      </c>
      <c r="BQ501" t="s">
        <v>93</v>
      </c>
      <c r="BR501" t="s">
        <v>94</v>
      </c>
    </row>
    <row r="502" spans="1:70" x14ac:dyDescent="0.3">
      <c r="A502" t="str">
        <f>"200292C0100"</f>
        <v>200292C0100</v>
      </c>
      <c r="B502" t="s">
        <v>1119</v>
      </c>
      <c r="C502">
        <v>20</v>
      </c>
      <c r="D502" t="s">
        <v>88</v>
      </c>
      <c r="E502">
        <v>43</v>
      </c>
      <c r="F502" t="s">
        <v>1049</v>
      </c>
      <c r="G502">
        <v>292</v>
      </c>
      <c r="H502">
        <v>1</v>
      </c>
      <c r="I502" t="s">
        <v>98</v>
      </c>
      <c r="J502">
        <v>0</v>
      </c>
      <c r="K502">
        <v>1</v>
      </c>
      <c r="L502">
        <v>5</v>
      </c>
      <c r="M502">
        <v>207</v>
      </c>
      <c r="N502">
        <v>390</v>
      </c>
      <c r="O502">
        <v>3</v>
      </c>
      <c r="P502">
        <v>390</v>
      </c>
      <c r="Q502">
        <v>8</v>
      </c>
      <c r="R502">
        <v>97</v>
      </c>
      <c r="S502">
        <v>3</v>
      </c>
      <c r="T502">
        <v>3</v>
      </c>
      <c r="U502">
        <v>20</v>
      </c>
      <c r="V502">
        <v>3</v>
      </c>
      <c r="W502">
        <v>2</v>
      </c>
      <c r="X502">
        <v>1</v>
      </c>
      <c r="Y502">
        <v>188</v>
      </c>
      <c r="Z502">
        <v>2</v>
      </c>
      <c r="AA502">
        <v>46</v>
      </c>
      <c r="AC502">
        <v>0</v>
      </c>
      <c r="AD502">
        <v>1</v>
      </c>
      <c r="AE502">
        <v>0</v>
      </c>
      <c r="AF502">
        <v>0</v>
      </c>
      <c r="AG502">
        <v>0</v>
      </c>
      <c r="AH502">
        <v>2</v>
      </c>
      <c r="AI502">
        <v>1</v>
      </c>
      <c r="AJ502">
        <v>0</v>
      </c>
      <c r="AK502">
        <v>1</v>
      </c>
      <c r="AL502">
        <v>0</v>
      </c>
      <c r="AM502">
        <v>0</v>
      </c>
      <c r="AN502">
        <v>0</v>
      </c>
      <c r="BC502">
        <v>0</v>
      </c>
      <c r="BD502">
        <v>12</v>
      </c>
      <c r="BE502">
        <v>390</v>
      </c>
      <c r="BF502">
        <v>390</v>
      </c>
      <c r="BG502">
        <v>575</v>
      </c>
      <c r="BJ502">
        <v>1</v>
      </c>
      <c r="BL502" t="s">
        <v>1120</v>
      </c>
      <c r="BM502" s="4">
        <v>43283.224305555559</v>
      </c>
      <c r="BN502" s="4">
        <v>43283.248263888891</v>
      </c>
      <c r="BO502" s="4">
        <v>43283.248263888891</v>
      </c>
      <c r="BP502" t="s">
        <v>92</v>
      </c>
      <c r="BQ502" t="s">
        <v>93</v>
      </c>
      <c r="BR502" t="s">
        <v>94</v>
      </c>
    </row>
    <row r="503" spans="1:70" x14ac:dyDescent="0.3">
      <c r="A503" t="str">
        <f>"200293B0100"</f>
        <v>200293B0100</v>
      </c>
      <c r="B503" t="s">
        <v>1121</v>
      </c>
      <c r="C503">
        <v>20</v>
      </c>
      <c r="D503" t="s">
        <v>88</v>
      </c>
      <c r="E503">
        <v>43</v>
      </c>
      <c r="F503" t="s">
        <v>1049</v>
      </c>
      <c r="G503">
        <v>293</v>
      </c>
      <c r="H503">
        <v>1</v>
      </c>
      <c r="I503" t="s">
        <v>90</v>
      </c>
      <c r="J503">
        <v>0</v>
      </c>
      <c r="K503">
        <v>1</v>
      </c>
      <c r="L503">
        <v>5</v>
      </c>
      <c r="M503">
        <v>215</v>
      </c>
      <c r="N503">
        <v>357</v>
      </c>
      <c r="O503">
        <v>3</v>
      </c>
      <c r="P503">
        <v>355</v>
      </c>
      <c r="Q503">
        <v>8</v>
      </c>
      <c r="R503">
        <v>78</v>
      </c>
      <c r="S503">
        <v>24</v>
      </c>
      <c r="T503">
        <v>2</v>
      </c>
      <c r="U503">
        <v>19</v>
      </c>
      <c r="V503">
        <v>8</v>
      </c>
      <c r="W503">
        <v>2</v>
      </c>
      <c r="X503">
        <v>4</v>
      </c>
      <c r="Y503">
        <v>149</v>
      </c>
      <c r="Z503">
        <v>6</v>
      </c>
      <c r="AA503">
        <v>36</v>
      </c>
      <c r="AC503">
        <v>1</v>
      </c>
      <c r="AD503">
        <v>1</v>
      </c>
      <c r="AE503">
        <v>0</v>
      </c>
      <c r="AF503">
        <v>0</v>
      </c>
      <c r="AG503">
        <v>2</v>
      </c>
      <c r="AH503">
        <v>1</v>
      </c>
      <c r="AI503">
        <v>0</v>
      </c>
      <c r="AJ503">
        <v>0</v>
      </c>
      <c r="AK503">
        <v>4</v>
      </c>
      <c r="AL503">
        <v>1</v>
      </c>
      <c r="AM503">
        <v>0</v>
      </c>
      <c r="AN503">
        <v>0</v>
      </c>
      <c r="BC503">
        <v>0</v>
      </c>
      <c r="BD503">
        <v>9</v>
      </c>
      <c r="BE503">
        <v>355</v>
      </c>
      <c r="BF503">
        <v>355</v>
      </c>
      <c r="BG503">
        <v>550</v>
      </c>
      <c r="BJ503">
        <v>1</v>
      </c>
      <c r="BL503" t="s">
        <v>1122</v>
      </c>
      <c r="BM503" s="4">
        <v>43283.214583333334</v>
      </c>
      <c r="BN503" s="4">
        <v>43283.245567129627</v>
      </c>
      <c r="BO503" s="4">
        <v>43283.245567129627</v>
      </c>
      <c r="BP503" t="s">
        <v>92</v>
      </c>
      <c r="BQ503" t="s">
        <v>93</v>
      </c>
      <c r="BR503" t="s">
        <v>94</v>
      </c>
    </row>
    <row r="504" spans="1:70" x14ac:dyDescent="0.3">
      <c r="A504" t="str">
        <f>"200293C0100"</f>
        <v>200293C0100</v>
      </c>
      <c r="B504" t="s">
        <v>1123</v>
      </c>
      <c r="C504">
        <v>20</v>
      </c>
      <c r="D504" t="s">
        <v>88</v>
      </c>
      <c r="E504">
        <v>43</v>
      </c>
      <c r="F504" t="s">
        <v>1049</v>
      </c>
      <c r="G504">
        <v>293</v>
      </c>
      <c r="H504">
        <v>1</v>
      </c>
      <c r="I504" t="s">
        <v>98</v>
      </c>
      <c r="J504">
        <v>0</v>
      </c>
      <c r="K504">
        <v>1</v>
      </c>
      <c r="L504">
        <v>5</v>
      </c>
      <c r="M504">
        <v>211</v>
      </c>
      <c r="N504">
        <v>360</v>
      </c>
      <c r="O504">
        <v>0</v>
      </c>
      <c r="P504">
        <v>360</v>
      </c>
      <c r="Q504">
        <v>13</v>
      </c>
      <c r="R504">
        <v>76</v>
      </c>
      <c r="S504">
        <v>18</v>
      </c>
      <c r="T504">
        <v>4</v>
      </c>
      <c r="U504">
        <v>17</v>
      </c>
      <c r="V504">
        <v>6</v>
      </c>
      <c r="W504">
        <v>0</v>
      </c>
      <c r="X504">
        <v>3</v>
      </c>
      <c r="Y504">
        <v>164</v>
      </c>
      <c r="Z504">
        <v>4</v>
      </c>
      <c r="AA504">
        <v>37</v>
      </c>
      <c r="AC504">
        <v>0</v>
      </c>
      <c r="AD504">
        <v>0</v>
      </c>
      <c r="AE504">
        <v>0</v>
      </c>
      <c r="AF504">
        <v>0</v>
      </c>
      <c r="AG504">
        <v>1</v>
      </c>
      <c r="AH504">
        <v>1</v>
      </c>
      <c r="AI504">
        <v>0</v>
      </c>
      <c r="AJ504">
        <v>0</v>
      </c>
      <c r="AK504">
        <v>3</v>
      </c>
      <c r="AL504">
        <v>1</v>
      </c>
      <c r="AM504">
        <v>0</v>
      </c>
      <c r="AN504">
        <v>1</v>
      </c>
      <c r="BC504">
        <v>0</v>
      </c>
      <c r="BD504">
        <v>11</v>
      </c>
      <c r="BE504">
        <v>360</v>
      </c>
      <c r="BF504">
        <v>360</v>
      </c>
      <c r="BG504">
        <v>549</v>
      </c>
      <c r="BJ504">
        <v>1</v>
      </c>
      <c r="BL504" t="s">
        <v>1124</v>
      </c>
      <c r="BM504" s="4">
        <v>43283.211805555555</v>
      </c>
      <c r="BN504" s="4">
        <v>43283.233020833337</v>
      </c>
      <c r="BO504" s="4">
        <v>43283.233020833337</v>
      </c>
      <c r="BP504" t="s">
        <v>92</v>
      </c>
      <c r="BQ504" t="s">
        <v>93</v>
      </c>
      <c r="BR504" t="s">
        <v>94</v>
      </c>
    </row>
    <row r="505" spans="1:70" x14ac:dyDescent="0.3">
      <c r="A505" t="str">
        <f>"200293C0200"</f>
        <v>200293C0200</v>
      </c>
      <c r="B505" t="s">
        <v>1125</v>
      </c>
      <c r="C505">
        <v>20</v>
      </c>
      <c r="D505" t="s">
        <v>88</v>
      </c>
      <c r="E505">
        <v>43</v>
      </c>
      <c r="F505" t="s">
        <v>1049</v>
      </c>
      <c r="G505">
        <v>293</v>
      </c>
      <c r="H505">
        <v>2</v>
      </c>
      <c r="I505" t="s">
        <v>98</v>
      </c>
      <c r="J505">
        <v>0</v>
      </c>
      <c r="K505">
        <v>1</v>
      </c>
      <c r="L505">
        <v>5</v>
      </c>
      <c r="M505">
        <v>221</v>
      </c>
      <c r="N505">
        <v>350</v>
      </c>
      <c r="O505">
        <v>3</v>
      </c>
      <c r="P505">
        <v>350</v>
      </c>
      <c r="Q505">
        <v>5</v>
      </c>
      <c r="R505">
        <v>70</v>
      </c>
      <c r="S505">
        <v>14</v>
      </c>
      <c r="T505">
        <v>4</v>
      </c>
      <c r="U505">
        <v>10</v>
      </c>
      <c r="V505">
        <v>6</v>
      </c>
      <c r="W505">
        <v>0</v>
      </c>
      <c r="X505">
        <v>3</v>
      </c>
      <c r="Y505">
        <v>175</v>
      </c>
      <c r="Z505">
        <v>1</v>
      </c>
      <c r="AA505">
        <v>42</v>
      </c>
      <c r="AC505">
        <v>2</v>
      </c>
      <c r="AD505">
        <v>0</v>
      </c>
      <c r="AE505">
        <v>0</v>
      </c>
      <c r="AF505">
        <v>2</v>
      </c>
      <c r="AG505">
        <v>1</v>
      </c>
      <c r="AH505">
        <v>0</v>
      </c>
      <c r="AI505">
        <v>0</v>
      </c>
      <c r="AJ505">
        <v>0</v>
      </c>
      <c r="AK505">
        <v>5</v>
      </c>
      <c r="AL505">
        <v>1</v>
      </c>
      <c r="AM505">
        <v>0</v>
      </c>
      <c r="AN505">
        <v>1</v>
      </c>
      <c r="BC505">
        <v>0</v>
      </c>
      <c r="BD505">
        <v>8</v>
      </c>
      <c r="BE505">
        <v>350</v>
      </c>
      <c r="BF505">
        <v>350</v>
      </c>
      <c r="BG505">
        <v>549</v>
      </c>
      <c r="BJ505">
        <v>1</v>
      </c>
      <c r="BL505" t="s">
        <v>1126</v>
      </c>
      <c r="BM505" s="4">
        <v>43283.219444444447</v>
      </c>
      <c r="BN505" s="4">
        <v>43283.242048611108</v>
      </c>
      <c r="BO505" s="4">
        <v>43283.242048611108</v>
      </c>
      <c r="BP505" t="s">
        <v>92</v>
      </c>
      <c r="BQ505" t="s">
        <v>93</v>
      </c>
      <c r="BR505" t="s">
        <v>94</v>
      </c>
    </row>
    <row r="506" spans="1:70" x14ac:dyDescent="0.3">
      <c r="A506" t="str">
        <f>"200294B0100"</f>
        <v>200294B0100</v>
      </c>
      <c r="B506" t="s">
        <v>1127</v>
      </c>
      <c r="C506">
        <v>20</v>
      </c>
      <c r="D506" t="s">
        <v>88</v>
      </c>
      <c r="E506">
        <v>43</v>
      </c>
      <c r="F506" t="s">
        <v>1049</v>
      </c>
      <c r="G506">
        <v>294</v>
      </c>
      <c r="H506">
        <v>1</v>
      </c>
      <c r="I506" t="s">
        <v>90</v>
      </c>
      <c r="J506">
        <v>0</v>
      </c>
      <c r="K506">
        <v>1</v>
      </c>
      <c r="L506">
        <v>5</v>
      </c>
      <c r="M506">
        <v>323</v>
      </c>
      <c r="N506">
        <v>444</v>
      </c>
      <c r="O506">
        <v>7</v>
      </c>
      <c r="P506">
        <v>446</v>
      </c>
      <c r="Q506">
        <v>1</v>
      </c>
      <c r="R506">
        <v>90</v>
      </c>
      <c r="S506">
        <v>15</v>
      </c>
      <c r="T506">
        <v>5</v>
      </c>
      <c r="U506">
        <v>24</v>
      </c>
      <c r="V506">
        <v>3</v>
      </c>
      <c r="W506">
        <v>2</v>
      </c>
      <c r="X506">
        <v>3</v>
      </c>
      <c r="Y506">
        <v>214</v>
      </c>
      <c r="Z506">
        <v>2</v>
      </c>
      <c r="AA506">
        <v>65</v>
      </c>
      <c r="AC506">
        <v>0</v>
      </c>
      <c r="AD506">
        <v>0</v>
      </c>
      <c r="AE506">
        <v>0</v>
      </c>
      <c r="AF506">
        <v>0</v>
      </c>
      <c r="AG506">
        <v>2</v>
      </c>
      <c r="AH506">
        <v>1</v>
      </c>
      <c r="AI506">
        <v>0</v>
      </c>
      <c r="AJ506">
        <v>0</v>
      </c>
      <c r="AK506">
        <v>2</v>
      </c>
      <c r="AL506">
        <v>2</v>
      </c>
      <c r="AM506">
        <v>0</v>
      </c>
      <c r="AN506">
        <v>1</v>
      </c>
      <c r="BC506" t="s">
        <v>105</v>
      </c>
      <c r="BD506">
        <v>15</v>
      </c>
      <c r="BE506">
        <v>446</v>
      </c>
      <c r="BF506">
        <v>447</v>
      </c>
      <c r="BG506">
        <v>745</v>
      </c>
      <c r="BI506" t="s">
        <v>106</v>
      </c>
      <c r="BJ506">
        <v>1</v>
      </c>
      <c r="BL506" t="s">
        <v>1128</v>
      </c>
      <c r="BM506" s="4">
        <v>43283.036805555559</v>
      </c>
      <c r="BN506" s="4">
        <v>43283.045289351852</v>
      </c>
      <c r="BO506" s="4">
        <v>43283.045289351852</v>
      </c>
      <c r="BP506" t="s">
        <v>92</v>
      </c>
      <c r="BQ506" t="s">
        <v>93</v>
      </c>
      <c r="BR506" t="s">
        <v>94</v>
      </c>
    </row>
    <row r="507" spans="1:70" x14ac:dyDescent="0.3">
      <c r="A507" t="str">
        <f>"200294C0100"</f>
        <v>200294C0100</v>
      </c>
      <c r="B507" t="s">
        <v>1129</v>
      </c>
      <c r="C507">
        <v>20</v>
      </c>
      <c r="D507" t="s">
        <v>88</v>
      </c>
      <c r="E507">
        <v>43</v>
      </c>
      <c r="F507" t="s">
        <v>1049</v>
      </c>
      <c r="G507">
        <v>294</v>
      </c>
      <c r="H507">
        <v>1</v>
      </c>
      <c r="I507" t="s">
        <v>98</v>
      </c>
      <c r="J507">
        <v>0</v>
      </c>
      <c r="K507">
        <v>1</v>
      </c>
      <c r="L507">
        <v>5</v>
      </c>
      <c r="M507">
        <v>291</v>
      </c>
      <c r="N507">
        <v>475</v>
      </c>
      <c r="O507">
        <v>5</v>
      </c>
      <c r="P507">
        <v>481</v>
      </c>
      <c r="Q507">
        <v>24</v>
      </c>
      <c r="R507">
        <v>137</v>
      </c>
      <c r="S507" t="s">
        <v>105</v>
      </c>
      <c r="T507" t="s">
        <v>105</v>
      </c>
      <c r="U507" t="s">
        <v>105</v>
      </c>
      <c r="V507" t="s">
        <v>105</v>
      </c>
      <c r="W507" t="s">
        <v>105</v>
      </c>
      <c r="X507" t="s">
        <v>105</v>
      </c>
      <c r="Y507">
        <v>231</v>
      </c>
      <c r="Z507" t="s">
        <v>105</v>
      </c>
      <c r="AA507">
        <v>72</v>
      </c>
      <c r="AC507" t="s">
        <v>105</v>
      </c>
      <c r="AD507" t="s">
        <v>105</v>
      </c>
      <c r="AE507" t="s">
        <v>105</v>
      </c>
      <c r="AF507" t="s">
        <v>105</v>
      </c>
      <c r="AG507" t="s">
        <v>105</v>
      </c>
      <c r="AH507" t="s">
        <v>105</v>
      </c>
      <c r="AI507" t="s">
        <v>105</v>
      </c>
      <c r="AJ507" t="s">
        <v>105</v>
      </c>
      <c r="AK507" t="s">
        <v>105</v>
      </c>
      <c r="AL507" t="s">
        <v>105</v>
      </c>
      <c r="AM507" t="s">
        <v>105</v>
      </c>
      <c r="AN507" t="s">
        <v>105</v>
      </c>
      <c r="BC507" t="s">
        <v>105</v>
      </c>
      <c r="BD507">
        <v>14</v>
      </c>
      <c r="BE507">
        <v>478</v>
      </c>
      <c r="BF507">
        <v>478</v>
      </c>
      <c r="BG507">
        <v>745</v>
      </c>
      <c r="BI507" t="s">
        <v>106</v>
      </c>
      <c r="BJ507">
        <v>1</v>
      </c>
      <c r="BL507" s="2" t="s">
        <v>1130</v>
      </c>
      <c r="BM507" s="4">
        <v>43283.116666666669</v>
      </c>
      <c r="BN507" s="4">
        <v>43283.122025462966</v>
      </c>
      <c r="BO507" s="4">
        <v>43283.122025462966</v>
      </c>
      <c r="BP507" t="s">
        <v>92</v>
      </c>
      <c r="BQ507" t="s">
        <v>93</v>
      </c>
      <c r="BR507" t="s">
        <v>94</v>
      </c>
    </row>
    <row r="508" spans="1:70" x14ac:dyDescent="0.3">
      <c r="A508" t="str">
        <f>"200294C0200"</f>
        <v>200294C0200</v>
      </c>
      <c r="B508" t="s">
        <v>1131</v>
      </c>
      <c r="C508">
        <v>20</v>
      </c>
      <c r="D508" t="s">
        <v>88</v>
      </c>
      <c r="E508">
        <v>43</v>
      </c>
      <c r="F508" t="s">
        <v>1049</v>
      </c>
      <c r="G508">
        <v>294</v>
      </c>
      <c r="H508">
        <v>2</v>
      </c>
      <c r="I508" t="s">
        <v>98</v>
      </c>
      <c r="J508">
        <v>0</v>
      </c>
      <c r="K508">
        <v>1</v>
      </c>
      <c r="L508">
        <v>5</v>
      </c>
      <c r="M508" t="s">
        <v>127</v>
      </c>
      <c r="N508" t="s">
        <v>105</v>
      </c>
      <c r="O508" t="s">
        <v>105</v>
      </c>
      <c r="P508" t="s">
        <v>105</v>
      </c>
      <c r="Q508">
        <v>4</v>
      </c>
      <c r="R508">
        <v>142</v>
      </c>
      <c r="S508">
        <v>26</v>
      </c>
      <c r="T508">
        <v>2</v>
      </c>
      <c r="U508">
        <v>15</v>
      </c>
      <c r="V508">
        <v>1</v>
      </c>
      <c r="W508">
        <v>6</v>
      </c>
      <c r="X508">
        <v>5</v>
      </c>
      <c r="Y508">
        <v>186</v>
      </c>
      <c r="Z508">
        <v>6</v>
      </c>
      <c r="AA508">
        <v>46</v>
      </c>
      <c r="AC508">
        <v>0</v>
      </c>
      <c r="AD508">
        <v>1</v>
      </c>
      <c r="AE508">
        <v>0</v>
      </c>
      <c r="AF508">
        <v>0</v>
      </c>
      <c r="AG508">
        <v>0</v>
      </c>
      <c r="AH508">
        <v>1</v>
      </c>
      <c r="AI508">
        <v>0</v>
      </c>
      <c r="AJ508">
        <v>0</v>
      </c>
      <c r="AK508">
        <v>3</v>
      </c>
      <c r="AL508">
        <v>0</v>
      </c>
      <c r="AM508">
        <v>0</v>
      </c>
      <c r="AN508">
        <v>0</v>
      </c>
      <c r="BC508">
        <v>1</v>
      </c>
      <c r="BD508">
        <v>17</v>
      </c>
      <c r="BE508">
        <v>462</v>
      </c>
      <c r="BF508">
        <v>462</v>
      </c>
      <c r="BG508">
        <v>745</v>
      </c>
      <c r="BJ508">
        <v>1</v>
      </c>
      <c r="BL508" t="s">
        <v>1132</v>
      </c>
      <c r="BM508" s="4">
        <v>43283.025000000001</v>
      </c>
      <c r="BN508" s="4">
        <v>43283.031168981484</v>
      </c>
      <c r="BO508" s="4">
        <v>43283.031168981484</v>
      </c>
      <c r="BP508" t="s">
        <v>92</v>
      </c>
      <c r="BQ508" t="s">
        <v>93</v>
      </c>
      <c r="BR508" t="s">
        <v>94</v>
      </c>
    </row>
    <row r="509" spans="1:70" x14ac:dyDescent="0.3">
      <c r="A509" t="str">
        <f>"200294E0100"</f>
        <v>200294E0100</v>
      </c>
      <c r="B509" s="2" t="s">
        <v>1133</v>
      </c>
      <c r="C509">
        <v>20</v>
      </c>
      <c r="D509" t="s">
        <v>88</v>
      </c>
      <c r="E509">
        <v>43</v>
      </c>
      <c r="F509" t="s">
        <v>1049</v>
      </c>
      <c r="G509">
        <v>294</v>
      </c>
      <c r="H509">
        <v>1</v>
      </c>
      <c r="I509" t="s">
        <v>156</v>
      </c>
      <c r="J509">
        <v>0</v>
      </c>
      <c r="K509">
        <v>1</v>
      </c>
      <c r="L509">
        <v>5</v>
      </c>
      <c r="M509">
        <v>270</v>
      </c>
      <c r="N509">
        <v>406</v>
      </c>
      <c r="O509">
        <v>9</v>
      </c>
      <c r="P509">
        <v>406</v>
      </c>
      <c r="Q509">
        <v>3</v>
      </c>
      <c r="R509">
        <v>125</v>
      </c>
      <c r="S509">
        <v>12</v>
      </c>
      <c r="T509">
        <v>8</v>
      </c>
      <c r="U509">
        <v>20</v>
      </c>
      <c r="V509">
        <v>3</v>
      </c>
      <c r="W509">
        <v>3</v>
      </c>
      <c r="X509">
        <v>7</v>
      </c>
      <c r="Y509">
        <v>151</v>
      </c>
      <c r="Z509">
        <v>6</v>
      </c>
      <c r="AA509">
        <v>43</v>
      </c>
      <c r="AC509">
        <v>0</v>
      </c>
      <c r="AD509">
        <v>0</v>
      </c>
      <c r="AE509">
        <v>0</v>
      </c>
      <c r="AF509">
        <v>0</v>
      </c>
      <c r="AG509">
        <v>1</v>
      </c>
      <c r="AH509">
        <v>1</v>
      </c>
      <c r="AI509">
        <v>0</v>
      </c>
      <c r="AJ509">
        <v>0</v>
      </c>
      <c r="AK509">
        <v>3</v>
      </c>
      <c r="AL509">
        <v>1</v>
      </c>
      <c r="AM509">
        <v>0</v>
      </c>
      <c r="AN509">
        <v>0</v>
      </c>
      <c r="BC509">
        <v>0</v>
      </c>
      <c r="BD509">
        <v>19</v>
      </c>
      <c r="BE509" t="s">
        <v>105</v>
      </c>
      <c r="BF509">
        <v>406</v>
      </c>
      <c r="BG509">
        <v>654</v>
      </c>
      <c r="BJ509">
        <v>1</v>
      </c>
      <c r="BL509" t="s">
        <v>1134</v>
      </c>
      <c r="BM509" s="4">
        <v>43283.09375</v>
      </c>
      <c r="BN509" s="4">
        <v>43283.09784722222</v>
      </c>
      <c r="BO509" s="4">
        <v>43283.09784722222</v>
      </c>
      <c r="BP509" t="s">
        <v>92</v>
      </c>
      <c r="BQ509" t="s">
        <v>93</v>
      </c>
      <c r="BR509" t="s">
        <v>94</v>
      </c>
    </row>
    <row r="510" spans="1:70" x14ac:dyDescent="0.3">
      <c r="A510" t="str">
        <f>"200294E0101"</f>
        <v>200294E0101</v>
      </c>
      <c r="B510" s="2" t="s">
        <v>1135</v>
      </c>
      <c r="C510">
        <v>20</v>
      </c>
      <c r="D510" t="s">
        <v>88</v>
      </c>
      <c r="E510">
        <v>43</v>
      </c>
      <c r="F510" t="s">
        <v>1049</v>
      </c>
      <c r="G510">
        <v>294</v>
      </c>
      <c r="H510">
        <v>1</v>
      </c>
      <c r="I510" t="s">
        <v>156</v>
      </c>
      <c r="J510">
        <v>1</v>
      </c>
      <c r="K510">
        <v>1</v>
      </c>
      <c r="L510">
        <v>5</v>
      </c>
      <c r="M510">
        <v>248</v>
      </c>
      <c r="N510" t="s">
        <v>105</v>
      </c>
      <c r="O510" t="s">
        <v>105</v>
      </c>
      <c r="P510" t="s">
        <v>105</v>
      </c>
      <c r="Q510">
        <v>9</v>
      </c>
      <c r="R510">
        <v>9</v>
      </c>
      <c r="S510">
        <v>33</v>
      </c>
      <c r="T510">
        <v>10</v>
      </c>
      <c r="U510">
        <v>17</v>
      </c>
      <c r="V510">
        <v>4</v>
      </c>
      <c r="W510">
        <v>2</v>
      </c>
      <c r="X510">
        <v>7</v>
      </c>
      <c r="Y510">
        <v>163</v>
      </c>
      <c r="Z510">
        <v>6</v>
      </c>
      <c r="AA510">
        <v>44</v>
      </c>
      <c r="AC510">
        <v>0</v>
      </c>
      <c r="AD510">
        <v>0</v>
      </c>
      <c r="AE510">
        <v>0</v>
      </c>
      <c r="AF510">
        <v>0</v>
      </c>
      <c r="AG510">
        <v>4</v>
      </c>
      <c r="AH510">
        <v>3</v>
      </c>
      <c r="AI510">
        <v>0</v>
      </c>
      <c r="AJ510">
        <v>0</v>
      </c>
      <c r="AK510">
        <v>2</v>
      </c>
      <c r="AL510">
        <v>0</v>
      </c>
      <c r="AM510">
        <v>0</v>
      </c>
      <c r="AN510">
        <v>0</v>
      </c>
      <c r="BC510">
        <v>0</v>
      </c>
      <c r="BD510">
        <v>19</v>
      </c>
      <c r="BE510">
        <v>423</v>
      </c>
      <c r="BF510">
        <v>332</v>
      </c>
      <c r="BG510">
        <v>653</v>
      </c>
      <c r="BJ510">
        <v>1</v>
      </c>
      <c r="BL510" t="s">
        <v>1136</v>
      </c>
      <c r="BM510" s="4">
        <v>43283.091666666667</v>
      </c>
      <c r="BN510" s="4">
        <v>43283.098703703705</v>
      </c>
      <c r="BO510" s="4">
        <v>43283.098703703705</v>
      </c>
      <c r="BP510" t="s">
        <v>92</v>
      </c>
      <c r="BQ510" t="s">
        <v>93</v>
      </c>
      <c r="BR510" t="s">
        <v>94</v>
      </c>
    </row>
    <row r="511" spans="1:70" x14ac:dyDescent="0.3">
      <c r="A511" t="str">
        <f>"200295B0100"</f>
        <v>200295B0100</v>
      </c>
      <c r="B511" t="s">
        <v>1137</v>
      </c>
      <c r="C511">
        <v>20</v>
      </c>
      <c r="D511" t="s">
        <v>88</v>
      </c>
      <c r="E511">
        <v>43</v>
      </c>
      <c r="F511" t="s">
        <v>1049</v>
      </c>
      <c r="G511">
        <v>295</v>
      </c>
      <c r="H511">
        <v>1</v>
      </c>
      <c r="I511" t="s">
        <v>90</v>
      </c>
      <c r="J511">
        <v>0</v>
      </c>
      <c r="K511">
        <v>1</v>
      </c>
      <c r="L511">
        <v>5</v>
      </c>
      <c r="M511">
        <v>148</v>
      </c>
      <c r="N511">
        <v>289</v>
      </c>
      <c r="O511">
        <v>11</v>
      </c>
      <c r="P511">
        <v>289</v>
      </c>
      <c r="Q511">
        <v>0</v>
      </c>
      <c r="R511">
        <v>2</v>
      </c>
      <c r="S511">
        <v>13</v>
      </c>
      <c r="T511">
        <v>6</v>
      </c>
      <c r="U511">
        <v>12</v>
      </c>
      <c r="V511">
        <v>2</v>
      </c>
      <c r="W511">
        <v>0</v>
      </c>
      <c r="X511">
        <v>2</v>
      </c>
      <c r="Y511">
        <v>137</v>
      </c>
      <c r="Z511">
        <v>1</v>
      </c>
      <c r="AA511">
        <v>48</v>
      </c>
      <c r="AC511">
        <v>0</v>
      </c>
      <c r="AD511">
        <v>0</v>
      </c>
      <c r="AE511">
        <v>0</v>
      </c>
      <c r="AF511">
        <v>0</v>
      </c>
      <c r="AG511">
        <v>1</v>
      </c>
      <c r="AH511">
        <v>2</v>
      </c>
      <c r="AI511">
        <v>1</v>
      </c>
      <c r="AJ511">
        <v>0</v>
      </c>
      <c r="AK511">
        <v>0</v>
      </c>
      <c r="AL511">
        <v>2</v>
      </c>
      <c r="AM511">
        <v>0</v>
      </c>
      <c r="AN511">
        <v>1</v>
      </c>
      <c r="BC511">
        <v>0</v>
      </c>
      <c r="BD511">
        <v>9</v>
      </c>
      <c r="BE511" t="s">
        <v>105</v>
      </c>
      <c r="BF511">
        <v>239</v>
      </c>
      <c r="BG511">
        <v>415</v>
      </c>
      <c r="BJ511">
        <v>1</v>
      </c>
      <c r="BL511" t="s">
        <v>1138</v>
      </c>
      <c r="BM511" s="4">
        <v>43283.202777777777</v>
      </c>
      <c r="BN511" s="4">
        <v>43283.220011574071</v>
      </c>
      <c r="BO511" s="4">
        <v>43283.220011574071</v>
      </c>
      <c r="BP511" t="s">
        <v>92</v>
      </c>
      <c r="BQ511" t="s">
        <v>93</v>
      </c>
      <c r="BR511" t="s">
        <v>94</v>
      </c>
    </row>
    <row r="512" spans="1:70" x14ac:dyDescent="0.3">
      <c r="A512" t="str">
        <f>"200295C0100"</f>
        <v>200295C0100</v>
      </c>
      <c r="B512" t="s">
        <v>1139</v>
      </c>
      <c r="C512">
        <v>20</v>
      </c>
      <c r="D512" t="s">
        <v>88</v>
      </c>
      <c r="E512">
        <v>43</v>
      </c>
      <c r="F512" t="s">
        <v>1049</v>
      </c>
      <c r="G512">
        <v>295</v>
      </c>
      <c r="H512">
        <v>1</v>
      </c>
      <c r="I512" t="s">
        <v>98</v>
      </c>
      <c r="J512">
        <v>0</v>
      </c>
      <c r="K512">
        <v>1</v>
      </c>
      <c r="L512">
        <v>5</v>
      </c>
      <c r="M512">
        <v>155</v>
      </c>
      <c r="N512">
        <v>281</v>
      </c>
      <c r="O512">
        <v>10</v>
      </c>
      <c r="P512">
        <v>281</v>
      </c>
      <c r="Q512">
        <v>0</v>
      </c>
      <c r="R512">
        <v>47</v>
      </c>
      <c r="S512">
        <v>5</v>
      </c>
      <c r="T512">
        <v>1</v>
      </c>
      <c r="U512">
        <v>11</v>
      </c>
      <c r="V512">
        <v>4</v>
      </c>
      <c r="W512">
        <v>1</v>
      </c>
      <c r="X512">
        <v>6</v>
      </c>
      <c r="Y512">
        <v>136</v>
      </c>
      <c r="Z512">
        <v>2</v>
      </c>
      <c r="AA512">
        <v>63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BC512">
        <v>0</v>
      </c>
      <c r="BD512">
        <v>5</v>
      </c>
      <c r="BE512">
        <v>281</v>
      </c>
      <c r="BF512">
        <v>281</v>
      </c>
      <c r="BG512">
        <v>415</v>
      </c>
      <c r="BJ512">
        <v>1</v>
      </c>
      <c r="BL512" t="s">
        <v>1140</v>
      </c>
      <c r="BM512" s="4">
        <v>43283.270138888889</v>
      </c>
      <c r="BN512" s="4">
        <v>43283.295844907407</v>
      </c>
      <c r="BO512" s="4">
        <v>43283.295844907407</v>
      </c>
      <c r="BP512" t="s">
        <v>92</v>
      </c>
      <c r="BQ512" t="s">
        <v>93</v>
      </c>
      <c r="BR512" t="s">
        <v>94</v>
      </c>
    </row>
    <row r="513" spans="1:70" x14ac:dyDescent="0.3">
      <c r="A513" t="str">
        <f>"200296B0100"</f>
        <v>200296B0100</v>
      </c>
      <c r="B513" t="s">
        <v>1141</v>
      </c>
      <c r="C513">
        <v>20</v>
      </c>
      <c r="D513" t="s">
        <v>88</v>
      </c>
      <c r="E513">
        <v>43</v>
      </c>
      <c r="F513" t="s">
        <v>1049</v>
      </c>
      <c r="G513">
        <v>296</v>
      </c>
      <c r="H513">
        <v>1</v>
      </c>
      <c r="I513" t="s">
        <v>90</v>
      </c>
      <c r="J513">
        <v>0</v>
      </c>
      <c r="K513">
        <v>1</v>
      </c>
      <c r="L513">
        <v>5</v>
      </c>
      <c r="M513">
        <v>184</v>
      </c>
      <c r="N513">
        <v>308</v>
      </c>
      <c r="O513">
        <v>5</v>
      </c>
      <c r="P513">
        <v>308</v>
      </c>
      <c r="Q513">
        <v>1</v>
      </c>
      <c r="R513">
        <v>67</v>
      </c>
      <c r="S513">
        <v>8</v>
      </c>
      <c r="T513">
        <v>4</v>
      </c>
      <c r="U513">
        <v>10</v>
      </c>
      <c r="V513">
        <v>3</v>
      </c>
      <c r="W513">
        <v>3</v>
      </c>
      <c r="X513">
        <v>1</v>
      </c>
      <c r="Y513">
        <v>157</v>
      </c>
      <c r="Z513">
        <v>4</v>
      </c>
      <c r="AA513">
        <v>37</v>
      </c>
      <c r="AC513">
        <v>0</v>
      </c>
      <c r="AD513">
        <v>0</v>
      </c>
      <c r="AE513">
        <v>0</v>
      </c>
      <c r="AF513">
        <v>0</v>
      </c>
      <c r="AG513">
        <v>1</v>
      </c>
      <c r="AH513">
        <v>0</v>
      </c>
      <c r="AI513">
        <v>0</v>
      </c>
      <c r="AJ513">
        <v>0</v>
      </c>
      <c r="AK513">
        <v>1</v>
      </c>
      <c r="AL513">
        <v>1</v>
      </c>
      <c r="AM513">
        <v>0</v>
      </c>
      <c r="AN513">
        <v>0</v>
      </c>
      <c r="BC513">
        <v>0</v>
      </c>
      <c r="BD513">
        <v>10</v>
      </c>
      <c r="BE513">
        <v>308</v>
      </c>
      <c r="BF513">
        <v>308</v>
      </c>
      <c r="BG513">
        <v>470</v>
      </c>
      <c r="BJ513">
        <v>1</v>
      </c>
      <c r="BL513" t="s">
        <v>1142</v>
      </c>
      <c r="BM513" s="4">
        <v>43283.115277777775</v>
      </c>
      <c r="BN513" s="4">
        <v>43283.467546296299</v>
      </c>
      <c r="BO513" s="4">
        <v>43283.467546296299</v>
      </c>
      <c r="BP513" t="s">
        <v>92</v>
      </c>
      <c r="BQ513" t="s">
        <v>93</v>
      </c>
      <c r="BR513" t="s">
        <v>94</v>
      </c>
    </row>
    <row r="514" spans="1:70" x14ac:dyDescent="0.3">
      <c r="A514" t="str">
        <f>"200296C0100"</f>
        <v>200296C0100</v>
      </c>
      <c r="B514" t="s">
        <v>1143</v>
      </c>
      <c r="C514">
        <v>20</v>
      </c>
      <c r="D514" t="s">
        <v>88</v>
      </c>
      <c r="E514">
        <v>43</v>
      </c>
      <c r="F514" t="s">
        <v>1049</v>
      </c>
      <c r="G514">
        <v>296</v>
      </c>
      <c r="H514">
        <v>1</v>
      </c>
      <c r="I514" t="s">
        <v>98</v>
      </c>
      <c r="J514">
        <v>0</v>
      </c>
      <c r="K514">
        <v>1</v>
      </c>
      <c r="L514">
        <v>5</v>
      </c>
      <c r="M514">
        <v>161</v>
      </c>
      <c r="N514">
        <v>331</v>
      </c>
      <c r="O514">
        <v>6</v>
      </c>
      <c r="P514">
        <v>331</v>
      </c>
      <c r="Q514">
        <v>1</v>
      </c>
      <c r="R514">
        <v>70</v>
      </c>
      <c r="S514">
        <v>8</v>
      </c>
      <c r="T514">
        <v>7</v>
      </c>
      <c r="U514">
        <v>10</v>
      </c>
      <c r="V514">
        <v>1</v>
      </c>
      <c r="W514">
        <v>2</v>
      </c>
      <c r="X514">
        <v>5</v>
      </c>
      <c r="Y514">
        <v>166</v>
      </c>
      <c r="Z514">
        <v>4</v>
      </c>
      <c r="AA514">
        <v>42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2</v>
      </c>
      <c r="AI514">
        <v>0</v>
      </c>
      <c r="AJ514">
        <v>0</v>
      </c>
      <c r="AK514">
        <v>1</v>
      </c>
      <c r="AL514">
        <v>1</v>
      </c>
      <c r="AM514">
        <v>0</v>
      </c>
      <c r="AN514">
        <v>1</v>
      </c>
      <c r="BC514" t="s">
        <v>105</v>
      </c>
      <c r="BD514">
        <v>10</v>
      </c>
      <c r="BE514">
        <v>331</v>
      </c>
      <c r="BF514">
        <v>331</v>
      </c>
      <c r="BG514">
        <v>470</v>
      </c>
      <c r="BI514" t="s">
        <v>106</v>
      </c>
      <c r="BJ514">
        <v>1</v>
      </c>
      <c r="BL514" t="s">
        <v>1144</v>
      </c>
      <c r="BM514" s="4">
        <v>43283.113888888889</v>
      </c>
      <c r="BN514" s="4">
        <v>43283.12060185185</v>
      </c>
      <c r="BO514" s="4">
        <v>43283.12060185185</v>
      </c>
      <c r="BP514" t="s">
        <v>92</v>
      </c>
      <c r="BQ514" t="s">
        <v>93</v>
      </c>
      <c r="BR514" t="s">
        <v>94</v>
      </c>
    </row>
    <row r="515" spans="1:70" x14ac:dyDescent="0.3">
      <c r="A515" t="str">
        <f>"200297B0100"</f>
        <v>200297B0100</v>
      </c>
      <c r="B515" t="s">
        <v>1145</v>
      </c>
      <c r="C515">
        <v>20</v>
      </c>
      <c r="D515" t="s">
        <v>88</v>
      </c>
      <c r="E515">
        <v>43</v>
      </c>
      <c r="F515" t="s">
        <v>1049</v>
      </c>
      <c r="G515">
        <v>297</v>
      </c>
      <c r="H515">
        <v>1</v>
      </c>
      <c r="I515" t="s">
        <v>90</v>
      </c>
      <c r="J515">
        <v>0</v>
      </c>
      <c r="K515">
        <v>1</v>
      </c>
      <c r="L515">
        <v>5</v>
      </c>
      <c r="M515">
        <v>241</v>
      </c>
      <c r="N515">
        <v>499</v>
      </c>
      <c r="O515">
        <v>4</v>
      </c>
      <c r="P515">
        <v>485</v>
      </c>
      <c r="Q515">
        <v>8</v>
      </c>
      <c r="R515">
        <v>156</v>
      </c>
      <c r="S515">
        <v>17</v>
      </c>
      <c r="T515">
        <v>13</v>
      </c>
      <c r="U515">
        <v>18</v>
      </c>
      <c r="V515">
        <v>4</v>
      </c>
      <c r="W515">
        <v>6</v>
      </c>
      <c r="X515">
        <v>6</v>
      </c>
      <c r="Y515">
        <v>220</v>
      </c>
      <c r="Z515">
        <v>5</v>
      </c>
      <c r="AA515">
        <v>31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1</v>
      </c>
      <c r="AI515">
        <v>0</v>
      </c>
      <c r="AJ515">
        <v>0</v>
      </c>
      <c r="AK515">
        <v>1</v>
      </c>
      <c r="AL515">
        <v>3</v>
      </c>
      <c r="AM515">
        <v>0</v>
      </c>
      <c r="AN515">
        <v>0</v>
      </c>
      <c r="BC515">
        <v>0</v>
      </c>
      <c r="BD515">
        <v>10</v>
      </c>
      <c r="BE515">
        <v>499</v>
      </c>
      <c r="BF515">
        <v>499</v>
      </c>
      <c r="BG515">
        <v>718</v>
      </c>
      <c r="BJ515">
        <v>1</v>
      </c>
      <c r="BL515" t="s">
        <v>1146</v>
      </c>
      <c r="BM515" s="4">
        <v>43283.113888888889</v>
      </c>
      <c r="BN515" s="4">
        <v>43283.120347222219</v>
      </c>
      <c r="BO515" s="4">
        <v>43283.120347222219</v>
      </c>
      <c r="BP515" t="s">
        <v>92</v>
      </c>
      <c r="BQ515" t="s">
        <v>93</v>
      </c>
      <c r="BR515" t="s">
        <v>94</v>
      </c>
    </row>
    <row r="516" spans="1:70" x14ac:dyDescent="0.3">
      <c r="A516" t="str">
        <f>"200298B0100"</f>
        <v>200298B0100</v>
      </c>
      <c r="B516" t="s">
        <v>1147</v>
      </c>
      <c r="C516">
        <v>20</v>
      </c>
      <c r="D516" t="s">
        <v>88</v>
      </c>
      <c r="E516">
        <v>43</v>
      </c>
      <c r="F516" t="s">
        <v>1049</v>
      </c>
      <c r="G516">
        <v>298</v>
      </c>
      <c r="H516">
        <v>1</v>
      </c>
      <c r="I516" t="s">
        <v>90</v>
      </c>
      <c r="J516">
        <v>0</v>
      </c>
      <c r="K516">
        <v>1</v>
      </c>
      <c r="L516">
        <v>5</v>
      </c>
      <c r="M516">
        <v>185</v>
      </c>
      <c r="N516">
        <v>361</v>
      </c>
      <c r="O516">
        <v>8</v>
      </c>
      <c r="P516">
        <v>361</v>
      </c>
      <c r="Q516">
        <v>5</v>
      </c>
      <c r="R516">
        <v>114</v>
      </c>
      <c r="S516">
        <v>6</v>
      </c>
      <c r="T516">
        <v>2</v>
      </c>
      <c r="U516">
        <v>13</v>
      </c>
      <c r="V516">
        <v>3</v>
      </c>
      <c r="W516">
        <v>1</v>
      </c>
      <c r="X516">
        <v>2</v>
      </c>
      <c r="Y516">
        <v>132</v>
      </c>
      <c r="Z516">
        <v>3</v>
      </c>
      <c r="AA516">
        <v>62</v>
      </c>
      <c r="AC516">
        <v>0</v>
      </c>
      <c r="AD516">
        <v>0</v>
      </c>
      <c r="AE516">
        <v>0</v>
      </c>
      <c r="AF516">
        <v>0</v>
      </c>
      <c r="AG516">
        <v>5</v>
      </c>
      <c r="AH516">
        <v>0</v>
      </c>
      <c r="AI516">
        <v>0</v>
      </c>
      <c r="AJ516">
        <v>0</v>
      </c>
      <c r="AK516">
        <v>3</v>
      </c>
      <c r="AL516">
        <v>1</v>
      </c>
      <c r="AM516">
        <v>0</v>
      </c>
      <c r="AN516">
        <v>0</v>
      </c>
      <c r="BC516">
        <v>0</v>
      </c>
      <c r="BD516">
        <v>9</v>
      </c>
      <c r="BE516">
        <v>361</v>
      </c>
      <c r="BF516">
        <v>361</v>
      </c>
      <c r="BG516">
        <v>524</v>
      </c>
      <c r="BJ516">
        <v>1</v>
      </c>
      <c r="BL516" t="s">
        <v>1148</v>
      </c>
      <c r="BM516" s="4">
        <v>43283.113888888889</v>
      </c>
      <c r="BN516" s="4">
        <v>43283.120856481481</v>
      </c>
      <c r="BO516" s="4">
        <v>43283.120856481481</v>
      </c>
      <c r="BP516" t="s">
        <v>92</v>
      </c>
      <c r="BQ516" t="s">
        <v>93</v>
      </c>
      <c r="BR516" t="s">
        <v>94</v>
      </c>
    </row>
    <row r="517" spans="1:70" x14ac:dyDescent="0.3">
      <c r="A517" t="str">
        <f>"200299B0100"</f>
        <v>200299B0100</v>
      </c>
      <c r="B517" t="s">
        <v>1149</v>
      </c>
      <c r="C517">
        <v>20</v>
      </c>
      <c r="D517" t="s">
        <v>88</v>
      </c>
      <c r="E517">
        <v>43</v>
      </c>
      <c r="F517" t="s">
        <v>1049</v>
      </c>
      <c r="G517">
        <v>299</v>
      </c>
      <c r="H517">
        <v>1</v>
      </c>
      <c r="I517" t="s">
        <v>90</v>
      </c>
      <c r="J517">
        <v>0</v>
      </c>
      <c r="K517">
        <v>1</v>
      </c>
      <c r="L517">
        <v>5</v>
      </c>
      <c r="M517">
        <v>206</v>
      </c>
      <c r="N517">
        <v>352</v>
      </c>
      <c r="O517">
        <v>4</v>
      </c>
      <c r="P517">
        <v>350</v>
      </c>
      <c r="Q517">
        <v>2</v>
      </c>
      <c r="R517">
        <v>66</v>
      </c>
      <c r="S517">
        <v>13</v>
      </c>
      <c r="T517">
        <v>10</v>
      </c>
      <c r="U517">
        <v>15</v>
      </c>
      <c r="V517">
        <v>4</v>
      </c>
      <c r="W517" t="s">
        <v>105</v>
      </c>
      <c r="X517">
        <v>4</v>
      </c>
      <c r="Y517">
        <v>193</v>
      </c>
      <c r="Z517">
        <v>3</v>
      </c>
      <c r="AA517">
        <v>30</v>
      </c>
      <c r="AC517" t="s">
        <v>105</v>
      </c>
      <c r="AD517" t="s">
        <v>105</v>
      </c>
      <c r="AE517" t="s">
        <v>105</v>
      </c>
      <c r="AF517" t="s">
        <v>105</v>
      </c>
      <c r="AG517" t="s">
        <v>105</v>
      </c>
      <c r="AH517">
        <v>1</v>
      </c>
      <c r="AI517" t="s">
        <v>105</v>
      </c>
      <c r="AJ517" t="s">
        <v>105</v>
      </c>
      <c r="AK517" t="s">
        <v>105</v>
      </c>
      <c r="AL517" t="s">
        <v>105</v>
      </c>
      <c r="AM517" t="s">
        <v>105</v>
      </c>
      <c r="AN517">
        <v>1</v>
      </c>
      <c r="BC517" t="s">
        <v>105</v>
      </c>
      <c r="BD517">
        <v>9</v>
      </c>
      <c r="BE517">
        <v>350</v>
      </c>
      <c r="BF517">
        <v>351</v>
      </c>
      <c r="BG517">
        <v>536</v>
      </c>
      <c r="BI517" t="s">
        <v>106</v>
      </c>
      <c r="BJ517">
        <v>1</v>
      </c>
      <c r="BL517" t="s">
        <v>1150</v>
      </c>
      <c r="BM517" s="4">
        <v>43283.069444444445</v>
      </c>
      <c r="BN517" s="4">
        <v>43283.075810185182</v>
      </c>
      <c r="BO517" s="4">
        <v>43283.075810185182</v>
      </c>
      <c r="BP517" t="s">
        <v>92</v>
      </c>
      <c r="BQ517" t="s">
        <v>93</v>
      </c>
      <c r="BR517" t="s">
        <v>94</v>
      </c>
    </row>
    <row r="518" spans="1:70" x14ac:dyDescent="0.3">
      <c r="A518" t="str">
        <f>"200299C0100"</f>
        <v>200299C0100</v>
      </c>
      <c r="B518" t="s">
        <v>1151</v>
      </c>
      <c r="C518">
        <v>20</v>
      </c>
      <c r="D518" t="s">
        <v>88</v>
      </c>
      <c r="E518">
        <v>43</v>
      </c>
      <c r="F518" t="s">
        <v>1049</v>
      </c>
      <c r="G518">
        <v>299</v>
      </c>
      <c r="H518">
        <v>1</v>
      </c>
      <c r="I518" t="s">
        <v>98</v>
      </c>
      <c r="J518">
        <v>0</v>
      </c>
      <c r="K518">
        <v>1</v>
      </c>
      <c r="L518">
        <v>5</v>
      </c>
      <c r="M518">
        <v>174</v>
      </c>
      <c r="N518">
        <v>382</v>
      </c>
      <c r="O518">
        <v>7</v>
      </c>
      <c r="P518">
        <v>385</v>
      </c>
      <c r="Q518">
        <v>6</v>
      </c>
      <c r="R518">
        <v>72</v>
      </c>
      <c r="S518">
        <v>7</v>
      </c>
      <c r="T518">
        <v>4</v>
      </c>
      <c r="U518">
        <v>15</v>
      </c>
      <c r="V518">
        <v>1</v>
      </c>
      <c r="W518">
        <v>0</v>
      </c>
      <c r="X518">
        <v>3</v>
      </c>
      <c r="Y518">
        <v>202</v>
      </c>
      <c r="Z518">
        <v>5</v>
      </c>
      <c r="AA518">
        <v>47</v>
      </c>
      <c r="AC518">
        <v>0</v>
      </c>
      <c r="AD518">
        <v>1</v>
      </c>
      <c r="AE518">
        <v>0</v>
      </c>
      <c r="AF518">
        <v>0</v>
      </c>
      <c r="AG518">
        <v>1</v>
      </c>
      <c r="AH518">
        <v>0</v>
      </c>
      <c r="AI518">
        <v>0</v>
      </c>
      <c r="AJ518">
        <v>0</v>
      </c>
      <c r="AK518">
        <v>8</v>
      </c>
      <c r="AL518">
        <v>1</v>
      </c>
      <c r="AM518">
        <v>0</v>
      </c>
      <c r="AN518">
        <v>2</v>
      </c>
      <c r="BC518">
        <v>0</v>
      </c>
      <c r="BD518">
        <v>10</v>
      </c>
      <c r="BE518">
        <v>385</v>
      </c>
      <c r="BF518">
        <v>385</v>
      </c>
      <c r="BG518">
        <v>535</v>
      </c>
      <c r="BJ518">
        <v>1</v>
      </c>
      <c r="BL518" t="s">
        <v>1152</v>
      </c>
      <c r="BM518" s="4">
        <v>43283.068749999999</v>
      </c>
      <c r="BN518" s="4">
        <v>43283.073125000003</v>
      </c>
      <c r="BO518" s="4">
        <v>43283.073125000003</v>
      </c>
      <c r="BP518" t="s">
        <v>92</v>
      </c>
      <c r="BQ518" t="s">
        <v>93</v>
      </c>
      <c r="BR518" t="s">
        <v>94</v>
      </c>
    </row>
    <row r="519" spans="1:70" x14ac:dyDescent="0.3">
      <c r="A519" t="str">
        <f>"200300B0100"</f>
        <v>200300B0100</v>
      </c>
      <c r="B519" t="s">
        <v>1153</v>
      </c>
      <c r="C519">
        <v>20</v>
      </c>
      <c r="D519" t="s">
        <v>88</v>
      </c>
      <c r="E519">
        <v>43</v>
      </c>
      <c r="F519" t="s">
        <v>1049</v>
      </c>
      <c r="G519">
        <v>300</v>
      </c>
      <c r="H519">
        <v>1</v>
      </c>
      <c r="I519" t="s">
        <v>90</v>
      </c>
      <c r="J519">
        <v>0</v>
      </c>
      <c r="K519">
        <v>1</v>
      </c>
      <c r="L519">
        <v>5</v>
      </c>
      <c r="M519">
        <v>298</v>
      </c>
      <c r="N519">
        <v>442</v>
      </c>
      <c r="O519">
        <v>3</v>
      </c>
      <c r="P519">
        <v>439</v>
      </c>
      <c r="Q519">
        <v>2</v>
      </c>
      <c r="R519">
        <v>95</v>
      </c>
      <c r="S519">
        <v>5</v>
      </c>
      <c r="T519">
        <v>9</v>
      </c>
      <c r="U519">
        <v>11</v>
      </c>
      <c r="V519">
        <v>2</v>
      </c>
      <c r="W519">
        <v>4</v>
      </c>
      <c r="X519">
        <v>4</v>
      </c>
      <c r="Y519">
        <v>206</v>
      </c>
      <c r="Z519">
        <v>4</v>
      </c>
      <c r="AA519">
        <v>82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1</v>
      </c>
      <c r="AI519">
        <v>0</v>
      </c>
      <c r="AJ519">
        <v>0</v>
      </c>
      <c r="AK519">
        <v>4</v>
      </c>
      <c r="AL519">
        <v>4</v>
      </c>
      <c r="AM519">
        <v>0</v>
      </c>
      <c r="AN519">
        <v>0</v>
      </c>
      <c r="BC519">
        <v>1</v>
      </c>
      <c r="BD519">
        <v>13</v>
      </c>
      <c r="BE519">
        <v>451</v>
      </c>
      <c r="BF519">
        <v>447</v>
      </c>
      <c r="BG519">
        <v>718</v>
      </c>
      <c r="BJ519">
        <v>1</v>
      </c>
      <c r="BL519" t="s">
        <v>1154</v>
      </c>
      <c r="BM519" s="4">
        <v>43283.070833333331</v>
      </c>
      <c r="BN519" s="4">
        <v>43283.074490740742</v>
      </c>
      <c r="BO519" s="4">
        <v>43283.074490740742</v>
      </c>
      <c r="BP519" t="s">
        <v>92</v>
      </c>
      <c r="BQ519" t="s">
        <v>93</v>
      </c>
      <c r="BR519" t="s">
        <v>94</v>
      </c>
    </row>
    <row r="520" spans="1:70" x14ac:dyDescent="0.3">
      <c r="A520" t="str">
        <f>"200300C0100"</f>
        <v>200300C0100</v>
      </c>
      <c r="B520" t="s">
        <v>1155</v>
      </c>
      <c r="C520">
        <v>20</v>
      </c>
      <c r="D520" t="s">
        <v>88</v>
      </c>
      <c r="E520">
        <v>43</v>
      </c>
      <c r="F520" t="s">
        <v>1049</v>
      </c>
      <c r="G520">
        <v>300</v>
      </c>
      <c r="H520">
        <v>1</v>
      </c>
      <c r="I520" t="s">
        <v>98</v>
      </c>
      <c r="J520">
        <v>0</v>
      </c>
      <c r="K520">
        <v>1</v>
      </c>
      <c r="L520">
        <v>5</v>
      </c>
      <c r="M520">
        <v>274</v>
      </c>
      <c r="N520">
        <v>468</v>
      </c>
      <c r="O520">
        <v>1</v>
      </c>
      <c r="P520">
        <v>462</v>
      </c>
      <c r="Q520">
        <v>4</v>
      </c>
      <c r="R520">
        <v>70</v>
      </c>
      <c r="S520">
        <v>7</v>
      </c>
      <c r="T520">
        <v>6</v>
      </c>
      <c r="U520">
        <v>22</v>
      </c>
      <c r="V520">
        <v>3</v>
      </c>
      <c r="W520">
        <v>4</v>
      </c>
      <c r="X520">
        <v>2</v>
      </c>
      <c r="Y520">
        <v>225</v>
      </c>
      <c r="Z520">
        <v>2</v>
      </c>
      <c r="AA520">
        <v>81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BC520" t="s">
        <v>127</v>
      </c>
      <c r="BD520">
        <v>23</v>
      </c>
      <c r="BE520">
        <v>449</v>
      </c>
      <c r="BF520">
        <v>449</v>
      </c>
      <c r="BG520">
        <v>718</v>
      </c>
      <c r="BI520" t="s">
        <v>106</v>
      </c>
      <c r="BJ520">
        <v>1</v>
      </c>
      <c r="BL520" t="s">
        <v>1156</v>
      </c>
      <c r="BM520" s="4">
        <v>43283.071527777778</v>
      </c>
      <c r="BN520" s="4">
        <v>43283.078090277777</v>
      </c>
      <c r="BO520" s="4">
        <v>43283.078090277777</v>
      </c>
      <c r="BP520" t="s">
        <v>92</v>
      </c>
      <c r="BQ520" t="s">
        <v>93</v>
      </c>
      <c r="BR520" t="s">
        <v>94</v>
      </c>
    </row>
    <row r="521" spans="1:70" x14ac:dyDescent="0.3">
      <c r="A521" t="str">
        <f>"200300C0200"</f>
        <v>200300C0200</v>
      </c>
      <c r="B521" t="s">
        <v>1157</v>
      </c>
      <c r="C521">
        <v>20</v>
      </c>
      <c r="D521" t="s">
        <v>88</v>
      </c>
      <c r="E521">
        <v>43</v>
      </c>
      <c r="F521" t="s">
        <v>1049</v>
      </c>
      <c r="G521">
        <v>300</v>
      </c>
      <c r="H521">
        <v>2</v>
      </c>
      <c r="I521" t="s">
        <v>98</v>
      </c>
      <c r="J521">
        <v>0</v>
      </c>
      <c r="K521">
        <v>1</v>
      </c>
      <c r="L521">
        <v>5</v>
      </c>
      <c r="M521">
        <v>291</v>
      </c>
      <c r="N521">
        <v>447</v>
      </c>
      <c r="O521">
        <v>0</v>
      </c>
      <c r="P521">
        <v>445</v>
      </c>
      <c r="Q521">
        <v>1</v>
      </c>
      <c r="R521">
        <v>87</v>
      </c>
      <c r="S521">
        <v>5</v>
      </c>
      <c r="T521">
        <v>6</v>
      </c>
      <c r="U521">
        <v>15</v>
      </c>
      <c r="V521">
        <v>3</v>
      </c>
      <c r="W521">
        <v>4</v>
      </c>
      <c r="X521">
        <v>1</v>
      </c>
      <c r="Y521">
        <v>220</v>
      </c>
      <c r="Z521">
        <v>2</v>
      </c>
      <c r="AA521">
        <v>83</v>
      </c>
      <c r="AC521">
        <v>0</v>
      </c>
      <c r="AD521">
        <v>0</v>
      </c>
      <c r="AE521">
        <v>0</v>
      </c>
      <c r="AF521">
        <v>0</v>
      </c>
      <c r="AG521">
        <v>1</v>
      </c>
      <c r="AH521">
        <v>1</v>
      </c>
      <c r="AI521">
        <v>0</v>
      </c>
      <c r="AJ521">
        <v>0</v>
      </c>
      <c r="AK521">
        <v>0</v>
      </c>
      <c r="AL521">
        <v>0</v>
      </c>
      <c r="AM521">
        <v>3</v>
      </c>
      <c r="AN521">
        <v>0</v>
      </c>
      <c r="BC521">
        <v>0</v>
      </c>
      <c r="BD521">
        <v>14</v>
      </c>
      <c r="BE521">
        <v>446</v>
      </c>
      <c r="BF521">
        <v>446</v>
      </c>
      <c r="BG521">
        <v>717</v>
      </c>
      <c r="BJ521">
        <v>1</v>
      </c>
      <c r="BL521" t="s">
        <v>1158</v>
      </c>
      <c r="BM521" s="4">
        <v>43283.070138888892</v>
      </c>
      <c r="BN521" s="4">
        <v>43283.073773148149</v>
      </c>
      <c r="BO521" s="4">
        <v>43283.073773148149</v>
      </c>
      <c r="BP521" t="s">
        <v>92</v>
      </c>
      <c r="BQ521" t="s">
        <v>93</v>
      </c>
      <c r="BR521" t="s">
        <v>94</v>
      </c>
    </row>
    <row r="522" spans="1:70" x14ac:dyDescent="0.3">
      <c r="A522" t="str">
        <f>"200301B0100"</f>
        <v>200301B0100</v>
      </c>
      <c r="B522" t="s">
        <v>1159</v>
      </c>
      <c r="C522">
        <v>20</v>
      </c>
      <c r="D522" t="s">
        <v>88</v>
      </c>
      <c r="E522">
        <v>43</v>
      </c>
      <c r="F522" t="s">
        <v>1049</v>
      </c>
      <c r="G522">
        <v>301</v>
      </c>
      <c r="H522">
        <v>1</v>
      </c>
      <c r="I522" t="s">
        <v>90</v>
      </c>
      <c r="J522">
        <v>0</v>
      </c>
      <c r="K522">
        <v>1</v>
      </c>
      <c r="L522">
        <v>5</v>
      </c>
      <c r="M522">
        <v>177</v>
      </c>
      <c r="N522">
        <v>386</v>
      </c>
      <c r="O522">
        <v>4</v>
      </c>
      <c r="P522">
        <v>371</v>
      </c>
      <c r="Q522">
        <v>1</v>
      </c>
      <c r="R522">
        <v>66</v>
      </c>
      <c r="S522">
        <v>12</v>
      </c>
      <c r="T522">
        <v>9</v>
      </c>
      <c r="U522">
        <v>19</v>
      </c>
      <c r="V522">
        <v>3</v>
      </c>
      <c r="W522">
        <v>4</v>
      </c>
      <c r="X522">
        <v>2</v>
      </c>
      <c r="Y522">
        <v>176</v>
      </c>
      <c r="Z522">
        <v>0</v>
      </c>
      <c r="AA522">
        <v>56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3</v>
      </c>
      <c r="AI522">
        <v>1</v>
      </c>
      <c r="AJ522">
        <v>0</v>
      </c>
      <c r="AK522">
        <v>1</v>
      </c>
      <c r="AL522">
        <v>1</v>
      </c>
      <c r="AM522">
        <v>0</v>
      </c>
      <c r="AN522">
        <v>1</v>
      </c>
      <c r="BC522">
        <v>0</v>
      </c>
      <c r="BD522">
        <v>16</v>
      </c>
      <c r="BE522">
        <v>371</v>
      </c>
      <c r="BF522">
        <v>371</v>
      </c>
      <c r="BG522">
        <v>527</v>
      </c>
      <c r="BJ522">
        <v>1</v>
      </c>
      <c r="BL522" t="s">
        <v>1160</v>
      </c>
      <c r="BM522" s="4">
        <v>43283.227083333331</v>
      </c>
      <c r="BN522" s="4">
        <v>43283.250706018516</v>
      </c>
      <c r="BO522" s="4">
        <v>43283.250706018516</v>
      </c>
      <c r="BP522" t="s">
        <v>92</v>
      </c>
      <c r="BQ522" t="s">
        <v>93</v>
      </c>
      <c r="BR522" t="s">
        <v>94</v>
      </c>
    </row>
    <row r="523" spans="1:70" x14ac:dyDescent="0.3">
      <c r="A523" t="str">
        <f>"200301C0100"</f>
        <v>200301C0100</v>
      </c>
      <c r="B523" t="s">
        <v>1161</v>
      </c>
      <c r="C523">
        <v>20</v>
      </c>
      <c r="D523" t="s">
        <v>88</v>
      </c>
      <c r="E523">
        <v>43</v>
      </c>
      <c r="F523" t="s">
        <v>1049</v>
      </c>
      <c r="G523">
        <v>301</v>
      </c>
      <c r="H523">
        <v>1</v>
      </c>
      <c r="I523" t="s">
        <v>98</v>
      </c>
      <c r="J523">
        <v>0</v>
      </c>
      <c r="K523">
        <v>1</v>
      </c>
      <c r="L523">
        <v>5</v>
      </c>
      <c r="M523">
        <v>188</v>
      </c>
      <c r="N523">
        <v>366</v>
      </c>
      <c r="O523">
        <v>9</v>
      </c>
      <c r="P523">
        <v>357</v>
      </c>
      <c r="Q523">
        <v>1</v>
      </c>
      <c r="R523">
        <v>74</v>
      </c>
      <c r="S523">
        <v>6</v>
      </c>
      <c r="T523">
        <v>7</v>
      </c>
      <c r="U523">
        <v>19</v>
      </c>
      <c r="V523">
        <v>0</v>
      </c>
      <c r="W523">
        <v>3</v>
      </c>
      <c r="X523">
        <v>0</v>
      </c>
      <c r="Y523">
        <v>186</v>
      </c>
      <c r="Z523">
        <v>5</v>
      </c>
      <c r="AA523">
        <v>46</v>
      </c>
      <c r="AC523">
        <v>0</v>
      </c>
      <c r="AD523">
        <v>0</v>
      </c>
      <c r="AE523">
        <v>0</v>
      </c>
      <c r="AF523">
        <v>0</v>
      </c>
      <c r="AG523">
        <v>1</v>
      </c>
      <c r="AH523">
        <v>1</v>
      </c>
      <c r="AI523">
        <v>0</v>
      </c>
      <c r="AJ523">
        <v>0</v>
      </c>
      <c r="AK523">
        <v>0</v>
      </c>
      <c r="AL523">
        <v>3</v>
      </c>
      <c r="AM523">
        <v>0</v>
      </c>
      <c r="AN523">
        <v>0</v>
      </c>
      <c r="BC523">
        <v>0</v>
      </c>
      <c r="BD523">
        <v>5</v>
      </c>
      <c r="BE523">
        <v>357</v>
      </c>
      <c r="BF523">
        <v>357</v>
      </c>
      <c r="BG523">
        <v>526</v>
      </c>
      <c r="BJ523">
        <v>1</v>
      </c>
      <c r="BL523" t="s">
        <v>1162</v>
      </c>
      <c r="BM523" s="4">
        <v>43283.26458333333</v>
      </c>
      <c r="BN523" s="4">
        <v>43283.290729166663</v>
      </c>
      <c r="BO523" s="4">
        <v>43283.290729166663</v>
      </c>
      <c r="BP523" t="s">
        <v>92</v>
      </c>
      <c r="BQ523" t="s">
        <v>93</v>
      </c>
      <c r="BR523" t="s">
        <v>254</v>
      </c>
    </row>
    <row r="524" spans="1:70" x14ac:dyDescent="0.3">
      <c r="A524" t="str">
        <f>"200302B0100"</f>
        <v>200302B0100</v>
      </c>
      <c r="B524" t="s">
        <v>1163</v>
      </c>
      <c r="C524">
        <v>20</v>
      </c>
      <c r="D524" t="s">
        <v>88</v>
      </c>
      <c r="E524">
        <v>43</v>
      </c>
      <c r="F524" t="s">
        <v>1049</v>
      </c>
      <c r="G524">
        <v>302</v>
      </c>
      <c r="H524">
        <v>1</v>
      </c>
      <c r="I524" t="s">
        <v>90</v>
      </c>
      <c r="J524">
        <v>0</v>
      </c>
      <c r="K524">
        <v>1</v>
      </c>
      <c r="L524">
        <v>5</v>
      </c>
      <c r="M524">
        <v>229</v>
      </c>
      <c r="N524">
        <v>358</v>
      </c>
      <c r="O524">
        <v>5</v>
      </c>
      <c r="P524" t="s">
        <v>105</v>
      </c>
      <c r="Q524">
        <v>5</v>
      </c>
      <c r="R524">
        <v>101</v>
      </c>
      <c r="S524">
        <v>6</v>
      </c>
      <c r="T524">
        <v>7</v>
      </c>
      <c r="U524">
        <v>14</v>
      </c>
      <c r="V524">
        <v>2</v>
      </c>
      <c r="W524">
        <v>1</v>
      </c>
      <c r="X524">
        <v>4</v>
      </c>
      <c r="Y524">
        <v>149</v>
      </c>
      <c r="Z524">
        <v>5</v>
      </c>
      <c r="AA524">
        <v>42</v>
      </c>
      <c r="AC524" t="s">
        <v>105</v>
      </c>
      <c r="AD524" t="s">
        <v>105</v>
      </c>
      <c r="AE524" t="s">
        <v>105</v>
      </c>
      <c r="AF524" t="s">
        <v>105</v>
      </c>
      <c r="AG524">
        <v>2</v>
      </c>
      <c r="AH524" t="s">
        <v>105</v>
      </c>
      <c r="AI524">
        <v>1</v>
      </c>
      <c r="AJ524" t="s">
        <v>105</v>
      </c>
      <c r="AK524">
        <v>2</v>
      </c>
      <c r="AL524" t="s">
        <v>105</v>
      </c>
      <c r="AM524" t="s">
        <v>105</v>
      </c>
      <c r="AN524">
        <v>1</v>
      </c>
      <c r="BC524" t="s">
        <v>105</v>
      </c>
      <c r="BD524">
        <v>15</v>
      </c>
      <c r="BE524">
        <v>356</v>
      </c>
      <c r="BF524">
        <v>357</v>
      </c>
      <c r="BG524">
        <v>565</v>
      </c>
      <c r="BI524" t="s">
        <v>106</v>
      </c>
      <c r="BJ524">
        <v>1</v>
      </c>
      <c r="BL524" t="s">
        <v>1164</v>
      </c>
      <c r="BM524" s="4">
        <v>43283.146527777775</v>
      </c>
      <c r="BN524" s="4">
        <v>43283.155104166668</v>
      </c>
      <c r="BO524" s="4">
        <v>43283.155104166668</v>
      </c>
      <c r="BP524" t="s">
        <v>92</v>
      </c>
      <c r="BQ524" t="s">
        <v>93</v>
      </c>
      <c r="BR524" t="s">
        <v>94</v>
      </c>
    </row>
    <row r="525" spans="1:70" x14ac:dyDescent="0.3">
      <c r="A525" t="str">
        <f>"200302C0100"</f>
        <v>200302C0100</v>
      </c>
      <c r="B525" t="s">
        <v>1165</v>
      </c>
      <c r="C525">
        <v>20</v>
      </c>
      <c r="D525" t="s">
        <v>88</v>
      </c>
      <c r="E525">
        <v>43</v>
      </c>
      <c r="F525" t="s">
        <v>1049</v>
      </c>
      <c r="G525">
        <v>302</v>
      </c>
      <c r="H525">
        <v>1</v>
      </c>
      <c r="I525" t="s">
        <v>98</v>
      </c>
      <c r="J525">
        <v>0</v>
      </c>
      <c r="K525">
        <v>1</v>
      </c>
      <c r="L525">
        <v>5</v>
      </c>
      <c r="M525">
        <v>186</v>
      </c>
      <c r="N525">
        <v>399</v>
      </c>
      <c r="O525">
        <v>5</v>
      </c>
      <c r="P525">
        <v>402</v>
      </c>
      <c r="Q525">
        <v>6</v>
      </c>
      <c r="R525">
        <v>126</v>
      </c>
      <c r="S525">
        <v>6</v>
      </c>
      <c r="T525">
        <v>14</v>
      </c>
      <c r="U525">
        <v>17</v>
      </c>
      <c r="V525">
        <v>0</v>
      </c>
      <c r="W525">
        <v>2</v>
      </c>
      <c r="X525">
        <v>4</v>
      </c>
      <c r="Y525">
        <v>167</v>
      </c>
      <c r="Z525">
        <v>4</v>
      </c>
      <c r="AA525">
        <v>45</v>
      </c>
      <c r="AC525">
        <v>0</v>
      </c>
      <c r="AD525">
        <v>0</v>
      </c>
      <c r="AE525">
        <v>0</v>
      </c>
      <c r="AF525">
        <v>0</v>
      </c>
      <c r="AG525">
        <v>2</v>
      </c>
      <c r="AH525">
        <v>1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1</v>
      </c>
      <c r="BC525">
        <v>0</v>
      </c>
      <c r="BD525">
        <v>7</v>
      </c>
      <c r="BE525">
        <v>402</v>
      </c>
      <c r="BF525">
        <v>402</v>
      </c>
      <c r="BG525">
        <v>564</v>
      </c>
      <c r="BJ525">
        <v>1</v>
      </c>
      <c r="BL525" t="s">
        <v>1166</v>
      </c>
      <c r="BM525" s="4">
        <v>43283.12777777778</v>
      </c>
      <c r="BN525" s="4">
        <v>43283.133032407408</v>
      </c>
      <c r="BO525" s="4">
        <v>43283.133032407408</v>
      </c>
      <c r="BP525" t="s">
        <v>92</v>
      </c>
      <c r="BQ525" t="s">
        <v>93</v>
      </c>
      <c r="BR525" t="s">
        <v>94</v>
      </c>
    </row>
    <row r="526" spans="1:70" x14ac:dyDescent="0.3">
      <c r="A526" t="str">
        <f>"200303B0100"</f>
        <v>200303B0100</v>
      </c>
      <c r="B526" t="s">
        <v>1167</v>
      </c>
      <c r="C526">
        <v>20</v>
      </c>
      <c r="D526" t="s">
        <v>88</v>
      </c>
      <c r="E526">
        <v>43</v>
      </c>
      <c r="F526" t="s">
        <v>1049</v>
      </c>
      <c r="G526">
        <v>303</v>
      </c>
      <c r="H526">
        <v>1</v>
      </c>
      <c r="I526" t="s">
        <v>90</v>
      </c>
      <c r="J526">
        <v>0</v>
      </c>
      <c r="K526">
        <v>1</v>
      </c>
      <c r="L526">
        <v>5</v>
      </c>
      <c r="M526">
        <v>204</v>
      </c>
      <c r="N526">
        <v>365</v>
      </c>
      <c r="O526">
        <v>4</v>
      </c>
      <c r="P526">
        <v>364</v>
      </c>
      <c r="Q526">
        <v>3</v>
      </c>
      <c r="R526">
        <v>68</v>
      </c>
      <c r="S526">
        <v>8</v>
      </c>
      <c r="T526">
        <v>13</v>
      </c>
      <c r="U526">
        <v>10</v>
      </c>
      <c r="V526">
        <v>2</v>
      </c>
      <c r="W526">
        <v>1</v>
      </c>
      <c r="X526">
        <v>2</v>
      </c>
      <c r="Y526">
        <v>162</v>
      </c>
      <c r="Z526">
        <v>2</v>
      </c>
      <c r="AA526">
        <v>67</v>
      </c>
      <c r="AC526">
        <v>0</v>
      </c>
      <c r="AD526">
        <v>0</v>
      </c>
      <c r="AE526">
        <v>0</v>
      </c>
      <c r="AF526">
        <v>0</v>
      </c>
      <c r="AG526">
        <v>2</v>
      </c>
      <c r="AH526">
        <v>3</v>
      </c>
      <c r="AI526">
        <v>0</v>
      </c>
      <c r="AJ526">
        <v>1</v>
      </c>
      <c r="AK526">
        <v>1</v>
      </c>
      <c r="AL526">
        <v>5</v>
      </c>
      <c r="AM526">
        <v>0</v>
      </c>
      <c r="AN526">
        <v>0</v>
      </c>
      <c r="BC526">
        <v>0</v>
      </c>
      <c r="BD526">
        <v>14</v>
      </c>
      <c r="BE526">
        <v>364</v>
      </c>
      <c r="BF526">
        <v>364</v>
      </c>
      <c r="BG526">
        <v>547</v>
      </c>
      <c r="BJ526">
        <v>1</v>
      </c>
      <c r="BL526" t="s">
        <v>1168</v>
      </c>
      <c r="BM526" s="4">
        <v>43283.154166666667</v>
      </c>
      <c r="BN526" s="4">
        <v>43283.164143518516</v>
      </c>
      <c r="BO526" s="4">
        <v>43283.164143518516</v>
      </c>
      <c r="BP526" t="s">
        <v>92</v>
      </c>
      <c r="BQ526" t="s">
        <v>93</v>
      </c>
      <c r="BR526" t="s">
        <v>94</v>
      </c>
    </row>
    <row r="527" spans="1:70" x14ac:dyDescent="0.3">
      <c r="A527" t="str">
        <f>"200303C0100"</f>
        <v>200303C0100</v>
      </c>
      <c r="B527" t="s">
        <v>1169</v>
      </c>
      <c r="C527">
        <v>20</v>
      </c>
      <c r="D527" t="s">
        <v>88</v>
      </c>
      <c r="E527">
        <v>43</v>
      </c>
      <c r="F527" t="s">
        <v>1049</v>
      </c>
      <c r="G527">
        <v>303</v>
      </c>
      <c r="H527">
        <v>1</v>
      </c>
      <c r="I527" t="s">
        <v>98</v>
      </c>
      <c r="J527">
        <v>0</v>
      </c>
      <c r="K527">
        <v>1</v>
      </c>
      <c r="L527">
        <v>5</v>
      </c>
      <c r="M527">
        <v>206</v>
      </c>
      <c r="N527">
        <v>362</v>
      </c>
      <c r="O527">
        <v>7</v>
      </c>
      <c r="P527" t="s">
        <v>105</v>
      </c>
      <c r="Q527">
        <v>6</v>
      </c>
      <c r="R527">
        <v>62</v>
      </c>
      <c r="S527">
        <v>12</v>
      </c>
      <c r="T527">
        <v>17</v>
      </c>
      <c r="U527">
        <v>12</v>
      </c>
      <c r="V527">
        <v>4</v>
      </c>
      <c r="W527">
        <v>2</v>
      </c>
      <c r="X527">
        <v>3</v>
      </c>
      <c r="Y527">
        <v>182</v>
      </c>
      <c r="Z527">
        <v>6</v>
      </c>
      <c r="AA527">
        <v>45</v>
      </c>
      <c r="AC527">
        <v>0</v>
      </c>
      <c r="AD527">
        <v>0</v>
      </c>
      <c r="AE527">
        <v>0</v>
      </c>
      <c r="AF527">
        <v>0</v>
      </c>
      <c r="AG527">
        <v>1</v>
      </c>
      <c r="AH527">
        <v>0</v>
      </c>
      <c r="AI527">
        <v>0</v>
      </c>
      <c r="AJ527">
        <v>0</v>
      </c>
      <c r="AK527">
        <v>2</v>
      </c>
      <c r="AL527">
        <v>1</v>
      </c>
      <c r="AM527">
        <v>0</v>
      </c>
      <c r="AN527">
        <v>0</v>
      </c>
      <c r="BC527">
        <v>0</v>
      </c>
      <c r="BD527">
        <v>7</v>
      </c>
      <c r="BE527">
        <v>362</v>
      </c>
      <c r="BF527">
        <v>362</v>
      </c>
      <c r="BG527">
        <v>546</v>
      </c>
      <c r="BJ527">
        <v>1</v>
      </c>
      <c r="BL527" t="s">
        <v>1170</v>
      </c>
      <c r="BM527" s="4">
        <v>43283.152777777781</v>
      </c>
      <c r="BN527" s="4">
        <v>43283.162569444445</v>
      </c>
      <c r="BO527" s="4">
        <v>43283.162569444445</v>
      </c>
      <c r="BP527" t="s">
        <v>92</v>
      </c>
      <c r="BQ527" t="s">
        <v>93</v>
      </c>
      <c r="BR527" t="s">
        <v>94</v>
      </c>
    </row>
    <row r="528" spans="1:70" x14ac:dyDescent="0.3">
      <c r="A528" t="str">
        <f>"200304B0100"</f>
        <v>200304B0100</v>
      </c>
      <c r="B528" t="s">
        <v>1171</v>
      </c>
      <c r="C528">
        <v>20</v>
      </c>
      <c r="D528" t="s">
        <v>88</v>
      </c>
      <c r="E528">
        <v>43</v>
      </c>
      <c r="F528" t="s">
        <v>1049</v>
      </c>
      <c r="G528">
        <v>304</v>
      </c>
      <c r="H528">
        <v>1</v>
      </c>
      <c r="I528" t="s">
        <v>90</v>
      </c>
      <c r="J528">
        <v>0</v>
      </c>
      <c r="K528">
        <v>1</v>
      </c>
      <c r="L528">
        <v>5</v>
      </c>
      <c r="M528">
        <v>193</v>
      </c>
      <c r="N528">
        <v>377</v>
      </c>
      <c r="O528">
        <v>3</v>
      </c>
      <c r="P528">
        <v>377</v>
      </c>
      <c r="Q528">
        <v>4</v>
      </c>
      <c r="R528">
        <v>73</v>
      </c>
      <c r="S528">
        <v>18</v>
      </c>
      <c r="T528">
        <v>7</v>
      </c>
      <c r="U528">
        <v>7</v>
      </c>
      <c r="V528">
        <v>1</v>
      </c>
      <c r="W528">
        <v>1</v>
      </c>
      <c r="X528">
        <v>9</v>
      </c>
      <c r="Y528">
        <v>169</v>
      </c>
      <c r="Z528">
        <v>3</v>
      </c>
      <c r="AA528">
        <v>59</v>
      </c>
      <c r="AC528">
        <v>0</v>
      </c>
      <c r="AD528">
        <v>1</v>
      </c>
      <c r="AE528">
        <v>0</v>
      </c>
      <c r="AF528">
        <v>0</v>
      </c>
      <c r="AG528">
        <v>1</v>
      </c>
      <c r="AH528">
        <v>2</v>
      </c>
      <c r="AI528">
        <v>0</v>
      </c>
      <c r="AJ528">
        <v>0</v>
      </c>
      <c r="AK528">
        <v>8</v>
      </c>
      <c r="AL528">
        <v>0</v>
      </c>
      <c r="AM528">
        <v>0</v>
      </c>
      <c r="AN528">
        <v>0</v>
      </c>
      <c r="BC528">
        <v>0</v>
      </c>
      <c r="BD528">
        <v>15</v>
      </c>
      <c r="BE528">
        <v>377</v>
      </c>
      <c r="BF528">
        <v>378</v>
      </c>
      <c r="BG528">
        <v>548</v>
      </c>
      <c r="BJ528">
        <v>1</v>
      </c>
      <c r="BL528" t="s">
        <v>1172</v>
      </c>
      <c r="BM528" s="4">
        <v>43283.228472222225</v>
      </c>
      <c r="BN528" s="4">
        <v>43283.250694444447</v>
      </c>
      <c r="BO528" s="4">
        <v>43283.250694444447</v>
      </c>
      <c r="BP528" t="s">
        <v>92</v>
      </c>
      <c r="BQ528" t="s">
        <v>93</v>
      </c>
      <c r="BR528" t="s">
        <v>94</v>
      </c>
    </row>
    <row r="529" spans="1:70" x14ac:dyDescent="0.3">
      <c r="A529" t="str">
        <f>"200304C0100"</f>
        <v>200304C0100</v>
      </c>
      <c r="B529" t="s">
        <v>1173</v>
      </c>
      <c r="C529">
        <v>20</v>
      </c>
      <c r="D529" t="s">
        <v>88</v>
      </c>
      <c r="E529">
        <v>43</v>
      </c>
      <c r="F529" t="s">
        <v>1049</v>
      </c>
      <c r="G529">
        <v>304</v>
      </c>
      <c r="H529">
        <v>1</v>
      </c>
      <c r="I529" t="s">
        <v>98</v>
      </c>
      <c r="J529">
        <v>0</v>
      </c>
      <c r="K529">
        <v>1</v>
      </c>
      <c r="L529">
        <v>5</v>
      </c>
      <c r="M529">
        <v>199</v>
      </c>
      <c r="N529">
        <v>369</v>
      </c>
      <c r="O529">
        <v>3</v>
      </c>
      <c r="P529">
        <v>369</v>
      </c>
      <c r="Q529">
        <v>1</v>
      </c>
      <c r="R529">
        <v>75</v>
      </c>
      <c r="S529">
        <v>16</v>
      </c>
      <c r="T529">
        <v>9</v>
      </c>
      <c r="U529">
        <v>13</v>
      </c>
      <c r="V529">
        <v>2</v>
      </c>
      <c r="W529">
        <v>1</v>
      </c>
      <c r="X529">
        <v>3</v>
      </c>
      <c r="Y529">
        <v>170</v>
      </c>
      <c r="Z529">
        <v>2</v>
      </c>
      <c r="AA529">
        <v>53</v>
      </c>
      <c r="AC529">
        <v>1</v>
      </c>
      <c r="AD529">
        <v>0</v>
      </c>
      <c r="AE529">
        <v>0</v>
      </c>
      <c r="AF529">
        <v>0</v>
      </c>
      <c r="AG529">
        <v>1</v>
      </c>
      <c r="AH529">
        <v>2</v>
      </c>
      <c r="AI529">
        <v>0</v>
      </c>
      <c r="AJ529">
        <v>0</v>
      </c>
      <c r="AK529">
        <v>5</v>
      </c>
      <c r="AL529">
        <v>1</v>
      </c>
      <c r="AM529">
        <v>0</v>
      </c>
      <c r="AN529">
        <v>1</v>
      </c>
      <c r="BC529">
        <v>0</v>
      </c>
      <c r="BD529">
        <v>12</v>
      </c>
      <c r="BE529">
        <v>369</v>
      </c>
      <c r="BF529">
        <v>368</v>
      </c>
      <c r="BG529">
        <v>547</v>
      </c>
      <c r="BJ529">
        <v>1</v>
      </c>
      <c r="BL529" t="s">
        <v>1174</v>
      </c>
      <c r="BM529" s="4">
        <v>43283.236111111109</v>
      </c>
      <c r="BN529" s="4">
        <v>43283.270821759259</v>
      </c>
      <c r="BO529" s="4">
        <v>43283.270821759259</v>
      </c>
      <c r="BP529" t="s">
        <v>92</v>
      </c>
      <c r="BQ529" t="s">
        <v>93</v>
      </c>
      <c r="BR529" t="s">
        <v>94</v>
      </c>
    </row>
    <row r="530" spans="1:70" x14ac:dyDescent="0.3">
      <c r="A530" t="str">
        <f>"200305B0100"</f>
        <v>200305B0100</v>
      </c>
      <c r="B530" t="s">
        <v>1175</v>
      </c>
      <c r="C530">
        <v>20</v>
      </c>
      <c r="D530" t="s">
        <v>88</v>
      </c>
      <c r="E530">
        <v>43</v>
      </c>
      <c r="F530" t="s">
        <v>1049</v>
      </c>
      <c r="G530">
        <v>305</v>
      </c>
      <c r="H530">
        <v>1</v>
      </c>
      <c r="I530" t="s">
        <v>90</v>
      </c>
      <c r="J530">
        <v>0</v>
      </c>
      <c r="K530">
        <v>1</v>
      </c>
      <c r="L530">
        <v>5</v>
      </c>
      <c r="M530">
        <v>249</v>
      </c>
      <c r="N530">
        <v>423</v>
      </c>
      <c r="O530">
        <v>8</v>
      </c>
      <c r="P530">
        <v>423</v>
      </c>
      <c r="Q530">
        <v>4</v>
      </c>
      <c r="R530">
        <v>113</v>
      </c>
      <c r="S530">
        <v>11</v>
      </c>
      <c r="T530">
        <v>5</v>
      </c>
      <c r="U530">
        <v>12</v>
      </c>
      <c r="V530">
        <v>5</v>
      </c>
      <c r="W530">
        <v>5</v>
      </c>
      <c r="X530">
        <v>10</v>
      </c>
      <c r="Y530">
        <v>184</v>
      </c>
      <c r="Z530">
        <v>7</v>
      </c>
      <c r="AA530">
        <v>50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1</v>
      </c>
      <c r="AI530">
        <v>0</v>
      </c>
      <c r="AJ530" t="s">
        <v>127</v>
      </c>
      <c r="AK530">
        <v>1</v>
      </c>
      <c r="AL530">
        <v>2</v>
      </c>
      <c r="AM530">
        <v>0</v>
      </c>
      <c r="AN530">
        <v>2</v>
      </c>
      <c r="BC530">
        <v>0</v>
      </c>
      <c r="BD530">
        <v>11</v>
      </c>
      <c r="BE530">
        <v>423</v>
      </c>
      <c r="BF530">
        <v>423</v>
      </c>
      <c r="BG530">
        <v>650</v>
      </c>
      <c r="BI530" t="s">
        <v>106</v>
      </c>
      <c r="BJ530">
        <v>1</v>
      </c>
      <c r="BL530" t="s">
        <v>1176</v>
      </c>
      <c r="BM530" s="4">
        <v>43283.234722222223</v>
      </c>
      <c r="BN530" s="4">
        <v>43283.270358796297</v>
      </c>
      <c r="BO530" s="4">
        <v>43283.270358796297</v>
      </c>
      <c r="BP530" t="s">
        <v>92</v>
      </c>
      <c r="BQ530" t="s">
        <v>93</v>
      </c>
      <c r="BR530" t="s">
        <v>94</v>
      </c>
    </row>
    <row r="531" spans="1:70" x14ac:dyDescent="0.3">
      <c r="A531" t="str">
        <f>"200306B0100"</f>
        <v>200306B0100</v>
      </c>
      <c r="B531" t="s">
        <v>1177</v>
      </c>
      <c r="C531">
        <v>20</v>
      </c>
      <c r="D531" t="s">
        <v>88</v>
      </c>
      <c r="E531">
        <v>43</v>
      </c>
      <c r="F531" t="s">
        <v>1049</v>
      </c>
      <c r="G531">
        <v>306</v>
      </c>
      <c r="H531">
        <v>1</v>
      </c>
      <c r="I531" t="s">
        <v>90</v>
      </c>
      <c r="J531">
        <v>0</v>
      </c>
      <c r="K531">
        <v>1</v>
      </c>
      <c r="L531">
        <v>5</v>
      </c>
      <c r="M531">
        <v>183</v>
      </c>
      <c r="N531" t="s">
        <v>105</v>
      </c>
      <c r="O531">
        <v>555</v>
      </c>
      <c r="P531" t="s">
        <v>105</v>
      </c>
      <c r="Q531">
        <v>4</v>
      </c>
      <c r="R531">
        <v>79</v>
      </c>
      <c r="S531">
        <v>6</v>
      </c>
      <c r="T531">
        <v>8</v>
      </c>
      <c r="U531">
        <v>12</v>
      </c>
      <c r="V531">
        <v>1</v>
      </c>
      <c r="W531">
        <v>1</v>
      </c>
      <c r="X531" t="s">
        <v>105</v>
      </c>
      <c r="Y531">
        <v>151</v>
      </c>
      <c r="Z531">
        <v>7</v>
      </c>
      <c r="AA531">
        <v>83</v>
      </c>
      <c r="AC531" t="s">
        <v>105</v>
      </c>
      <c r="AD531" t="s">
        <v>105</v>
      </c>
      <c r="AE531" t="s">
        <v>105</v>
      </c>
      <c r="AF531" t="s">
        <v>105</v>
      </c>
      <c r="AG531" t="s">
        <v>105</v>
      </c>
      <c r="AH531" t="s">
        <v>105</v>
      </c>
      <c r="AI531" t="s">
        <v>105</v>
      </c>
      <c r="AJ531" t="s">
        <v>105</v>
      </c>
      <c r="AK531">
        <v>2</v>
      </c>
      <c r="AL531" t="s">
        <v>105</v>
      </c>
      <c r="AM531" t="s">
        <v>105</v>
      </c>
      <c r="AN531">
        <v>2</v>
      </c>
      <c r="BC531" t="s">
        <v>105</v>
      </c>
      <c r="BD531">
        <v>11</v>
      </c>
      <c r="BE531">
        <v>372</v>
      </c>
      <c r="BF531">
        <v>367</v>
      </c>
      <c r="BG531">
        <v>533</v>
      </c>
      <c r="BI531" t="s">
        <v>106</v>
      </c>
      <c r="BJ531">
        <v>1</v>
      </c>
      <c r="BL531" t="s">
        <v>1178</v>
      </c>
      <c r="BM531" s="4">
        <v>43283.066666666666</v>
      </c>
      <c r="BN531" s="4">
        <v>43283.071516203701</v>
      </c>
      <c r="BO531" s="4">
        <v>43283.071516203701</v>
      </c>
      <c r="BP531" t="s">
        <v>92</v>
      </c>
      <c r="BQ531" t="s">
        <v>93</v>
      </c>
      <c r="BR531" t="s">
        <v>94</v>
      </c>
    </row>
    <row r="532" spans="1:70" x14ac:dyDescent="0.3">
      <c r="A532" t="str">
        <f>"200306C0100"</f>
        <v>200306C0100</v>
      </c>
      <c r="B532" t="s">
        <v>1179</v>
      </c>
      <c r="C532">
        <v>20</v>
      </c>
      <c r="D532" t="s">
        <v>88</v>
      </c>
      <c r="E532">
        <v>43</v>
      </c>
      <c r="F532" t="s">
        <v>1049</v>
      </c>
      <c r="G532">
        <v>306</v>
      </c>
      <c r="H532">
        <v>1</v>
      </c>
      <c r="I532" t="s">
        <v>98</v>
      </c>
      <c r="J532">
        <v>0</v>
      </c>
      <c r="K532">
        <v>1</v>
      </c>
      <c r="L532">
        <v>5</v>
      </c>
      <c r="M532">
        <v>163</v>
      </c>
      <c r="N532">
        <v>392</v>
      </c>
      <c r="O532">
        <v>2</v>
      </c>
      <c r="P532">
        <v>392</v>
      </c>
      <c r="Q532">
        <v>3</v>
      </c>
      <c r="R532">
        <v>65</v>
      </c>
      <c r="S532">
        <v>5</v>
      </c>
      <c r="T532">
        <v>6</v>
      </c>
      <c r="U532">
        <v>11</v>
      </c>
      <c r="V532">
        <v>5</v>
      </c>
      <c r="W532">
        <v>7</v>
      </c>
      <c r="X532">
        <v>3</v>
      </c>
      <c r="Y532">
        <v>178</v>
      </c>
      <c r="Z532">
        <v>1</v>
      </c>
      <c r="AA532">
        <v>92</v>
      </c>
      <c r="AC532">
        <v>0</v>
      </c>
      <c r="AD532">
        <v>0</v>
      </c>
      <c r="AE532">
        <v>0</v>
      </c>
      <c r="AF532">
        <v>0</v>
      </c>
      <c r="AG532">
        <v>1</v>
      </c>
      <c r="AH532">
        <v>0</v>
      </c>
      <c r="AI532">
        <v>0</v>
      </c>
      <c r="AJ532">
        <v>0</v>
      </c>
      <c r="AK532">
        <v>1</v>
      </c>
      <c r="AL532">
        <v>3</v>
      </c>
      <c r="AM532">
        <v>0</v>
      </c>
      <c r="AN532">
        <v>0</v>
      </c>
      <c r="BC532">
        <v>0</v>
      </c>
      <c r="BD532">
        <v>11</v>
      </c>
      <c r="BE532">
        <v>392</v>
      </c>
      <c r="BF532">
        <v>392</v>
      </c>
      <c r="BG532">
        <v>533</v>
      </c>
      <c r="BJ532">
        <v>1</v>
      </c>
      <c r="BL532" t="s">
        <v>1180</v>
      </c>
      <c r="BM532" s="4">
        <v>43283.053472222222</v>
      </c>
      <c r="BN532" s="4">
        <v>43283.05872685185</v>
      </c>
      <c r="BO532" s="4">
        <v>43283.05872685185</v>
      </c>
      <c r="BP532" t="s">
        <v>92</v>
      </c>
      <c r="BQ532" t="s">
        <v>93</v>
      </c>
      <c r="BR532" t="s">
        <v>94</v>
      </c>
    </row>
    <row r="533" spans="1:70" x14ac:dyDescent="0.3">
      <c r="A533" t="str">
        <f>"200307B0100"</f>
        <v>200307B0100</v>
      </c>
      <c r="B533" t="s">
        <v>1181</v>
      </c>
      <c r="C533">
        <v>20</v>
      </c>
      <c r="D533" t="s">
        <v>88</v>
      </c>
      <c r="E533">
        <v>43</v>
      </c>
      <c r="F533" t="s">
        <v>1049</v>
      </c>
      <c r="G533">
        <v>307</v>
      </c>
      <c r="H533">
        <v>1</v>
      </c>
      <c r="I533" t="s">
        <v>90</v>
      </c>
      <c r="J533">
        <v>0</v>
      </c>
      <c r="K533">
        <v>1</v>
      </c>
      <c r="L533">
        <v>5</v>
      </c>
      <c r="M533">
        <v>164</v>
      </c>
      <c r="N533">
        <v>293</v>
      </c>
      <c r="O533">
        <v>3</v>
      </c>
      <c r="P533" t="s">
        <v>105</v>
      </c>
      <c r="Q533">
        <v>1</v>
      </c>
      <c r="R533">
        <v>38</v>
      </c>
      <c r="S533">
        <v>1</v>
      </c>
      <c r="T533">
        <v>5</v>
      </c>
      <c r="U533">
        <v>5</v>
      </c>
      <c r="V533">
        <v>0</v>
      </c>
      <c r="W533">
        <v>0</v>
      </c>
      <c r="X533">
        <v>1</v>
      </c>
      <c r="Y533">
        <v>127</v>
      </c>
      <c r="Z533">
        <v>4</v>
      </c>
      <c r="AA533">
        <v>94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3</v>
      </c>
      <c r="AI533">
        <v>0</v>
      </c>
      <c r="AJ533">
        <v>3</v>
      </c>
      <c r="AK533">
        <v>0</v>
      </c>
      <c r="AL533">
        <v>1</v>
      </c>
      <c r="AM533">
        <v>0</v>
      </c>
      <c r="AN533">
        <v>0</v>
      </c>
      <c r="BC533">
        <v>0</v>
      </c>
      <c r="BD533">
        <v>10</v>
      </c>
      <c r="BE533" t="s">
        <v>105</v>
      </c>
      <c r="BF533">
        <v>293</v>
      </c>
      <c r="BG533">
        <v>435</v>
      </c>
      <c r="BJ533">
        <v>1</v>
      </c>
      <c r="BL533" t="s">
        <v>1182</v>
      </c>
      <c r="BM533" s="4">
        <v>43283.11041666667</v>
      </c>
      <c r="BN533" s="4">
        <v>43283.127199074072</v>
      </c>
      <c r="BO533" s="4">
        <v>43283.127199074072</v>
      </c>
      <c r="BP533" t="s">
        <v>92</v>
      </c>
      <c r="BQ533" t="s">
        <v>93</v>
      </c>
      <c r="BR533" t="s">
        <v>94</v>
      </c>
    </row>
    <row r="534" spans="1:70" x14ac:dyDescent="0.3">
      <c r="A534" t="str">
        <f>"200307C0100"</f>
        <v>200307C0100</v>
      </c>
      <c r="B534" t="s">
        <v>1183</v>
      </c>
      <c r="C534">
        <v>20</v>
      </c>
      <c r="D534" t="s">
        <v>88</v>
      </c>
      <c r="E534">
        <v>43</v>
      </c>
      <c r="F534" t="s">
        <v>1049</v>
      </c>
      <c r="G534">
        <v>307</v>
      </c>
      <c r="H534">
        <v>1</v>
      </c>
      <c r="I534" t="s">
        <v>98</v>
      </c>
      <c r="J534">
        <v>0</v>
      </c>
      <c r="K534">
        <v>1</v>
      </c>
      <c r="L534">
        <v>5</v>
      </c>
      <c r="M534" t="s">
        <v>127</v>
      </c>
      <c r="N534">
        <v>311</v>
      </c>
      <c r="O534">
        <v>6</v>
      </c>
      <c r="P534">
        <v>305</v>
      </c>
      <c r="Q534">
        <v>1</v>
      </c>
      <c r="R534">
        <v>33</v>
      </c>
      <c r="S534">
        <v>2</v>
      </c>
      <c r="T534">
        <v>4</v>
      </c>
      <c r="U534">
        <v>9</v>
      </c>
      <c r="V534">
        <v>2</v>
      </c>
      <c r="W534">
        <v>0</v>
      </c>
      <c r="X534">
        <v>1</v>
      </c>
      <c r="Y534">
        <v>149</v>
      </c>
      <c r="Z534">
        <v>2</v>
      </c>
      <c r="AA534">
        <v>84</v>
      </c>
      <c r="AC534">
        <v>0</v>
      </c>
      <c r="AD534">
        <v>1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2</v>
      </c>
      <c r="AL534" t="s">
        <v>105</v>
      </c>
      <c r="AM534" t="s">
        <v>105</v>
      </c>
      <c r="AN534">
        <v>1</v>
      </c>
      <c r="BC534">
        <v>0</v>
      </c>
      <c r="BD534">
        <v>11</v>
      </c>
      <c r="BE534">
        <v>302</v>
      </c>
      <c r="BF534">
        <v>302</v>
      </c>
      <c r="BG534">
        <v>434</v>
      </c>
      <c r="BI534" t="s">
        <v>106</v>
      </c>
      <c r="BJ534">
        <v>1</v>
      </c>
      <c r="BL534" t="s">
        <v>1184</v>
      </c>
      <c r="BM534" s="4">
        <v>43283.052083333336</v>
      </c>
      <c r="BN534" s="4">
        <v>43283.06082175926</v>
      </c>
      <c r="BO534" s="4">
        <v>43283.06082175926</v>
      </c>
      <c r="BP534" t="s">
        <v>92</v>
      </c>
      <c r="BQ534" t="s">
        <v>93</v>
      </c>
      <c r="BR534" t="s">
        <v>94</v>
      </c>
    </row>
    <row r="535" spans="1:70" x14ac:dyDescent="0.3">
      <c r="A535" t="str">
        <f>"200308B0100"</f>
        <v>200308B0100</v>
      </c>
      <c r="B535" t="s">
        <v>1185</v>
      </c>
      <c r="C535">
        <v>20</v>
      </c>
      <c r="D535" t="s">
        <v>88</v>
      </c>
      <c r="E535">
        <v>43</v>
      </c>
      <c r="F535" t="s">
        <v>1049</v>
      </c>
      <c r="G535">
        <v>308</v>
      </c>
      <c r="H535">
        <v>1</v>
      </c>
      <c r="I535" t="s">
        <v>90</v>
      </c>
      <c r="J535">
        <v>0</v>
      </c>
      <c r="K535">
        <v>1</v>
      </c>
      <c r="L535">
        <v>5</v>
      </c>
      <c r="M535">
        <v>143</v>
      </c>
      <c r="N535">
        <v>268</v>
      </c>
      <c r="O535">
        <v>6</v>
      </c>
      <c r="P535">
        <v>268</v>
      </c>
      <c r="Q535">
        <v>2</v>
      </c>
      <c r="R535">
        <v>81</v>
      </c>
      <c r="S535">
        <v>1</v>
      </c>
      <c r="T535">
        <v>7</v>
      </c>
      <c r="U535">
        <v>16</v>
      </c>
      <c r="V535">
        <v>0</v>
      </c>
      <c r="W535">
        <v>1</v>
      </c>
      <c r="X535">
        <v>2</v>
      </c>
      <c r="Y535">
        <v>86</v>
      </c>
      <c r="Z535">
        <v>1</v>
      </c>
      <c r="AA535">
        <v>54</v>
      </c>
      <c r="AC535">
        <v>0</v>
      </c>
      <c r="AD535">
        <v>0</v>
      </c>
      <c r="AE535">
        <v>0</v>
      </c>
      <c r="AF535">
        <v>0</v>
      </c>
      <c r="AG535">
        <v>2</v>
      </c>
      <c r="AH535">
        <v>0</v>
      </c>
      <c r="AI535">
        <v>0</v>
      </c>
      <c r="AJ535">
        <v>0</v>
      </c>
      <c r="AK535">
        <v>3</v>
      </c>
      <c r="AL535">
        <v>2</v>
      </c>
      <c r="AM535">
        <v>1</v>
      </c>
      <c r="AN535">
        <v>1</v>
      </c>
      <c r="BC535">
        <v>1</v>
      </c>
      <c r="BD535">
        <v>7</v>
      </c>
      <c r="BE535">
        <v>268</v>
      </c>
      <c r="BF535">
        <v>268</v>
      </c>
      <c r="BG535">
        <v>389</v>
      </c>
      <c r="BJ535">
        <v>1</v>
      </c>
      <c r="BL535" t="s">
        <v>1186</v>
      </c>
      <c r="BM535" s="4">
        <v>43283.196527777778</v>
      </c>
      <c r="BN535" s="4">
        <v>43283.216516203705</v>
      </c>
      <c r="BO535" s="4">
        <v>43283.216516203705</v>
      </c>
      <c r="BP535" t="s">
        <v>92</v>
      </c>
      <c r="BQ535" t="s">
        <v>93</v>
      </c>
      <c r="BR535" t="s">
        <v>94</v>
      </c>
    </row>
    <row r="536" spans="1:70" x14ac:dyDescent="0.3">
      <c r="A536" t="str">
        <f>"200308C0100"</f>
        <v>200308C0100</v>
      </c>
      <c r="B536" t="s">
        <v>1187</v>
      </c>
      <c r="C536">
        <v>20</v>
      </c>
      <c r="D536" t="s">
        <v>88</v>
      </c>
      <c r="E536">
        <v>43</v>
      </c>
      <c r="F536" t="s">
        <v>1049</v>
      </c>
      <c r="G536">
        <v>308</v>
      </c>
      <c r="H536">
        <v>1</v>
      </c>
      <c r="I536" t="s">
        <v>98</v>
      </c>
      <c r="J536">
        <v>0</v>
      </c>
      <c r="K536">
        <v>1</v>
      </c>
      <c r="L536">
        <v>5</v>
      </c>
      <c r="BG536">
        <v>389</v>
      </c>
      <c r="BI536" t="s">
        <v>122</v>
      </c>
      <c r="BJ536">
        <v>0</v>
      </c>
      <c r="BL536" t="s">
        <v>1188</v>
      </c>
      <c r="BM536" s="4">
        <v>43283.410416666666</v>
      </c>
      <c r="BN536" s="4">
        <v>43283.414317129631</v>
      </c>
      <c r="BO536" s="4">
        <v>43283.414317129631</v>
      </c>
      <c r="BP536" t="s">
        <v>92</v>
      </c>
      <c r="BQ536" t="s">
        <v>93</v>
      </c>
      <c r="BR536" t="s">
        <v>94</v>
      </c>
    </row>
    <row r="537" spans="1:70" x14ac:dyDescent="0.3">
      <c r="A537" t="str">
        <f>"200309B0100"</f>
        <v>200309B0100</v>
      </c>
      <c r="B537" t="s">
        <v>1189</v>
      </c>
      <c r="C537">
        <v>20</v>
      </c>
      <c r="D537" t="s">
        <v>88</v>
      </c>
      <c r="E537">
        <v>43</v>
      </c>
      <c r="F537" t="s">
        <v>1049</v>
      </c>
      <c r="G537">
        <v>309</v>
      </c>
      <c r="H537">
        <v>1</v>
      </c>
      <c r="I537" t="s">
        <v>90</v>
      </c>
      <c r="J537">
        <v>0</v>
      </c>
      <c r="K537">
        <v>1</v>
      </c>
      <c r="L537">
        <v>5</v>
      </c>
      <c r="BG537">
        <v>704</v>
      </c>
      <c r="BI537" t="s">
        <v>122</v>
      </c>
      <c r="BJ537">
        <v>0</v>
      </c>
      <c r="BL537" t="s">
        <v>1190</v>
      </c>
      <c r="BM537" s="4">
        <v>43283.411111111112</v>
      </c>
      <c r="BN537" s="4">
        <v>43283.414513888885</v>
      </c>
      <c r="BO537" s="4">
        <v>43283.414513888885</v>
      </c>
      <c r="BP537" t="s">
        <v>92</v>
      </c>
      <c r="BQ537" t="s">
        <v>93</v>
      </c>
      <c r="BR537" t="s">
        <v>94</v>
      </c>
    </row>
    <row r="538" spans="1:70" x14ac:dyDescent="0.3">
      <c r="A538" t="str">
        <f>"200310B0100"</f>
        <v>200310B0100</v>
      </c>
      <c r="B538" t="s">
        <v>1191</v>
      </c>
      <c r="C538">
        <v>20</v>
      </c>
      <c r="D538" t="s">
        <v>88</v>
      </c>
      <c r="E538">
        <v>43</v>
      </c>
      <c r="F538" t="s">
        <v>1049</v>
      </c>
      <c r="G538">
        <v>310</v>
      </c>
      <c r="H538">
        <v>1</v>
      </c>
      <c r="I538" t="s">
        <v>90</v>
      </c>
      <c r="J538">
        <v>0</v>
      </c>
      <c r="K538">
        <v>1</v>
      </c>
      <c r="L538">
        <v>5</v>
      </c>
      <c r="M538">
        <v>262</v>
      </c>
      <c r="N538">
        <v>449</v>
      </c>
      <c r="O538">
        <v>2</v>
      </c>
      <c r="P538">
        <v>0</v>
      </c>
      <c r="Q538">
        <v>1</v>
      </c>
      <c r="R538">
        <v>76</v>
      </c>
      <c r="S538">
        <v>11</v>
      </c>
      <c r="T538">
        <v>12</v>
      </c>
      <c r="U538">
        <v>27</v>
      </c>
      <c r="V538">
        <v>4</v>
      </c>
      <c r="W538">
        <v>2</v>
      </c>
      <c r="X538">
        <v>3</v>
      </c>
      <c r="Y538">
        <v>222</v>
      </c>
      <c r="Z538">
        <v>2</v>
      </c>
      <c r="AA538">
        <v>66</v>
      </c>
      <c r="AC538" t="s">
        <v>105</v>
      </c>
      <c r="AD538" t="s">
        <v>105</v>
      </c>
      <c r="AE538" t="s">
        <v>105</v>
      </c>
      <c r="AF538" t="s">
        <v>105</v>
      </c>
      <c r="AG538" t="s">
        <v>105</v>
      </c>
      <c r="AH538" t="s">
        <v>105</v>
      </c>
      <c r="AI538" t="s">
        <v>105</v>
      </c>
      <c r="AJ538" t="s">
        <v>105</v>
      </c>
      <c r="AK538" t="s">
        <v>105</v>
      </c>
      <c r="AL538" t="s">
        <v>105</v>
      </c>
      <c r="AM538" t="s">
        <v>105</v>
      </c>
      <c r="AN538" t="s">
        <v>105</v>
      </c>
      <c r="BC538" t="s">
        <v>105</v>
      </c>
      <c r="BD538">
        <v>15</v>
      </c>
      <c r="BE538">
        <v>441</v>
      </c>
      <c r="BF538">
        <v>441</v>
      </c>
      <c r="BG538">
        <v>686</v>
      </c>
      <c r="BI538" t="s">
        <v>106</v>
      </c>
      <c r="BJ538">
        <v>1</v>
      </c>
      <c r="BL538" t="s">
        <v>1192</v>
      </c>
      <c r="BM538" s="4">
        <v>43283.209722222222</v>
      </c>
      <c r="BN538" s="4">
        <v>43283.231712962966</v>
      </c>
      <c r="BO538" s="4">
        <v>43283.231712962966</v>
      </c>
      <c r="BP538" t="s">
        <v>92</v>
      </c>
      <c r="BQ538" t="s">
        <v>93</v>
      </c>
      <c r="BR538" t="s">
        <v>94</v>
      </c>
    </row>
    <row r="539" spans="1:70" x14ac:dyDescent="0.3">
      <c r="A539" t="str">
        <f>"200310C0100"</f>
        <v>200310C0100</v>
      </c>
      <c r="B539" t="s">
        <v>1193</v>
      </c>
      <c r="C539">
        <v>20</v>
      </c>
      <c r="D539" t="s">
        <v>88</v>
      </c>
      <c r="E539">
        <v>43</v>
      </c>
      <c r="F539" t="s">
        <v>1049</v>
      </c>
      <c r="G539">
        <v>310</v>
      </c>
      <c r="H539">
        <v>1</v>
      </c>
      <c r="I539" t="s">
        <v>98</v>
      </c>
      <c r="J539">
        <v>0</v>
      </c>
      <c r="K539">
        <v>1</v>
      </c>
      <c r="L539">
        <v>5</v>
      </c>
      <c r="M539" t="s">
        <v>105</v>
      </c>
      <c r="N539" t="s">
        <v>105</v>
      </c>
      <c r="O539" t="s">
        <v>105</v>
      </c>
      <c r="P539" t="s">
        <v>105</v>
      </c>
      <c r="Q539">
        <v>0</v>
      </c>
      <c r="R539">
        <v>84</v>
      </c>
      <c r="S539">
        <v>10</v>
      </c>
      <c r="T539">
        <v>13</v>
      </c>
      <c r="U539">
        <v>19</v>
      </c>
      <c r="V539">
        <v>1</v>
      </c>
      <c r="W539">
        <v>1</v>
      </c>
      <c r="X539">
        <v>5</v>
      </c>
      <c r="Y539">
        <v>224</v>
      </c>
      <c r="Z539">
        <v>5</v>
      </c>
      <c r="AA539">
        <v>73</v>
      </c>
      <c r="AC539">
        <v>0</v>
      </c>
      <c r="AD539">
        <v>0</v>
      </c>
      <c r="AE539">
        <v>0</v>
      </c>
      <c r="AF539">
        <v>0</v>
      </c>
      <c r="AG539">
        <v>1</v>
      </c>
      <c r="AH539">
        <v>3</v>
      </c>
      <c r="AI539">
        <v>1</v>
      </c>
      <c r="AJ539">
        <v>0</v>
      </c>
      <c r="AK539">
        <v>1</v>
      </c>
      <c r="AL539">
        <v>2</v>
      </c>
      <c r="AM539">
        <v>1</v>
      </c>
      <c r="AN539">
        <v>1</v>
      </c>
      <c r="BC539" t="s">
        <v>105</v>
      </c>
      <c r="BD539">
        <v>21</v>
      </c>
      <c r="BE539">
        <v>464</v>
      </c>
      <c r="BF539">
        <v>466</v>
      </c>
      <c r="BG539">
        <v>686</v>
      </c>
      <c r="BI539" t="s">
        <v>106</v>
      </c>
      <c r="BJ539">
        <v>1</v>
      </c>
      <c r="BL539" t="s">
        <v>1194</v>
      </c>
      <c r="BM539" s="4">
        <v>43283.207638888889</v>
      </c>
      <c r="BN539" s="4">
        <v>43283.231666666667</v>
      </c>
      <c r="BO539" s="4">
        <v>43283.231666666667</v>
      </c>
      <c r="BP539" t="s">
        <v>92</v>
      </c>
      <c r="BQ539" t="s">
        <v>93</v>
      </c>
      <c r="BR539" t="s">
        <v>94</v>
      </c>
    </row>
    <row r="540" spans="1:70" x14ac:dyDescent="0.3">
      <c r="A540" t="str">
        <f>"200311B0100"</f>
        <v>200311B0100</v>
      </c>
      <c r="B540" t="s">
        <v>1195</v>
      </c>
      <c r="C540">
        <v>20</v>
      </c>
      <c r="D540" t="s">
        <v>88</v>
      </c>
      <c r="E540">
        <v>43</v>
      </c>
      <c r="F540" t="s">
        <v>1049</v>
      </c>
      <c r="G540">
        <v>311</v>
      </c>
      <c r="H540">
        <v>1</v>
      </c>
      <c r="I540" t="s">
        <v>90</v>
      </c>
      <c r="J540">
        <v>0</v>
      </c>
      <c r="K540">
        <v>1</v>
      </c>
      <c r="L540">
        <v>5</v>
      </c>
      <c r="M540" t="s">
        <v>127</v>
      </c>
      <c r="N540" t="s">
        <v>127</v>
      </c>
      <c r="O540" t="s">
        <v>127</v>
      </c>
      <c r="P540" t="s">
        <v>127</v>
      </c>
      <c r="Q540">
        <v>1</v>
      </c>
      <c r="R540">
        <v>82</v>
      </c>
      <c r="S540">
        <v>8</v>
      </c>
      <c r="T540">
        <v>10</v>
      </c>
      <c r="U540">
        <v>16</v>
      </c>
      <c r="V540">
        <v>1</v>
      </c>
      <c r="W540">
        <v>2</v>
      </c>
      <c r="X540">
        <v>5</v>
      </c>
      <c r="Y540">
        <v>197</v>
      </c>
      <c r="Z540">
        <v>1</v>
      </c>
      <c r="AA540">
        <v>76</v>
      </c>
      <c r="AC540" t="s">
        <v>105</v>
      </c>
      <c r="AD540" t="s">
        <v>105</v>
      </c>
      <c r="AE540" t="s">
        <v>105</v>
      </c>
      <c r="AF540" t="s">
        <v>105</v>
      </c>
      <c r="AG540">
        <v>1</v>
      </c>
      <c r="AH540">
        <v>1</v>
      </c>
      <c r="AI540" t="s">
        <v>105</v>
      </c>
      <c r="AJ540" t="s">
        <v>105</v>
      </c>
      <c r="AK540">
        <v>2</v>
      </c>
      <c r="AL540" t="s">
        <v>105</v>
      </c>
      <c r="AM540" t="s">
        <v>105</v>
      </c>
      <c r="AN540" t="s">
        <v>105</v>
      </c>
      <c r="BC540" t="s">
        <v>127</v>
      </c>
      <c r="BD540">
        <v>20</v>
      </c>
      <c r="BE540">
        <v>426</v>
      </c>
      <c r="BF540">
        <v>423</v>
      </c>
      <c r="BG540">
        <v>636</v>
      </c>
      <c r="BI540" t="s">
        <v>106</v>
      </c>
      <c r="BJ540">
        <v>1</v>
      </c>
      <c r="BL540" t="s">
        <v>1196</v>
      </c>
      <c r="BM540" s="4">
        <v>43283.107638888891</v>
      </c>
      <c r="BN540" s="4">
        <v>43283.125243055554</v>
      </c>
      <c r="BO540" s="4">
        <v>43283.125243055554</v>
      </c>
      <c r="BP540" t="s">
        <v>92</v>
      </c>
      <c r="BQ540" t="s">
        <v>93</v>
      </c>
      <c r="BR540" t="s">
        <v>94</v>
      </c>
    </row>
    <row r="541" spans="1:70" x14ac:dyDescent="0.3">
      <c r="A541" t="str">
        <f>"200311C0100"</f>
        <v>200311C0100</v>
      </c>
      <c r="B541" t="s">
        <v>1197</v>
      </c>
      <c r="C541">
        <v>20</v>
      </c>
      <c r="D541" t="s">
        <v>88</v>
      </c>
      <c r="E541">
        <v>43</v>
      </c>
      <c r="F541" t="s">
        <v>1049</v>
      </c>
      <c r="G541">
        <v>311</v>
      </c>
      <c r="H541">
        <v>1</v>
      </c>
      <c r="I541" t="s">
        <v>98</v>
      </c>
      <c r="J541">
        <v>0</v>
      </c>
      <c r="K541">
        <v>1</v>
      </c>
      <c r="L541">
        <v>5</v>
      </c>
      <c r="BG541">
        <v>635</v>
      </c>
      <c r="BI541" t="s">
        <v>122</v>
      </c>
      <c r="BJ541">
        <v>0</v>
      </c>
      <c r="BL541" t="s">
        <v>1198</v>
      </c>
      <c r="BM541" s="4">
        <v>43283.413888888892</v>
      </c>
      <c r="BN541" s="4">
        <v>43283.417349537034</v>
      </c>
      <c r="BO541" s="4">
        <v>43283.417349537034</v>
      </c>
      <c r="BP541" t="s">
        <v>92</v>
      </c>
      <c r="BQ541" t="s">
        <v>93</v>
      </c>
      <c r="BR541" t="s">
        <v>94</v>
      </c>
    </row>
    <row r="542" spans="1:70" x14ac:dyDescent="0.3">
      <c r="A542" t="str">
        <f>"200312B0100"</f>
        <v>200312B0100</v>
      </c>
      <c r="B542" t="s">
        <v>1199</v>
      </c>
      <c r="C542">
        <v>20</v>
      </c>
      <c r="D542" t="s">
        <v>88</v>
      </c>
      <c r="E542">
        <v>43</v>
      </c>
      <c r="F542" t="s">
        <v>1049</v>
      </c>
      <c r="G542">
        <v>312</v>
      </c>
      <c r="H542">
        <v>1</v>
      </c>
      <c r="I542" t="s">
        <v>90</v>
      </c>
      <c r="J542">
        <v>0</v>
      </c>
      <c r="K542">
        <v>1</v>
      </c>
      <c r="L542">
        <v>5</v>
      </c>
      <c r="M542">
        <v>226</v>
      </c>
      <c r="N542">
        <v>425</v>
      </c>
      <c r="O542">
        <v>1</v>
      </c>
      <c r="P542">
        <v>425</v>
      </c>
      <c r="Q542">
        <v>2</v>
      </c>
      <c r="R542">
        <v>63</v>
      </c>
      <c r="S542">
        <v>14</v>
      </c>
      <c r="T542">
        <v>18</v>
      </c>
      <c r="U542">
        <v>10</v>
      </c>
      <c r="V542">
        <v>1</v>
      </c>
      <c r="W542">
        <v>1</v>
      </c>
      <c r="X542">
        <v>5</v>
      </c>
      <c r="Y542">
        <v>243</v>
      </c>
      <c r="Z542">
        <v>3</v>
      </c>
      <c r="AA542">
        <v>43</v>
      </c>
      <c r="AC542" t="s">
        <v>105</v>
      </c>
      <c r="AD542" t="s">
        <v>105</v>
      </c>
      <c r="AE542" t="s">
        <v>105</v>
      </c>
      <c r="AF542" t="s">
        <v>105</v>
      </c>
      <c r="AG542" t="s">
        <v>105</v>
      </c>
      <c r="AH542" t="s">
        <v>105</v>
      </c>
      <c r="AI542" t="s">
        <v>105</v>
      </c>
      <c r="AJ542" t="s">
        <v>105</v>
      </c>
      <c r="AK542" t="s">
        <v>105</v>
      </c>
      <c r="AL542" t="s">
        <v>105</v>
      </c>
      <c r="AM542" t="s">
        <v>105</v>
      </c>
      <c r="AN542" t="s">
        <v>105</v>
      </c>
      <c r="BC542" t="s">
        <v>105</v>
      </c>
      <c r="BD542">
        <v>16</v>
      </c>
      <c r="BE542">
        <v>422</v>
      </c>
      <c r="BF542">
        <v>419</v>
      </c>
      <c r="BG542">
        <v>629</v>
      </c>
      <c r="BI542" t="s">
        <v>106</v>
      </c>
      <c r="BJ542">
        <v>1</v>
      </c>
      <c r="BL542" t="s">
        <v>1200</v>
      </c>
      <c r="BM542" s="4">
        <v>43283.029861111114</v>
      </c>
      <c r="BN542" s="4">
        <v>43283.035358796296</v>
      </c>
      <c r="BO542" s="4">
        <v>43283.035358796296</v>
      </c>
      <c r="BP542" t="s">
        <v>92</v>
      </c>
      <c r="BQ542" t="s">
        <v>93</v>
      </c>
      <c r="BR542" t="s">
        <v>94</v>
      </c>
    </row>
    <row r="543" spans="1:70" x14ac:dyDescent="0.3">
      <c r="A543" t="str">
        <f>"200312C0100"</f>
        <v>200312C0100</v>
      </c>
      <c r="B543" t="s">
        <v>1201</v>
      </c>
      <c r="C543">
        <v>20</v>
      </c>
      <c r="D543" t="s">
        <v>88</v>
      </c>
      <c r="E543">
        <v>43</v>
      </c>
      <c r="F543" t="s">
        <v>1049</v>
      </c>
      <c r="G543">
        <v>312</v>
      </c>
      <c r="H543">
        <v>1</v>
      </c>
      <c r="I543" t="s">
        <v>98</v>
      </c>
      <c r="J543">
        <v>0</v>
      </c>
      <c r="K543">
        <v>1</v>
      </c>
      <c r="L543">
        <v>5</v>
      </c>
      <c r="M543">
        <v>239</v>
      </c>
      <c r="N543" t="s">
        <v>105</v>
      </c>
      <c r="O543" t="s">
        <v>105</v>
      </c>
      <c r="P543">
        <v>413</v>
      </c>
      <c r="Q543">
        <v>2</v>
      </c>
      <c r="R543">
        <v>48</v>
      </c>
      <c r="S543">
        <v>7</v>
      </c>
      <c r="T543">
        <v>17</v>
      </c>
      <c r="U543">
        <v>12</v>
      </c>
      <c r="V543">
        <v>1</v>
      </c>
      <c r="W543">
        <v>1</v>
      </c>
      <c r="X543">
        <v>5</v>
      </c>
      <c r="Y543">
        <v>244</v>
      </c>
      <c r="Z543">
        <v>7</v>
      </c>
      <c r="AA543">
        <v>38</v>
      </c>
      <c r="AC543">
        <v>0</v>
      </c>
      <c r="AD543">
        <v>0</v>
      </c>
      <c r="AE543">
        <v>0</v>
      </c>
      <c r="AF543">
        <v>0</v>
      </c>
      <c r="AG543">
        <v>3</v>
      </c>
      <c r="AH543">
        <v>6</v>
      </c>
      <c r="AI543">
        <v>0</v>
      </c>
      <c r="AJ543">
        <v>0</v>
      </c>
      <c r="AK543">
        <v>3</v>
      </c>
      <c r="AL543">
        <v>2</v>
      </c>
      <c r="AM543">
        <v>0</v>
      </c>
      <c r="AN543">
        <v>1</v>
      </c>
      <c r="BC543">
        <v>0</v>
      </c>
      <c r="BD543">
        <v>16</v>
      </c>
      <c r="BE543">
        <v>413</v>
      </c>
      <c r="BF543">
        <v>413</v>
      </c>
      <c r="BG543">
        <v>629</v>
      </c>
      <c r="BJ543">
        <v>1</v>
      </c>
      <c r="BL543" t="s">
        <v>1202</v>
      </c>
      <c r="BM543" s="4">
        <v>43283.109722222223</v>
      </c>
      <c r="BN543" s="4">
        <v>43283.114432870374</v>
      </c>
      <c r="BO543" s="4">
        <v>43283.114432870374</v>
      </c>
      <c r="BP543" t="s">
        <v>92</v>
      </c>
      <c r="BQ543" t="s">
        <v>93</v>
      </c>
      <c r="BR543" t="s">
        <v>94</v>
      </c>
    </row>
    <row r="544" spans="1:70" x14ac:dyDescent="0.3">
      <c r="A544" t="str">
        <f>"200313B0100"</f>
        <v>200313B0100</v>
      </c>
      <c r="B544" t="s">
        <v>1203</v>
      </c>
      <c r="C544">
        <v>20</v>
      </c>
      <c r="D544" t="s">
        <v>88</v>
      </c>
      <c r="E544">
        <v>43</v>
      </c>
      <c r="F544" t="s">
        <v>1049</v>
      </c>
      <c r="G544">
        <v>313</v>
      </c>
      <c r="H544">
        <v>1</v>
      </c>
      <c r="I544" t="s">
        <v>90</v>
      </c>
      <c r="J544">
        <v>0</v>
      </c>
      <c r="K544">
        <v>1</v>
      </c>
      <c r="L544">
        <v>5</v>
      </c>
      <c r="M544">
        <v>224</v>
      </c>
      <c r="N544">
        <v>427</v>
      </c>
      <c r="O544">
        <v>4</v>
      </c>
      <c r="P544">
        <v>427</v>
      </c>
      <c r="Q544">
        <v>3</v>
      </c>
      <c r="R544">
        <v>59</v>
      </c>
      <c r="S544">
        <v>4</v>
      </c>
      <c r="T544">
        <v>7</v>
      </c>
      <c r="U544">
        <v>22</v>
      </c>
      <c r="V544">
        <v>2</v>
      </c>
      <c r="W544">
        <v>2</v>
      </c>
      <c r="X544">
        <v>4</v>
      </c>
      <c r="Y544">
        <v>229</v>
      </c>
      <c r="Z544">
        <v>3</v>
      </c>
      <c r="AA544">
        <v>68</v>
      </c>
      <c r="AC544">
        <v>0</v>
      </c>
      <c r="AD544">
        <v>0</v>
      </c>
      <c r="AE544">
        <v>0</v>
      </c>
      <c r="AF544">
        <v>0</v>
      </c>
      <c r="AG544">
        <v>1</v>
      </c>
      <c r="AH544">
        <v>0</v>
      </c>
      <c r="AI544">
        <v>0</v>
      </c>
      <c r="AJ544">
        <v>0</v>
      </c>
      <c r="AK544">
        <v>1</v>
      </c>
      <c r="AL544">
        <v>2</v>
      </c>
      <c r="AM544">
        <v>0</v>
      </c>
      <c r="AN544">
        <v>0</v>
      </c>
      <c r="BC544">
        <v>0</v>
      </c>
      <c r="BD544">
        <v>20</v>
      </c>
      <c r="BE544">
        <v>427</v>
      </c>
      <c r="BF544">
        <v>427</v>
      </c>
      <c r="BG544">
        <v>629</v>
      </c>
      <c r="BJ544">
        <v>1</v>
      </c>
      <c r="BL544" t="s">
        <v>1204</v>
      </c>
      <c r="BM544" s="4">
        <v>43283.013888888891</v>
      </c>
      <c r="BN544" s="4">
        <v>43283.018541666665</v>
      </c>
      <c r="BO544" s="4">
        <v>43283.018541666665</v>
      </c>
      <c r="BP544" t="s">
        <v>92</v>
      </c>
      <c r="BQ544" t="s">
        <v>93</v>
      </c>
      <c r="BR544" t="s">
        <v>94</v>
      </c>
    </row>
    <row r="545" spans="1:70" x14ac:dyDescent="0.3">
      <c r="A545" t="str">
        <f>"200313C0100"</f>
        <v>200313C0100</v>
      </c>
      <c r="B545" t="s">
        <v>1205</v>
      </c>
      <c r="C545">
        <v>20</v>
      </c>
      <c r="D545" t="s">
        <v>88</v>
      </c>
      <c r="E545">
        <v>43</v>
      </c>
      <c r="F545" t="s">
        <v>1049</v>
      </c>
      <c r="G545">
        <v>313</v>
      </c>
      <c r="H545">
        <v>1</v>
      </c>
      <c r="I545" t="s">
        <v>98</v>
      </c>
      <c r="J545">
        <v>0</v>
      </c>
      <c r="K545">
        <v>1</v>
      </c>
      <c r="L545">
        <v>5</v>
      </c>
      <c r="M545">
        <v>221</v>
      </c>
      <c r="N545">
        <v>430</v>
      </c>
      <c r="O545">
        <v>6</v>
      </c>
      <c r="P545">
        <v>430</v>
      </c>
      <c r="Q545">
        <v>4</v>
      </c>
      <c r="R545">
        <v>92</v>
      </c>
      <c r="S545">
        <v>20</v>
      </c>
      <c r="T545">
        <v>9</v>
      </c>
      <c r="U545">
        <v>15</v>
      </c>
      <c r="V545">
        <v>2</v>
      </c>
      <c r="W545">
        <v>1</v>
      </c>
      <c r="X545">
        <v>2</v>
      </c>
      <c r="Y545">
        <v>207</v>
      </c>
      <c r="Z545">
        <v>3</v>
      </c>
      <c r="AA545">
        <v>56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1</v>
      </c>
      <c r="AL545">
        <v>0</v>
      </c>
      <c r="AM545">
        <v>0</v>
      </c>
      <c r="AN545">
        <v>0</v>
      </c>
      <c r="BC545">
        <v>0</v>
      </c>
      <c r="BD545">
        <v>18</v>
      </c>
      <c r="BE545">
        <v>430</v>
      </c>
      <c r="BF545">
        <v>430</v>
      </c>
      <c r="BG545">
        <v>629</v>
      </c>
      <c r="BJ545">
        <v>1</v>
      </c>
      <c r="BL545" t="s">
        <v>1206</v>
      </c>
      <c r="BM545" s="4">
        <v>43283.015277777777</v>
      </c>
      <c r="BN545" s="4">
        <v>43283.020266203705</v>
      </c>
      <c r="BO545" s="4">
        <v>43283.020266203705</v>
      </c>
      <c r="BP545" t="s">
        <v>92</v>
      </c>
      <c r="BQ545" t="s">
        <v>93</v>
      </c>
      <c r="BR545" t="s">
        <v>94</v>
      </c>
    </row>
    <row r="546" spans="1:70" x14ac:dyDescent="0.3">
      <c r="A546" t="str">
        <f>"200314B0100"</f>
        <v>200314B0100</v>
      </c>
      <c r="B546" t="s">
        <v>1207</v>
      </c>
      <c r="C546">
        <v>20</v>
      </c>
      <c r="D546" t="s">
        <v>88</v>
      </c>
      <c r="E546">
        <v>43</v>
      </c>
      <c r="F546" t="s">
        <v>1049</v>
      </c>
      <c r="G546">
        <v>314</v>
      </c>
      <c r="H546">
        <v>1</v>
      </c>
      <c r="I546" t="s">
        <v>90</v>
      </c>
      <c r="J546">
        <v>0</v>
      </c>
      <c r="K546">
        <v>1</v>
      </c>
      <c r="L546">
        <v>5</v>
      </c>
      <c r="M546">
        <v>153</v>
      </c>
      <c r="N546">
        <v>359</v>
      </c>
      <c r="O546">
        <v>0</v>
      </c>
      <c r="P546">
        <v>359</v>
      </c>
      <c r="Q546">
        <v>3</v>
      </c>
      <c r="R546">
        <v>52</v>
      </c>
      <c r="S546">
        <v>12</v>
      </c>
      <c r="T546">
        <v>13</v>
      </c>
      <c r="U546">
        <v>12</v>
      </c>
      <c r="V546">
        <v>1</v>
      </c>
      <c r="W546">
        <v>2</v>
      </c>
      <c r="X546">
        <v>5</v>
      </c>
      <c r="Y546">
        <v>180</v>
      </c>
      <c r="Z546">
        <v>2</v>
      </c>
      <c r="AA546">
        <v>67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BC546">
        <v>0</v>
      </c>
      <c r="BD546">
        <v>10</v>
      </c>
      <c r="BE546">
        <v>359</v>
      </c>
      <c r="BF546">
        <v>359</v>
      </c>
      <c r="BG546">
        <v>490</v>
      </c>
      <c r="BJ546">
        <v>1</v>
      </c>
      <c r="BL546" t="s">
        <v>1208</v>
      </c>
      <c r="BM546" s="4">
        <v>43283.006944444445</v>
      </c>
      <c r="BN546" s="4">
        <v>43283.015462962961</v>
      </c>
      <c r="BO546" s="4">
        <v>43283.015462962961</v>
      </c>
      <c r="BP546" t="s">
        <v>92</v>
      </c>
      <c r="BQ546" t="s">
        <v>93</v>
      </c>
      <c r="BR546" t="s">
        <v>94</v>
      </c>
    </row>
    <row r="547" spans="1:70" x14ac:dyDescent="0.3">
      <c r="A547" t="str">
        <f>"200314C0100"</f>
        <v>200314C0100</v>
      </c>
      <c r="B547" t="s">
        <v>1209</v>
      </c>
      <c r="C547">
        <v>20</v>
      </c>
      <c r="D547" t="s">
        <v>88</v>
      </c>
      <c r="E547">
        <v>43</v>
      </c>
      <c r="F547" t="s">
        <v>1049</v>
      </c>
      <c r="G547">
        <v>314</v>
      </c>
      <c r="H547">
        <v>1</v>
      </c>
      <c r="I547" t="s">
        <v>98</v>
      </c>
      <c r="J547">
        <v>0</v>
      </c>
      <c r="K547">
        <v>1</v>
      </c>
      <c r="L547">
        <v>5</v>
      </c>
      <c r="M547">
        <v>177</v>
      </c>
      <c r="N547">
        <v>335</v>
      </c>
      <c r="O547">
        <v>4</v>
      </c>
      <c r="P547">
        <v>335</v>
      </c>
      <c r="Q547" t="s">
        <v>127</v>
      </c>
      <c r="R547">
        <v>0</v>
      </c>
      <c r="S547">
        <v>8</v>
      </c>
      <c r="T547">
        <v>3</v>
      </c>
      <c r="U547">
        <v>10</v>
      </c>
      <c r="V547">
        <v>0</v>
      </c>
      <c r="W547">
        <v>4</v>
      </c>
      <c r="X547">
        <v>6</v>
      </c>
      <c r="Y547">
        <v>170</v>
      </c>
      <c r="Z547">
        <v>3</v>
      </c>
      <c r="AA547">
        <v>65</v>
      </c>
      <c r="AC547">
        <v>0</v>
      </c>
      <c r="AD547">
        <v>1</v>
      </c>
      <c r="AE547">
        <v>0</v>
      </c>
      <c r="AF547">
        <v>0</v>
      </c>
      <c r="AG547">
        <v>0</v>
      </c>
      <c r="AH547">
        <v>1</v>
      </c>
      <c r="AI547">
        <v>0</v>
      </c>
      <c r="AJ547">
        <v>0</v>
      </c>
      <c r="AK547">
        <v>0</v>
      </c>
      <c r="AL547">
        <v>2</v>
      </c>
      <c r="AM547">
        <v>0</v>
      </c>
      <c r="AN547">
        <v>0</v>
      </c>
      <c r="BC547">
        <v>0</v>
      </c>
      <c r="BD547">
        <v>11</v>
      </c>
      <c r="BE547">
        <v>335</v>
      </c>
      <c r="BF547">
        <v>284</v>
      </c>
      <c r="BG547">
        <v>490</v>
      </c>
      <c r="BI547" t="s">
        <v>106</v>
      </c>
      <c r="BJ547">
        <v>1</v>
      </c>
      <c r="BL547" t="s">
        <v>1210</v>
      </c>
      <c r="BM547" s="4">
        <v>43283.006944444445</v>
      </c>
      <c r="BN547" s="4">
        <v>43283.020092592589</v>
      </c>
      <c r="BO547" s="4">
        <v>43283.020092592589</v>
      </c>
      <c r="BP547" t="s">
        <v>92</v>
      </c>
      <c r="BQ547" t="s">
        <v>93</v>
      </c>
      <c r="BR547" t="s">
        <v>94</v>
      </c>
    </row>
    <row r="548" spans="1:70" x14ac:dyDescent="0.3">
      <c r="A548" t="str">
        <f>"200315B0100"</f>
        <v>200315B0100</v>
      </c>
      <c r="B548" t="s">
        <v>1211</v>
      </c>
      <c r="C548">
        <v>20</v>
      </c>
      <c r="D548" t="s">
        <v>88</v>
      </c>
      <c r="E548">
        <v>43</v>
      </c>
      <c r="F548" t="s">
        <v>1049</v>
      </c>
      <c r="G548">
        <v>315</v>
      </c>
      <c r="H548">
        <v>1</v>
      </c>
      <c r="I548" t="s">
        <v>90</v>
      </c>
      <c r="J548">
        <v>0</v>
      </c>
      <c r="K548">
        <v>1</v>
      </c>
      <c r="L548">
        <v>5</v>
      </c>
      <c r="M548">
        <v>203</v>
      </c>
      <c r="N548">
        <v>342</v>
      </c>
      <c r="O548">
        <v>4</v>
      </c>
      <c r="P548">
        <v>0</v>
      </c>
      <c r="Q548">
        <v>3</v>
      </c>
      <c r="R548">
        <v>64</v>
      </c>
      <c r="S548">
        <v>15</v>
      </c>
      <c r="T548">
        <v>11</v>
      </c>
      <c r="U548">
        <v>10</v>
      </c>
      <c r="V548">
        <v>3</v>
      </c>
      <c r="W548">
        <v>1</v>
      </c>
      <c r="X548">
        <v>2</v>
      </c>
      <c r="Y548">
        <v>118</v>
      </c>
      <c r="Z548">
        <v>0</v>
      </c>
      <c r="AA548">
        <v>102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2</v>
      </c>
      <c r="AI548">
        <v>0</v>
      </c>
      <c r="AJ548">
        <v>0</v>
      </c>
      <c r="AK548">
        <v>3</v>
      </c>
      <c r="AL548">
        <v>0</v>
      </c>
      <c r="AM548">
        <v>0</v>
      </c>
      <c r="AN548">
        <v>0</v>
      </c>
      <c r="BC548">
        <v>0</v>
      </c>
      <c r="BD548">
        <v>5</v>
      </c>
      <c r="BE548" t="s">
        <v>105</v>
      </c>
      <c r="BF548">
        <v>339</v>
      </c>
      <c r="BG548">
        <v>519</v>
      </c>
      <c r="BJ548">
        <v>1</v>
      </c>
      <c r="BL548" t="s">
        <v>1212</v>
      </c>
      <c r="BM548" s="4">
        <v>43283.067361111112</v>
      </c>
      <c r="BN548" s="4">
        <v>43283.073263888888</v>
      </c>
      <c r="BO548" s="4">
        <v>43283.073263888888</v>
      </c>
      <c r="BP548" t="s">
        <v>92</v>
      </c>
      <c r="BQ548" t="s">
        <v>93</v>
      </c>
      <c r="BR548" t="s">
        <v>94</v>
      </c>
    </row>
    <row r="549" spans="1:70" x14ac:dyDescent="0.3">
      <c r="A549" t="str">
        <f>"200315C0100"</f>
        <v>200315C0100</v>
      </c>
      <c r="B549" t="s">
        <v>1213</v>
      </c>
      <c r="C549">
        <v>20</v>
      </c>
      <c r="D549" t="s">
        <v>88</v>
      </c>
      <c r="E549">
        <v>43</v>
      </c>
      <c r="F549" t="s">
        <v>1049</v>
      </c>
      <c r="G549">
        <v>315</v>
      </c>
      <c r="H549">
        <v>1</v>
      </c>
      <c r="I549" t="s">
        <v>98</v>
      </c>
      <c r="J549">
        <v>0</v>
      </c>
      <c r="K549">
        <v>1</v>
      </c>
      <c r="L549">
        <v>5</v>
      </c>
      <c r="M549">
        <v>178</v>
      </c>
      <c r="N549">
        <v>351</v>
      </c>
      <c r="O549">
        <v>4</v>
      </c>
      <c r="P549">
        <v>347</v>
      </c>
      <c r="Q549">
        <v>2</v>
      </c>
      <c r="R549">
        <v>47</v>
      </c>
      <c r="S549">
        <v>7</v>
      </c>
      <c r="T549">
        <v>6</v>
      </c>
      <c r="U549">
        <v>14</v>
      </c>
      <c r="V549">
        <v>1</v>
      </c>
      <c r="W549">
        <v>0</v>
      </c>
      <c r="X549">
        <v>3</v>
      </c>
      <c r="Y549">
        <v>147</v>
      </c>
      <c r="Z549">
        <v>3</v>
      </c>
      <c r="AA549">
        <v>17</v>
      </c>
      <c r="AC549" t="s">
        <v>105</v>
      </c>
      <c r="AD549" t="s">
        <v>105</v>
      </c>
      <c r="AE549" t="s">
        <v>105</v>
      </c>
      <c r="AF549" t="s">
        <v>105</v>
      </c>
      <c r="AG549" t="s">
        <v>105</v>
      </c>
      <c r="AH549" t="s">
        <v>105</v>
      </c>
      <c r="AI549" t="s">
        <v>105</v>
      </c>
      <c r="AJ549" t="s">
        <v>105</v>
      </c>
      <c r="AK549" t="s">
        <v>105</v>
      </c>
      <c r="AL549" t="s">
        <v>105</v>
      </c>
      <c r="AM549" t="s">
        <v>105</v>
      </c>
      <c r="AN549" t="s">
        <v>105</v>
      </c>
      <c r="BC549" t="s">
        <v>105</v>
      </c>
      <c r="BD549">
        <v>36</v>
      </c>
      <c r="BE549" t="s">
        <v>105</v>
      </c>
      <c r="BF549">
        <v>283</v>
      </c>
      <c r="BG549">
        <v>519</v>
      </c>
      <c r="BI549" t="s">
        <v>106</v>
      </c>
      <c r="BJ549">
        <v>1</v>
      </c>
      <c r="BL549" t="s">
        <v>1214</v>
      </c>
      <c r="BM549" s="4">
        <v>43283.063194444447</v>
      </c>
      <c r="BN549" s="4">
        <v>43283.067511574074</v>
      </c>
      <c r="BO549" s="4">
        <v>43283.067511574074</v>
      </c>
      <c r="BP549" t="s">
        <v>92</v>
      </c>
      <c r="BQ549" t="s">
        <v>93</v>
      </c>
      <c r="BR549" t="s">
        <v>94</v>
      </c>
    </row>
    <row r="550" spans="1:70" x14ac:dyDescent="0.3">
      <c r="A550" t="str">
        <f>"200316B0100"</f>
        <v>200316B0100</v>
      </c>
      <c r="B550" t="s">
        <v>1215</v>
      </c>
      <c r="C550">
        <v>20</v>
      </c>
      <c r="D550" t="s">
        <v>88</v>
      </c>
      <c r="E550">
        <v>43</v>
      </c>
      <c r="F550" t="s">
        <v>1049</v>
      </c>
      <c r="G550">
        <v>316</v>
      </c>
      <c r="H550">
        <v>1</v>
      </c>
      <c r="I550" t="s">
        <v>90</v>
      </c>
      <c r="J550">
        <v>0</v>
      </c>
      <c r="K550">
        <v>1</v>
      </c>
      <c r="L550">
        <v>5</v>
      </c>
      <c r="M550">
        <v>246</v>
      </c>
      <c r="N550">
        <v>446</v>
      </c>
      <c r="O550">
        <v>3</v>
      </c>
      <c r="P550">
        <v>446</v>
      </c>
      <c r="Q550">
        <v>1</v>
      </c>
      <c r="R550">
        <v>52</v>
      </c>
      <c r="S550">
        <v>5</v>
      </c>
      <c r="T550">
        <v>6</v>
      </c>
      <c r="U550">
        <v>19</v>
      </c>
      <c r="V550">
        <v>1</v>
      </c>
      <c r="W550">
        <v>2</v>
      </c>
      <c r="X550">
        <v>6</v>
      </c>
      <c r="Y550">
        <v>219</v>
      </c>
      <c r="Z550">
        <v>2</v>
      </c>
      <c r="AA550">
        <v>117</v>
      </c>
      <c r="AC550" t="s">
        <v>105</v>
      </c>
      <c r="AD550" t="s">
        <v>105</v>
      </c>
      <c r="AE550" t="s">
        <v>105</v>
      </c>
      <c r="AF550" t="s">
        <v>105</v>
      </c>
      <c r="AG550" t="s">
        <v>105</v>
      </c>
      <c r="AH550" t="s">
        <v>105</v>
      </c>
      <c r="AI550" t="s">
        <v>105</v>
      </c>
      <c r="AJ550" t="s">
        <v>105</v>
      </c>
      <c r="AK550">
        <v>6</v>
      </c>
      <c r="AL550" t="s">
        <v>105</v>
      </c>
      <c r="AM550" t="s">
        <v>105</v>
      </c>
      <c r="AN550" t="s">
        <v>105</v>
      </c>
      <c r="BC550" t="s">
        <v>105</v>
      </c>
      <c r="BD550">
        <v>9</v>
      </c>
      <c r="BE550">
        <v>445</v>
      </c>
      <c r="BF550">
        <v>445</v>
      </c>
      <c r="BG550">
        <v>670</v>
      </c>
      <c r="BI550" t="s">
        <v>106</v>
      </c>
      <c r="BJ550">
        <v>1</v>
      </c>
      <c r="BL550" t="s">
        <v>1216</v>
      </c>
      <c r="BM550" s="4">
        <v>43283.06527777778</v>
      </c>
      <c r="BN550" s="4">
        <v>43283.07203703704</v>
      </c>
      <c r="BO550" s="4">
        <v>43283.07203703704</v>
      </c>
      <c r="BP550" t="s">
        <v>92</v>
      </c>
      <c r="BQ550" t="s">
        <v>93</v>
      </c>
      <c r="BR550" t="s">
        <v>94</v>
      </c>
    </row>
    <row r="551" spans="1:70" x14ac:dyDescent="0.3">
      <c r="A551" t="str">
        <f>"200316C0100"</f>
        <v>200316C0100</v>
      </c>
      <c r="B551" t="s">
        <v>1217</v>
      </c>
      <c r="C551">
        <v>20</v>
      </c>
      <c r="D551" t="s">
        <v>88</v>
      </c>
      <c r="E551">
        <v>43</v>
      </c>
      <c r="F551" t="s">
        <v>1049</v>
      </c>
      <c r="G551">
        <v>316</v>
      </c>
      <c r="H551">
        <v>1</v>
      </c>
      <c r="I551" t="s">
        <v>98</v>
      </c>
      <c r="J551">
        <v>0</v>
      </c>
      <c r="K551">
        <v>1</v>
      </c>
      <c r="L551">
        <v>5</v>
      </c>
      <c r="M551">
        <v>239</v>
      </c>
      <c r="N551">
        <v>458</v>
      </c>
      <c r="O551">
        <v>5</v>
      </c>
      <c r="P551" t="s">
        <v>105</v>
      </c>
      <c r="Q551">
        <v>0</v>
      </c>
      <c r="R551">
        <v>41</v>
      </c>
      <c r="S551">
        <v>11</v>
      </c>
      <c r="T551">
        <v>4</v>
      </c>
      <c r="U551">
        <v>12</v>
      </c>
      <c r="V551">
        <v>2</v>
      </c>
      <c r="W551">
        <v>2</v>
      </c>
      <c r="X551">
        <v>0</v>
      </c>
      <c r="Y551">
        <v>260</v>
      </c>
      <c r="Z551">
        <v>3</v>
      </c>
      <c r="AA551">
        <v>101</v>
      </c>
      <c r="AC551" t="s">
        <v>105</v>
      </c>
      <c r="AD551" t="s">
        <v>105</v>
      </c>
      <c r="AE551" t="s">
        <v>105</v>
      </c>
      <c r="AF551" t="s">
        <v>105</v>
      </c>
      <c r="AG551" t="s">
        <v>105</v>
      </c>
      <c r="AH551" t="s">
        <v>105</v>
      </c>
      <c r="AI551" t="s">
        <v>105</v>
      </c>
      <c r="AJ551" t="s">
        <v>105</v>
      </c>
      <c r="AK551">
        <v>1</v>
      </c>
      <c r="AL551" t="s">
        <v>105</v>
      </c>
      <c r="AM551" t="s">
        <v>105</v>
      </c>
      <c r="AN551" t="s">
        <v>105</v>
      </c>
      <c r="BC551" t="s">
        <v>105</v>
      </c>
      <c r="BD551">
        <v>16</v>
      </c>
      <c r="BE551">
        <v>453</v>
      </c>
      <c r="BF551">
        <v>453</v>
      </c>
      <c r="BG551">
        <v>670</v>
      </c>
      <c r="BI551" t="s">
        <v>106</v>
      </c>
      <c r="BJ551">
        <v>1</v>
      </c>
      <c r="BL551" t="s">
        <v>1218</v>
      </c>
      <c r="BM551" s="4">
        <v>43283.064583333333</v>
      </c>
      <c r="BN551" s="4">
        <v>43283.069166666668</v>
      </c>
      <c r="BO551" s="4">
        <v>43283.069166666668</v>
      </c>
      <c r="BP551" t="s">
        <v>92</v>
      </c>
      <c r="BQ551" t="s">
        <v>93</v>
      </c>
      <c r="BR551" t="s">
        <v>94</v>
      </c>
    </row>
    <row r="552" spans="1:70" x14ac:dyDescent="0.3">
      <c r="A552" t="str">
        <f>"200317B0100"</f>
        <v>200317B0100</v>
      </c>
      <c r="B552" t="s">
        <v>1219</v>
      </c>
      <c r="C552">
        <v>20</v>
      </c>
      <c r="D552" t="s">
        <v>88</v>
      </c>
      <c r="E552">
        <v>43</v>
      </c>
      <c r="F552" t="s">
        <v>1049</v>
      </c>
      <c r="G552">
        <v>317</v>
      </c>
      <c r="H552">
        <v>1</v>
      </c>
      <c r="I552" t="s">
        <v>90</v>
      </c>
      <c r="J552">
        <v>0</v>
      </c>
      <c r="K552">
        <v>1</v>
      </c>
      <c r="L552">
        <v>5</v>
      </c>
      <c r="M552">
        <v>173</v>
      </c>
      <c r="N552">
        <v>342</v>
      </c>
      <c r="O552">
        <v>4</v>
      </c>
      <c r="P552">
        <v>342</v>
      </c>
      <c r="Q552">
        <v>3</v>
      </c>
      <c r="R552">
        <v>89</v>
      </c>
      <c r="S552">
        <v>3</v>
      </c>
      <c r="T552">
        <v>6</v>
      </c>
      <c r="U552">
        <v>11</v>
      </c>
      <c r="V552">
        <v>1</v>
      </c>
      <c r="W552">
        <v>0</v>
      </c>
      <c r="X552">
        <v>6</v>
      </c>
      <c r="Y552">
        <v>161</v>
      </c>
      <c r="Z552">
        <v>3</v>
      </c>
      <c r="AA552">
        <v>47</v>
      </c>
      <c r="AC552" t="s">
        <v>105</v>
      </c>
      <c r="AD552" t="s">
        <v>105</v>
      </c>
      <c r="AE552" t="s">
        <v>105</v>
      </c>
      <c r="AF552" t="s">
        <v>105</v>
      </c>
      <c r="AG552" t="s">
        <v>105</v>
      </c>
      <c r="AH552" t="s">
        <v>105</v>
      </c>
      <c r="AI552" t="s">
        <v>105</v>
      </c>
      <c r="AJ552" t="s">
        <v>105</v>
      </c>
      <c r="AK552">
        <v>2</v>
      </c>
      <c r="AL552">
        <v>2</v>
      </c>
      <c r="AM552" t="s">
        <v>105</v>
      </c>
      <c r="AN552" t="s">
        <v>105</v>
      </c>
      <c r="BC552" t="s">
        <v>105</v>
      </c>
      <c r="BD552" t="s">
        <v>105</v>
      </c>
      <c r="BE552">
        <v>342</v>
      </c>
      <c r="BF552">
        <v>334</v>
      </c>
      <c r="BG552">
        <v>493</v>
      </c>
      <c r="BI552" t="s">
        <v>106</v>
      </c>
      <c r="BJ552">
        <v>1</v>
      </c>
      <c r="BL552" t="s">
        <v>1220</v>
      </c>
      <c r="BM552" s="4">
        <v>43283.147916666669</v>
      </c>
      <c r="BN552" s="4">
        <v>43283.158865740741</v>
      </c>
      <c r="BO552" s="4">
        <v>43283.158865740741</v>
      </c>
      <c r="BP552" t="s">
        <v>92</v>
      </c>
      <c r="BQ552" t="s">
        <v>93</v>
      </c>
      <c r="BR552" t="s">
        <v>94</v>
      </c>
    </row>
    <row r="553" spans="1:70" x14ac:dyDescent="0.3">
      <c r="A553" t="str">
        <f>"200317C0100"</f>
        <v>200317C0100</v>
      </c>
      <c r="B553" t="s">
        <v>1221</v>
      </c>
      <c r="C553">
        <v>20</v>
      </c>
      <c r="D553" t="s">
        <v>88</v>
      </c>
      <c r="E553">
        <v>43</v>
      </c>
      <c r="F553" t="s">
        <v>1049</v>
      </c>
      <c r="G553">
        <v>317</v>
      </c>
      <c r="H553">
        <v>1</v>
      </c>
      <c r="I553" t="s">
        <v>98</v>
      </c>
      <c r="J553">
        <v>0</v>
      </c>
      <c r="K553">
        <v>1</v>
      </c>
      <c r="L553">
        <v>5</v>
      </c>
      <c r="M553">
        <v>168</v>
      </c>
      <c r="N553">
        <v>347</v>
      </c>
      <c r="O553">
        <v>5</v>
      </c>
      <c r="P553">
        <v>347</v>
      </c>
      <c r="Q553">
        <v>0</v>
      </c>
      <c r="R553">
        <v>92</v>
      </c>
      <c r="S553">
        <v>1</v>
      </c>
      <c r="T553">
        <v>6</v>
      </c>
      <c r="U553">
        <v>10</v>
      </c>
      <c r="V553">
        <v>0</v>
      </c>
      <c r="W553">
        <v>1</v>
      </c>
      <c r="X553">
        <v>6</v>
      </c>
      <c r="Y553">
        <v>170</v>
      </c>
      <c r="Z553">
        <v>0</v>
      </c>
      <c r="AA553">
        <v>43</v>
      </c>
      <c r="AC553">
        <v>1</v>
      </c>
      <c r="AD553">
        <v>0</v>
      </c>
      <c r="AE553">
        <v>0</v>
      </c>
      <c r="AF553">
        <v>0</v>
      </c>
      <c r="AG553">
        <v>2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BC553">
        <v>8</v>
      </c>
      <c r="BD553" t="s">
        <v>105</v>
      </c>
      <c r="BE553">
        <v>347</v>
      </c>
      <c r="BF553">
        <v>340</v>
      </c>
      <c r="BG553">
        <v>492</v>
      </c>
      <c r="BI553" t="s">
        <v>106</v>
      </c>
      <c r="BJ553">
        <v>1</v>
      </c>
      <c r="BL553" t="s">
        <v>1222</v>
      </c>
      <c r="BM553" s="4">
        <v>43283.148611111108</v>
      </c>
      <c r="BN553" s="4">
        <v>43283.168692129628</v>
      </c>
      <c r="BO553" s="4">
        <v>43283.168692129628</v>
      </c>
      <c r="BP553" t="s">
        <v>92</v>
      </c>
      <c r="BQ553" t="s">
        <v>93</v>
      </c>
      <c r="BR553" t="s">
        <v>94</v>
      </c>
    </row>
    <row r="554" spans="1:70" x14ac:dyDescent="0.3">
      <c r="A554" t="str">
        <f>"200318B0100"</f>
        <v>200318B0100</v>
      </c>
      <c r="B554" t="s">
        <v>1223</v>
      </c>
      <c r="C554">
        <v>20</v>
      </c>
      <c r="D554" t="s">
        <v>88</v>
      </c>
      <c r="E554">
        <v>43</v>
      </c>
      <c r="F554" t="s">
        <v>1049</v>
      </c>
      <c r="G554">
        <v>318</v>
      </c>
      <c r="H554">
        <v>1</v>
      </c>
      <c r="I554" t="s">
        <v>90</v>
      </c>
      <c r="J554">
        <v>0</v>
      </c>
      <c r="K554">
        <v>1</v>
      </c>
      <c r="L554">
        <v>5</v>
      </c>
      <c r="M554">
        <v>254</v>
      </c>
      <c r="N554">
        <v>380</v>
      </c>
      <c r="O554">
        <v>5</v>
      </c>
      <c r="P554">
        <v>380</v>
      </c>
      <c r="Q554">
        <v>0</v>
      </c>
      <c r="R554">
        <v>86</v>
      </c>
      <c r="S554">
        <v>9</v>
      </c>
      <c r="T554">
        <v>19</v>
      </c>
      <c r="U554">
        <v>15</v>
      </c>
      <c r="V554">
        <v>3</v>
      </c>
      <c r="W554">
        <v>1</v>
      </c>
      <c r="X554">
        <v>2</v>
      </c>
      <c r="Y554">
        <v>179</v>
      </c>
      <c r="Z554">
        <v>5</v>
      </c>
      <c r="AA554">
        <v>40</v>
      </c>
      <c r="AC554">
        <v>0</v>
      </c>
      <c r="AD554">
        <v>1</v>
      </c>
      <c r="AE554">
        <v>0</v>
      </c>
      <c r="AF554">
        <v>0</v>
      </c>
      <c r="AG554">
        <v>3</v>
      </c>
      <c r="AH554">
        <v>1</v>
      </c>
      <c r="AI554">
        <v>1</v>
      </c>
      <c r="AJ554">
        <v>0</v>
      </c>
      <c r="AK554">
        <v>4</v>
      </c>
      <c r="AL554">
        <v>2</v>
      </c>
      <c r="AM554">
        <v>1</v>
      </c>
      <c r="AN554">
        <v>1</v>
      </c>
      <c r="BC554">
        <v>0</v>
      </c>
      <c r="BD554">
        <v>7</v>
      </c>
      <c r="BE554" t="s">
        <v>105</v>
      </c>
      <c r="BF554">
        <v>380</v>
      </c>
      <c r="BG554">
        <v>613</v>
      </c>
      <c r="BJ554">
        <v>1</v>
      </c>
      <c r="BL554" t="s">
        <v>1224</v>
      </c>
      <c r="BM554" s="4">
        <v>43283.168749999997</v>
      </c>
      <c r="BN554" s="4">
        <v>43283.191180555557</v>
      </c>
      <c r="BO554" s="4">
        <v>43283.191180555557</v>
      </c>
      <c r="BP554" t="s">
        <v>92</v>
      </c>
      <c r="BQ554" t="s">
        <v>93</v>
      </c>
      <c r="BR554" t="s">
        <v>94</v>
      </c>
    </row>
    <row r="555" spans="1:70" x14ac:dyDescent="0.3">
      <c r="A555" t="str">
        <f>"200318C0100"</f>
        <v>200318C0100</v>
      </c>
      <c r="B555" t="s">
        <v>1225</v>
      </c>
      <c r="C555">
        <v>20</v>
      </c>
      <c r="D555" t="s">
        <v>88</v>
      </c>
      <c r="E555">
        <v>43</v>
      </c>
      <c r="F555" t="s">
        <v>1049</v>
      </c>
      <c r="G555">
        <v>318</v>
      </c>
      <c r="H555">
        <v>1</v>
      </c>
      <c r="I555" t="s">
        <v>98</v>
      </c>
      <c r="J555">
        <v>0</v>
      </c>
      <c r="K555">
        <v>1</v>
      </c>
      <c r="L555">
        <v>5</v>
      </c>
      <c r="M555" t="s">
        <v>105</v>
      </c>
      <c r="N555">
        <v>395</v>
      </c>
      <c r="O555">
        <v>6</v>
      </c>
      <c r="P555" t="s">
        <v>105</v>
      </c>
      <c r="Q555">
        <v>0</v>
      </c>
      <c r="R555">
        <v>85</v>
      </c>
      <c r="S555">
        <v>9</v>
      </c>
      <c r="T555">
        <v>23</v>
      </c>
      <c r="U555">
        <v>12</v>
      </c>
      <c r="V555">
        <v>4</v>
      </c>
      <c r="W555">
        <v>0</v>
      </c>
      <c r="X555">
        <v>3</v>
      </c>
      <c r="Y555">
        <v>179</v>
      </c>
      <c r="Z555">
        <v>2</v>
      </c>
      <c r="AA555">
        <v>48</v>
      </c>
      <c r="AC555">
        <v>0</v>
      </c>
      <c r="AD555">
        <v>0</v>
      </c>
      <c r="AE555">
        <v>0</v>
      </c>
      <c r="AF555">
        <v>0</v>
      </c>
      <c r="AG555">
        <v>1</v>
      </c>
      <c r="AH555">
        <v>6</v>
      </c>
      <c r="AI555">
        <v>0</v>
      </c>
      <c r="AJ555">
        <v>0</v>
      </c>
      <c r="AK555">
        <v>2</v>
      </c>
      <c r="AL555">
        <v>0</v>
      </c>
      <c r="AM555">
        <v>0</v>
      </c>
      <c r="AN555">
        <v>0</v>
      </c>
      <c r="BC555">
        <v>0</v>
      </c>
      <c r="BD555">
        <v>12</v>
      </c>
      <c r="BE555">
        <v>386</v>
      </c>
      <c r="BF555">
        <v>386</v>
      </c>
      <c r="BG555">
        <v>612</v>
      </c>
      <c r="BJ555">
        <v>1</v>
      </c>
      <c r="BL555" t="s">
        <v>1226</v>
      </c>
      <c r="BM555" s="4">
        <v>43283.140277777777</v>
      </c>
      <c r="BN555" s="4">
        <v>43283.146273148152</v>
      </c>
      <c r="BO555" s="4">
        <v>43283.146273148152</v>
      </c>
      <c r="BP555" t="s">
        <v>92</v>
      </c>
      <c r="BQ555" t="s">
        <v>93</v>
      </c>
      <c r="BR555" t="s">
        <v>94</v>
      </c>
    </row>
    <row r="556" spans="1:70" x14ac:dyDescent="0.3">
      <c r="A556" t="str">
        <f>"200319B0100"</f>
        <v>200319B0100</v>
      </c>
      <c r="B556" t="s">
        <v>1227</v>
      </c>
      <c r="C556">
        <v>20</v>
      </c>
      <c r="D556" t="s">
        <v>88</v>
      </c>
      <c r="E556">
        <v>43</v>
      </c>
      <c r="F556" t="s">
        <v>1049</v>
      </c>
      <c r="G556">
        <v>319</v>
      </c>
      <c r="H556">
        <v>1</v>
      </c>
      <c r="I556" t="s">
        <v>90</v>
      </c>
      <c r="J556">
        <v>0</v>
      </c>
      <c r="K556">
        <v>1</v>
      </c>
      <c r="L556">
        <v>5</v>
      </c>
      <c r="BG556">
        <v>720</v>
      </c>
      <c r="BI556" t="s">
        <v>122</v>
      </c>
      <c r="BJ556">
        <v>0</v>
      </c>
      <c r="BL556" t="s">
        <v>1228</v>
      </c>
      <c r="BM556" s="4">
        <v>43283.412499999999</v>
      </c>
      <c r="BN556" s="4">
        <v>43283.416435185187</v>
      </c>
      <c r="BO556" s="4">
        <v>43283.416435185187</v>
      </c>
      <c r="BP556" t="s">
        <v>92</v>
      </c>
      <c r="BQ556" t="s">
        <v>93</v>
      </c>
      <c r="BR556" t="s">
        <v>94</v>
      </c>
    </row>
    <row r="557" spans="1:70" x14ac:dyDescent="0.3">
      <c r="A557" t="str">
        <f>"200319C0100"</f>
        <v>200319C0100</v>
      </c>
      <c r="B557" t="s">
        <v>1229</v>
      </c>
      <c r="C557">
        <v>20</v>
      </c>
      <c r="D557" t="s">
        <v>88</v>
      </c>
      <c r="E557">
        <v>43</v>
      </c>
      <c r="F557" t="s">
        <v>1049</v>
      </c>
      <c r="G557">
        <v>319</v>
      </c>
      <c r="H557">
        <v>1</v>
      </c>
      <c r="I557" t="s">
        <v>98</v>
      </c>
      <c r="J557">
        <v>0</v>
      </c>
      <c r="K557">
        <v>1</v>
      </c>
      <c r="L557">
        <v>5</v>
      </c>
      <c r="M557" t="s">
        <v>105</v>
      </c>
      <c r="N557" t="s">
        <v>105</v>
      </c>
      <c r="O557" t="s">
        <v>105</v>
      </c>
      <c r="P557" t="s">
        <v>105</v>
      </c>
      <c r="Q557">
        <v>23</v>
      </c>
      <c r="R557">
        <v>58</v>
      </c>
      <c r="S557">
        <v>9</v>
      </c>
      <c r="T557">
        <v>27</v>
      </c>
      <c r="U557">
        <v>26</v>
      </c>
      <c r="V557">
        <v>21</v>
      </c>
      <c r="W557">
        <v>2</v>
      </c>
      <c r="X557">
        <v>23</v>
      </c>
      <c r="Y557">
        <v>281</v>
      </c>
      <c r="Z557">
        <v>2</v>
      </c>
      <c r="AA557">
        <v>63</v>
      </c>
      <c r="AC557" t="s">
        <v>105</v>
      </c>
      <c r="AD557" t="s">
        <v>105</v>
      </c>
      <c r="AE557" t="s">
        <v>105</v>
      </c>
      <c r="AF557" t="s">
        <v>105</v>
      </c>
      <c r="AG557" t="s">
        <v>105</v>
      </c>
      <c r="AH557">
        <v>1</v>
      </c>
      <c r="AI557">
        <v>1</v>
      </c>
      <c r="AJ557">
        <v>4</v>
      </c>
      <c r="AK557" t="s">
        <v>105</v>
      </c>
      <c r="AL557" t="s">
        <v>105</v>
      </c>
      <c r="AM557" t="s">
        <v>105</v>
      </c>
      <c r="AN557">
        <v>4</v>
      </c>
      <c r="BC557" t="s">
        <v>105</v>
      </c>
      <c r="BD557">
        <v>9</v>
      </c>
      <c r="BE557">
        <v>472</v>
      </c>
      <c r="BF557">
        <v>554</v>
      </c>
      <c r="BG557">
        <v>720</v>
      </c>
      <c r="BI557" t="s">
        <v>106</v>
      </c>
      <c r="BJ557">
        <v>1</v>
      </c>
      <c r="BL557" t="s">
        <v>1230</v>
      </c>
      <c r="BM557" s="4">
        <v>43283.033333333333</v>
      </c>
      <c r="BN557" s="4">
        <v>43283.047581018516</v>
      </c>
      <c r="BO557" s="4">
        <v>43283.047581018516</v>
      </c>
      <c r="BP557" t="s">
        <v>92</v>
      </c>
      <c r="BQ557" t="s">
        <v>93</v>
      </c>
      <c r="BR557" t="s">
        <v>94</v>
      </c>
    </row>
    <row r="558" spans="1:70" x14ac:dyDescent="0.3">
      <c r="A558" t="str">
        <f>"200319C0200"</f>
        <v>200319C0200</v>
      </c>
      <c r="B558" t="s">
        <v>1231</v>
      </c>
      <c r="C558">
        <v>20</v>
      </c>
      <c r="D558" t="s">
        <v>88</v>
      </c>
      <c r="E558">
        <v>43</v>
      </c>
      <c r="F558" t="s">
        <v>1049</v>
      </c>
      <c r="G558">
        <v>319</v>
      </c>
      <c r="H558">
        <v>2</v>
      </c>
      <c r="I558" t="s">
        <v>98</v>
      </c>
      <c r="J558">
        <v>0</v>
      </c>
      <c r="K558">
        <v>1</v>
      </c>
      <c r="L558">
        <v>5</v>
      </c>
      <c r="BG558">
        <v>720</v>
      </c>
      <c r="BI558" t="s">
        <v>122</v>
      </c>
      <c r="BJ558">
        <v>0</v>
      </c>
      <c r="BL558" t="s">
        <v>1232</v>
      </c>
      <c r="BM558" s="4">
        <v>43283.413194444445</v>
      </c>
      <c r="BN558" s="4">
        <v>43283.417222222219</v>
      </c>
      <c r="BO558" s="4">
        <v>43283.417222222219</v>
      </c>
      <c r="BP558" t="s">
        <v>92</v>
      </c>
      <c r="BQ558" t="s">
        <v>93</v>
      </c>
      <c r="BR558" t="s">
        <v>94</v>
      </c>
    </row>
    <row r="559" spans="1:70" x14ac:dyDescent="0.3">
      <c r="A559" t="str">
        <f>"200319C0300"</f>
        <v>200319C0300</v>
      </c>
      <c r="B559" t="s">
        <v>1233</v>
      </c>
      <c r="C559">
        <v>20</v>
      </c>
      <c r="D559" t="s">
        <v>88</v>
      </c>
      <c r="E559">
        <v>43</v>
      </c>
      <c r="F559" t="s">
        <v>1049</v>
      </c>
      <c r="G559">
        <v>319</v>
      </c>
      <c r="H559">
        <v>3</v>
      </c>
      <c r="I559" t="s">
        <v>98</v>
      </c>
      <c r="J559">
        <v>0</v>
      </c>
      <c r="K559">
        <v>1</v>
      </c>
      <c r="L559">
        <v>5</v>
      </c>
      <c r="M559">
        <v>277</v>
      </c>
      <c r="N559">
        <v>461</v>
      </c>
      <c r="O559">
        <v>14</v>
      </c>
      <c r="P559">
        <v>473</v>
      </c>
      <c r="Q559">
        <v>4</v>
      </c>
      <c r="R559">
        <v>69</v>
      </c>
      <c r="S559">
        <v>5</v>
      </c>
      <c r="T559">
        <v>9</v>
      </c>
      <c r="U559">
        <v>25</v>
      </c>
      <c r="V559">
        <v>2</v>
      </c>
      <c r="W559" t="s">
        <v>105</v>
      </c>
      <c r="X559">
        <v>6</v>
      </c>
      <c r="Y559">
        <v>269</v>
      </c>
      <c r="Z559">
        <v>8</v>
      </c>
      <c r="AA559">
        <v>66</v>
      </c>
      <c r="AC559" t="s">
        <v>105</v>
      </c>
      <c r="AD559" t="s">
        <v>105</v>
      </c>
      <c r="AE559" t="s">
        <v>105</v>
      </c>
      <c r="AF559" t="s">
        <v>105</v>
      </c>
      <c r="AG559" t="s">
        <v>105</v>
      </c>
      <c r="AH559" t="s">
        <v>105</v>
      </c>
      <c r="AI559">
        <v>4</v>
      </c>
      <c r="AJ559">
        <v>69</v>
      </c>
      <c r="AK559">
        <v>5</v>
      </c>
      <c r="AL559">
        <v>9</v>
      </c>
      <c r="AM559">
        <v>25</v>
      </c>
      <c r="AN559" t="s">
        <v>105</v>
      </c>
      <c r="BC559">
        <v>2</v>
      </c>
      <c r="BD559">
        <v>6</v>
      </c>
      <c r="BE559">
        <v>269</v>
      </c>
      <c r="BF559">
        <v>583</v>
      </c>
      <c r="BG559">
        <v>720</v>
      </c>
      <c r="BI559" t="s">
        <v>106</v>
      </c>
      <c r="BJ559">
        <v>1</v>
      </c>
      <c r="BL559" t="s">
        <v>1234</v>
      </c>
      <c r="BM559" s="4">
        <v>43283.109027777777</v>
      </c>
      <c r="BN559" s="4">
        <v>43283.122523148151</v>
      </c>
      <c r="BO559" s="4">
        <v>43283.122523148151</v>
      </c>
      <c r="BP559" t="s">
        <v>92</v>
      </c>
      <c r="BQ559" t="s">
        <v>93</v>
      </c>
      <c r="BR559" t="s">
        <v>94</v>
      </c>
    </row>
    <row r="560" spans="1:70" x14ac:dyDescent="0.3">
      <c r="A560" t="str">
        <f>"200319E0100"</f>
        <v>200319E0100</v>
      </c>
      <c r="B560" s="2" t="s">
        <v>1235</v>
      </c>
      <c r="C560">
        <v>20</v>
      </c>
      <c r="D560" t="s">
        <v>88</v>
      </c>
      <c r="E560">
        <v>43</v>
      </c>
      <c r="F560" t="s">
        <v>1049</v>
      </c>
      <c r="G560">
        <v>319</v>
      </c>
      <c r="H560">
        <v>1</v>
      </c>
      <c r="I560" t="s">
        <v>156</v>
      </c>
      <c r="J560">
        <v>0</v>
      </c>
      <c r="K560">
        <v>2</v>
      </c>
      <c r="L560">
        <v>5</v>
      </c>
      <c r="M560">
        <v>91</v>
      </c>
      <c r="N560">
        <v>227</v>
      </c>
      <c r="O560">
        <v>1</v>
      </c>
      <c r="P560">
        <v>227</v>
      </c>
      <c r="Q560">
        <v>0</v>
      </c>
      <c r="R560">
        <v>31</v>
      </c>
      <c r="S560">
        <v>2</v>
      </c>
      <c r="T560">
        <v>1</v>
      </c>
      <c r="U560">
        <v>6</v>
      </c>
      <c r="V560">
        <v>0</v>
      </c>
      <c r="W560">
        <v>1</v>
      </c>
      <c r="X560">
        <v>0</v>
      </c>
      <c r="Y560">
        <v>173</v>
      </c>
      <c r="Z560">
        <v>2</v>
      </c>
      <c r="AA560">
        <v>5</v>
      </c>
      <c r="AC560">
        <v>0</v>
      </c>
      <c r="AD560">
        <v>0</v>
      </c>
      <c r="AE560">
        <v>0</v>
      </c>
      <c r="AF560">
        <v>0</v>
      </c>
      <c r="AG560">
        <v>1</v>
      </c>
      <c r="AH560">
        <v>0</v>
      </c>
      <c r="AI560">
        <v>0</v>
      </c>
      <c r="AJ560">
        <v>0</v>
      </c>
      <c r="AK560">
        <v>1</v>
      </c>
      <c r="AL560">
        <v>1</v>
      </c>
      <c r="AM560">
        <v>0</v>
      </c>
      <c r="AN560">
        <v>0</v>
      </c>
      <c r="BC560">
        <v>0</v>
      </c>
      <c r="BD560">
        <v>3</v>
      </c>
      <c r="BE560">
        <v>227</v>
      </c>
      <c r="BF560">
        <v>227</v>
      </c>
      <c r="BG560">
        <v>296</v>
      </c>
      <c r="BJ560">
        <v>1</v>
      </c>
      <c r="BL560" t="s">
        <v>1236</v>
      </c>
      <c r="BM560" s="4">
        <v>43283.040972222225</v>
      </c>
      <c r="BN560" s="4">
        <v>43283.049340277779</v>
      </c>
      <c r="BO560" s="4">
        <v>43283.049340277779</v>
      </c>
      <c r="BP560" t="s">
        <v>92</v>
      </c>
      <c r="BQ560" t="s">
        <v>93</v>
      </c>
      <c r="BR560" t="s">
        <v>94</v>
      </c>
    </row>
    <row r="561" spans="1:70" x14ac:dyDescent="0.3">
      <c r="A561" t="str">
        <f>"200320B0100"</f>
        <v>200320B0100</v>
      </c>
      <c r="B561" t="s">
        <v>1237</v>
      </c>
      <c r="C561">
        <v>20</v>
      </c>
      <c r="D561" t="s">
        <v>88</v>
      </c>
      <c r="E561">
        <v>43</v>
      </c>
      <c r="F561" t="s">
        <v>1049</v>
      </c>
      <c r="G561">
        <v>320</v>
      </c>
      <c r="H561">
        <v>1</v>
      </c>
      <c r="I561" t="s">
        <v>90</v>
      </c>
      <c r="J561">
        <v>0</v>
      </c>
      <c r="K561">
        <v>1</v>
      </c>
      <c r="L561">
        <v>5</v>
      </c>
      <c r="M561">
        <v>288</v>
      </c>
      <c r="N561">
        <v>432</v>
      </c>
      <c r="O561">
        <v>2</v>
      </c>
      <c r="P561">
        <v>432</v>
      </c>
      <c r="Q561">
        <v>4</v>
      </c>
      <c r="R561">
        <v>93</v>
      </c>
      <c r="S561">
        <v>10</v>
      </c>
      <c r="T561">
        <v>7</v>
      </c>
      <c r="U561">
        <v>24</v>
      </c>
      <c r="V561">
        <v>1</v>
      </c>
      <c r="W561">
        <v>1</v>
      </c>
      <c r="X561">
        <v>1</v>
      </c>
      <c r="Y561">
        <v>189</v>
      </c>
      <c r="Z561">
        <v>3</v>
      </c>
      <c r="AA561">
        <v>86</v>
      </c>
      <c r="AC561">
        <v>0</v>
      </c>
      <c r="AD561">
        <v>0</v>
      </c>
      <c r="AE561">
        <v>0</v>
      </c>
      <c r="AF561">
        <v>0</v>
      </c>
      <c r="AG561">
        <v>1</v>
      </c>
      <c r="AH561">
        <v>0</v>
      </c>
      <c r="AI561">
        <v>0</v>
      </c>
      <c r="AJ561">
        <v>0</v>
      </c>
      <c r="AK561">
        <v>0</v>
      </c>
      <c r="AL561">
        <v>1</v>
      </c>
      <c r="AM561">
        <v>0</v>
      </c>
      <c r="AN561">
        <v>0</v>
      </c>
      <c r="BC561">
        <v>0</v>
      </c>
      <c r="BD561">
        <v>11</v>
      </c>
      <c r="BE561">
        <v>432</v>
      </c>
      <c r="BF561">
        <v>432</v>
      </c>
      <c r="BG561">
        <v>698</v>
      </c>
      <c r="BJ561">
        <v>1</v>
      </c>
      <c r="BL561" t="s">
        <v>1238</v>
      </c>
      <c r="BM561" s="4">
        <v>43283.060416666667</v>
      </c>
      <c r="BN561" s="4">
        <v>43283.066863425927</v>
      </c>
      <c r="BO561" s="4">
        <v>43283.066863425927</v>
      </c>
      <c r="BP561" t="s">
        <v>92</v>
      </c>
      <c r="BQ561" t="s">
        <v>93</v>
      </c>
      <c r="BR561" t="s">
        <v>94</v>
      </c>
    </row>
    <row r="562" spans="1:70" x14ac:dyDescent="0.3">
      <c r="A562" t="str">
        <f>"200320C0100"</f>
        <v>200320C0100</v>
      </c>
      <c r="B562" t="s">
        <v>1239</v>
      </c>
      <c r="C562">
        <v>20</v>
      </c>
      <c r="D562" t="s">
        <v>88</v>
      </c>
      <c r="E562">
        <v>43</v>
      </c>
      <c r="F562" t="s">
        <v>1049</v>
      </c>
      <c r="G562">
        <v>320</v>
      </c>
      <c r="H562">
        <v>1</v>
      </c>
      <c r="I562" t="s">
        <v>98</v>
      </c>
      <c r="J562">
        <v>0</v>
      </c>
      <c r="K562">
        <v>1</v>
      </c>
      <c r="L562">
        <v>5</v>
      </c>
      <c r="M562">
        <v>292</v>
      </c>
      <c r="N562" t="s">
        <v>105</v>
      </c>
      <c r="O562">
        <v>5</v>
      </c>
      <c r="P562" t="s">
        <v>105</v>
      </c>
      <c r="Q562" t="s">
        <v>105</v>
      </c>
      <c r="R562">
        <v>89</v>
      </c>
      <c r="S562">
        <v>12</v>
      </c>
      <c r="T562">
        <v>5</v>
      </c>
      <c r="U562">
        <v>17</v>
      </c>
      <c r="V562">
        <v>7</v>
      </c>
      <c r="W562">
        <v>3</v>
      </c>
      <c r="X562">
        <v>1</v>
      </c>
      <c r="Y562">
        <v>194</v>
      </c>
      <c r="Z562">
        <v>5</v>
      </c>
      <c r="AA562">
        <v>82</v>
      </c>
      <c r="AC562" t="s">
        <v>105</v>
      </c>
      <c r="AD562" t="s">
        <v>105</v>
      </c>
      <c r="AE562" t="s">
        <v>105</v>
      </c>
      <c r="AF562" t="s">
        <v>105</v>
      </c>
      <c r="AG562" t="s">
        <v>105</v>
      </c>
      <c r="AH562">
        <v>2</v>
      </c>
      <c r="AI562" t="s">
        <v>105</v>
      </c>
      <c r="AJ562" t="s">
        <v>105</v>
      </c>
      <c r="AK562">
        <v>3</v>
      </c>
      <c r="AL562" t="s">
        <v>105</v>
      </c>
      <c r="AM562" t="s">
        <v>105</v>
      </c>
      <c r="AN562" t="s">
        <v>105</v>
      </c>
      <c r="BC562" t="s">
        <v>105</v>
      </c>
      <c r="BD562">
        <v>13</v>
      </c>
      <c r="BE562">
        <v>430</v>
      </c>
      <c r="BF562">
        <v>433</v>
      </c>
      <c r="BG562">
        <v>697</v>
      </c>
      <c r="BI562" t="s">
        <v>106</v>
      </c>
      <c r="BJ562">
        <v>1</v>
      </c>
      <c r="BL562" s="2" t="s">
        <v>1240</v>
      </c>
      <c r="BM562" s="4">
        <v>43283.112500000003</v>
      </c>
      <c r="BN562" s="4">
        <v>43283.118750000001</v>
      </c>
      <c r="BO562" s="4">
        <v>43283.118750000001</v>
      </c>
      <c r="BP562" t="s">
        <v>92</v>
      </c>
      <c r="BQ562" t="s">
        <v>93</v>
      </c>
      <c r="BR562" t="s">
        <v>94</v>
      </c>
    </row>
    <row r="563" spans="1:70" x14ac:dyDescent="0.3">
      <c r="A563" t="str">
        <f>"200321B0100"</f>
        <v>200321B0100</v>
      </c>
      <c r="B563" t="s">
        <v>1241</v>
      </c>
      <c r="C563">
        <v>20</v>
      </c>
      <c r="D563" t="s">
        <v>88</v>
      </c>
      <c r="E563">
        <v>43</v>
      </c>
      <c r="F563" t="s">
        <v>1049</v>
      </c>
      <c r="G563">
        <v>321</v>
      </c>
      <c r="H563">
        <v>1</v>
      </c>
      <c r="I563" t="s">
        <v>90</v>
      </c>
      <c r="J563">
        <v>0</v>
      </c>
      <c r="K563">
        <v>1</v>
      </c>
      <c r="L563">
        <v>5</v>
      </c>
      <c r="BG563">
        <v>603</v>
      </c>
      <c r="BI563" t="s">
        <v>122</v>
      </c>
      <c r="BJ563">
        <v>0</v>
      </c>
      <c r="BL563" t="s">
        <v>1242</v>
      </c>
      <c r="BM563" s="4">
        <v>43283.412499999999</v>
      </c>
      <c r="BN563" s="4">
        <v>43283.416273148148</v>
      </c>
      <c r="BO563" s="4">
        <v>43283.416273148148</v>
      </c>
      <c r="BP563" t="s">
        <v>92</v>
      </c>
      <c r="BQ563" t="s">
        <v>93</v>
      </c>
      <c r="BR563" t="s">
        <v>94</v>
      </c>
    </row>
    <row r="564" spans="1:70" x14ac:dyDescent="0.3">
      <c r="A564" t="str">
        <f>"200321C0100"</f>
        <v>200321C0100</v>
      </c>
      <c r="B564" t="s">
        <v>1243</v>
      </c>
      <c r="C564">
        <v>20</v>
      </c>
      <c r="D564" t="s">
        <v>88</v>
      </c>
      <c r="E564">
        <v>43</v>
      </c>
      <c r="F564" t="s">
        <v>1049</v>
      </c>
      <c r="G564">
        <v>321</v>
      </c>
      <c r="H564">
        <v>1</v>
      </c>
      <c r="I564" t="s">
        <v>98</v>
      </c>
      <c r="J564">
        <v>0</v>
      </c>
      <c r="K564">
        <v>1</v>
      </c>
      <c r="L564">
        <v>5</v>
      </c>
      <c r="M564" t="s">
        <v>105</v>
      </c>
      <c r="N564" t="s">
        <v>105</v>
      </c>
      <c r="O564" t="s">
        <v>105</v>
      </c>
      <c r="P564" t="s">
        <v>105</v>
      </c>
      <c r="Q564" t="s">
        <v>105</v>
      </c>
      <c r="R564" t="s">
        <v>105</v>
      </c>
      <c r="S564" t="s">
        <v>105</v>
      </c>
      <c r="T564" t="s">
        <v>105</v>
      </c>
      <c r="U564" t="s">
        <v>105</v>
      </c>
      <c r="V564" t="s">
        <v>105</v>
      </c>
      <c r="W564" t="s">
        <v>105</v>
      </c>
      <c r="X564" t="s">
        <v>105</v>
      </c>
      <c r="Y564" t="s">
        <v>105</v>
      </c>
      <c r="Z564" t="s">
        <v>105</v>
      </c>
      <c r="AA564" t="s">
        <v>105</v>
      </c>
      <c r="AC564" t="s">
        <v>105</v>
      </c>
      <c r="AD564" t="s">
        <v>105</v>
      </c>
      <c r="AE564" t="s">
        <v>105</v>
      </c>
      <c r="AF564" t="s">
        <v>105</v>
      </c>
      <c r="AG564" t="s">
        <v>105</v>
      </c>
      <c r="AH564" t="s">
        <v>105</v>
      </c>
      <c r="AI564" t="s">
        <v>105</v>
      </c>
      <c r="AJ564" t="s">
        <v>105</v>
      </c>
      <c r="AK564" t="s">
        <v>105</v>
      </c>
      <c r="AL564" t="s">
        <v>105</v>
      </c>
      <c r="AM564" t="s">
        <v>105</v>
      </c>
      <c r="AN564" t="s">
        <v>105</v>
      </c>
      <c r="BC564" t="s">
        <v>105</v>
      </c>
      <c r="BD564" t="s">
        <v>105</v>
      </c>
      <c r="BG564">
        <v>603</v>
      </c>
      <c r="BI564" t="s">
        <v>1244</v>
      </c>
      <c r="BJ564">
        <v>0</v>
      </c>
      <c r="BL564" t="s">
        <v>1245</v>
      </c>
      <c r="BM564" s="4">
        <v>43283.111805555556</v>
      </c>
      <c r="BN564" s="4">
        <v>43283.125694444447</v>
      </c>
      <c r="BO564" s="4">
        <v>43283.125694444447</v>
      </c>
      <c r="BP564" t="s">
        <v>92</v>
      </c>
      <c r="BQ564" t="s">
        <v>93</v>
      </c>
      <c r="BR564" t="s">
        <v>94</v>
      </c>
    </row>
    <row r="565" spans="1:70" x14ac:dyDescent="0.3">
      <c r="A565" t="str">
        <f>"200321C0200"</f>
        <v>200321C0200</v>
      </c>
      <c r="B565" t="s">
        <v>1246</v>
      </c>
      <c r="C565">
        <v>20</v>
      </c>
      <c r="D565" t="s">
        <v>88</v>
      </c>
      <c r="E565">
        <v>43</v>
      </c>
      <c r="F565" t="s">
        <v>1049</v>
      </c>
      <c r="G565">
        <v>321</v>
      </c>
      <c r="H565">
        <v>2</v>
      </c>
      <c r="I565" t="s">
        <v>98</v>
      </c>
      <c r="J565">
        <v>0</v>
      </c>
      <c r="K565">
        <v>1</v>
      </c>
      <c r="L565">
        <v>5</v>
      </c>
      <c r="M565">
        <v>269</v>
      </c>
      <c r="N565" t="s">
        <v>105</v>
      </c>
      <c r="O565" t="s">
        <v>105</v>
      </c>
      <c r="P565">
        <v>356</v>
      </c>
      <c r="Q565">
        <v>3</v>
      </c>
      <c r="R565">
        <v>76</v>
      </c>
      <c r="S565">
        <v>5</v>
      </c>
      <c r="T565">
        <v>12</v>
      </c>
      <c r="U565">
        <v>5</v>
      </c>
      <c r="V565">
        <v>1</v>
      </c>
      <c r="W565">
        <v>0</v>
      </c>
      <c r="X565">
        <v>2</v>
      </c>
      <c r="Y565">
        <v>157</v>
      </c>
      <c r="Z565">
        <v>2</v>
      </c>
      <c r="AA565">
        <v>69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1</v>
      </c>
      <c r="AM565">
        <v>0</v>
      </c>
      <c r="AN565">
        <v>2</v>
      </c>
      <c r="BC565">
        <v>0</v>
      </c>
      <c r="BD565">
        <v>21</v>
      </c>
      <c r="BE565">
        <v>356</v>
      </c>
      <c r="BF565">
        <v>356</v>
      </c>
      <c r="BG565">
        <v>603</v>
      </c>
      <c r="BJ565">
        <v>1</v>
      </c>
      <c r="BL565" s="2" t="s">
        <v>1247</v>
      </c>
      <c r="BM565" s="4">
        <v>43283.111111111109</v>
      </c>
      <c r="BN565" s="4">
        <v>43283.116620370369</v>
      </c>
      <c r="BO565" s="4">
        <v>43283.116620370369</v>
      </c>
      <c r="BP565" t="s">
        <v>92</v>
      </c>
      <c r="BQ565" t="s">
        <v>93</v>
      </c>
      <c r="BR565" t="s">
        <v>94</v>
      </c>
    </row>
    <row r="566" spans="1:70" x14ac:dyDescent="0.3">
      <c r="A566" t="str">
        <f>"200322B0100"</f>
        <v>200322B0100</v>
      </c>
      <c r="B566" t="s">
        <v>1248</v>
      </c>
      <c r="C566">
        <v>20</v>
      </c>
      <c r="D566" t="s">
        <v>88</v>
      </c>
      <c r="E566">
        <v>43</v>
      </c>
      <c r="F566" t="s">
        <v>1049</v>
      </c>
      <c r="G566">
        <v>322</v>
      </c>
      <c r="H566">
        <v>1</v>
      </c>
      <c r="I566" t="s">
        <v>90</v>
      </c>
      <c r="J566">
        <v>0</v>
      </c>
      <c r="K566">
        <v>1</v>
      </c>
      <c r="L566">
        <v>5</v>
      </c>
      <c r="BG566">
        <v>645</v>
      </c>
      <c r="BI566" t="s">
        <v>122</v>
      </c>
      <c r="BJ566">
        <v>0</v>
      </c>
      <c r="BL566" t="s">
        <v>1249</v>
      </c>
      <c r="BM566" s="4">
        <v>43283.411805555559</v>
      </c>
      <c r="BN566" s="4">
        <v>43283.415196759262</v>
      </c>
      <c r="BO566" s="4">
        <v>43283.415196759262</v>
      </c>
      <c r="BP566" t="s">
        <v>92</v>
      </c>
      <c r="BQ566" t="s">
        <v>93</v>
      </c>
      <c r="BR566" t="s">
        <v>94</v>
      </c>
    </row>
    <row r="567" spans="1:70" x14ac:dyDescent="0.3">
      <c r="A567" t="str">
        <f>"200322C0100"</f>
        <v>200322C0100</v>
      </c>
      <c r="B567" t="s">
        <v>1250</v>
      </c>
      <c r="C567">
        <v>20</v>
      </c>
      <c r="D567" t="s">
        <v>88</v>
      </c>
      <c r="E567">
        <v>43</v>
      </c>
      <c r="F567" t="s">
        <v>1049</v>
      </c>
      <c r="G567">
        <v>322</v>
      </c>
      <c r="H567">
        <v>1</v>
      </c>
      <c r="I567" t="s">
        <v>98</v>
      </c>
      <c r="J567">
        <v>0</v>
      </c>
      <c r="K567">
        <v>1</v>
      </c>
      <c r="L567">
        <v>5</v>
      </c>
      <c r="BG567">
        <v>644</v>
      </c>
      <c r="BI567" t="s">
        <v>122</v>
      </c>
      <c r="BJ567">
        <v>0</v>
      </c>
      <c r="BL567" t="s">
        <v>1251</v>
      </c>
      <c r="BM567" s="4">
        <v>43283.411805555559</v>
      </c>
      <c r="BN567" s="4">
        <v>43283.415358796294</v>
      </c>
      <c r="BO567" s="4">
        <v>43283.415358796294</v>
      </c>
      <c r="BP567" t="s">
        <v>92</v>
      </c>
      <c r="BQ567" t="s">
        <v>93</v>
      </c>
      <c r="BR567" t="s">
        <v>94</v>
      </c>
    </row>
    <row r="568" spans="1:70" x14ac:dyDescent="0.3">
      <c r="A568" t="str">
        <f>"200322C0200"</f>
        <v>200322C0200</v>
      </c>
      <c r="B568" t="s">
        <v>1252</v>
      </c>
      <c r="C568">
        <v>20</v>
      </c>
      <c r="D568" t="s">
        <v>88</v>
      </c>
      <c r="E568">
        <v>43</v>
      </c>
      <c r="F568" t="s">
        <v>1049</v>
      </c>
      <c r="G568">
        <v>322</v>
      </c>
      <c r="H568">
        <v>2</v>
      </c>
      <c r="I568" t="s">
        <v>98</v>
      </c>
      <c r="J568">
        <v>0</v>
      </c>
      <c r="K568">
        <v>1</v>
      </c>
      <c r="L568">
        <v>5</v>
      </c>
      <c r="BG568">
        <v>644</v>
      </c>
      <c r="BI568" t="s">
        <v>122</v>
      </c>
      <c r="BJ568">
        <v>0</v>
      </c>
      <c r="BL568" t="s">
        <v>1253</v>
      </c>
      <c r="BM568" s="4">
        <v>43283.411111111112</v>
      </c>
      <c r="BN568" s="4">
        <v>43283.415601851855</v>
      </c>
      <c r="BO568" s="4">
        <v>43283.415601851855</v>
      </c>
      <c r="BP568" t="s">
        <v>92</v>
      </c>
      <c r="BQ568" t="s">
        <v>93</v>
      </c>
      <c r="BR568" t="s">
        <v>94</v>
      </c>
    </row>
    <row r="569" spans="1:70" x14ac:dyDescent="0.3">
      <c r="A569" t="str">
        <f>"200322C0300"</f>
        <v>200322C0300</v>
      </c>
      <c r="B569" t="s">
        <v>1254</v>
      </c>
      <c r="C569">
        <v>20</v>
      </c>
      <c r="D569" t="s">
        <v>88</v>
      </c>
      <c r="E569">
        <v>43</v>
      </c>
      <c r="F569" t="s">
        <v>1049</v>
      </c>
      <c r="G569">
        <v>322</v>
      </c>
      <c r="H569">
        <v>3</v>
      </c>
      <c r="I569" t="s">
        <v>98</v>
      </c>
      <c r="J569">
        <v>0</v>
      </c>
      <c r="K569">
        <v>1</v>
      </c>
      <c r="L569">
        <v>5</v>
      </c>
      <c r="BG569">
        <v>644</v>
      </c>
      <c r="BI569" t="s">
        <v>122</v>
      </c>
      <c r="BJ569">
        <v>0</v>
      </c>
      <c r="BL569" t="s">
        <v>1255</v>
      </c>
      <c r="BM569" s="4">
        <v>43283.411111111112</v>
      </c>
      <c r="BN569" s="4">
        <v>43283.415150462963</v>
      </c>
      <c r="BO569" s="4">
        <v>43283.415150462963</v>
      </c>
      <c r="BP569" t="s">
        <v>92</v>
      </c>
      <c r="BQ569" t="s">
        <v>93</v>
      </c>
      <c r="BR569" t="s">
        <v>94</v>
      </c>
    </row>
    <row r="570" spans="1:70" x14ac:dyDescent="0.3">
      <c r="A570" t="str">
        <f>"200323B0100"</f>
        <v>200323B0100</v>
      </c>
      <c r="B570" t="s">
        <v>1256</v>
      </c>
      <c r="C570">
        <v>20</v>
      </c>
      <c r="D570" t="s">
        <v>88</v>
      </c>
      <c r="E570">
        <v>43</v>
      </c>
      <c r="F570" t="s">
        <v>1049</v>
      </c>
      <c r="G570">
        <v>323</v>
      </c>
      <c r="H570">
        <v>1</v>
      </c>
      <c r="I570" t="s">
        <v>90</v>
      </c>
      <c r="J570">
        <v>0</v>
      </c>
      <c r="K570">
        <v>1</v>
      </c>
      <c r="L570">
        <v>5</v>
      </c>
      <c r="M570">
        <v>166</v>
      </c>
      <c r="N570">
        <v>327</v>
      </c>
      <c r="O570">
        <v>0</v>
      </c>
      <c r="P570">
        <v>327</v>
      </c>
      <c r="Q570">
        <v>2</v>
      </c>
      <c r="R570">
        <v>180</v>
      </c>
      <c r="S570">
        <v>7</v>
      </c>
      <c r="T570">
        <v>0</v>
      </c>
      <c r="U570">
        <v>6</v>
      </c>
      <c r="V570">
        <v>0</v>
      </c>
      <c r="W570">
        <v>2</v>
      </c>
      <c r="X570">
        <v>1</v>
      </c>
      <c r="Y570">
        <v>106</v>
      </c>
      <c r="Z570">
        <v>3</v>
      </c>
      <c r="AA570">
        <v>12</v>
      </c>
      <c r="AC570" t="s">
        <v>127</v>
      </c>
      <c r="AD570">
        <v>0</v>
      </c>
      <c r="AE570">
        <v>0</v>
      </c>
      <c r="AF570">
        <v>0</v>
      </c>
      <c r="AG570">
        <v>1</v>
      </c>
      <c r="AH570">
        <v>0</v>
      </c>
      <c r="AI570">
        <v>0</v>
      </c>
      <c r="AJ570">
        <v>0</v>
      </c>
      <c r="AK570">
        <v>1</v>
      </c>
      <c r="AL570">
        <v>0</v>
      </c>
      <c r="AM570">
        <v>0</v>
      </c>
      <c r="AN570">
        <v>0</v>
      </c>
      <c r="BC570">
        <v>0</v>
      </c>
      <c r="BD570" t="s">
        <v>127</v>
      </c>
      <c r="BE570">
        <v>327</v>
      </c>
      <c r="BF570">
        <v>321</v>
      </c>
      <c r="BG570">
        <v>474</v>
      </c>
      <c r="BI570" t="s">
        <v>106</v>
      </c>
      <c r="BJ570">
        <v>1</v>
      </c>
      <c r="BL570" t="s">
        <v>1257</v>
      </c>
      <c r="BM570" s="4">
        <v>43283.154861111114</v>
      </c>
      <c r="BN570" s="4">
        <v>43283.177604166667</v>
      </c>
      <c r="BO570" s="4">
        <v>43283.177604166667</v>
      </c>
      <c r="BP570" t="s">
        <v>92</v>
      </c>
      <c r="BQ570" t="s">
        <v>93</v>
      </c>
      <c r="BR570" t="s">
        <v>94</v>
      </c>
    </row>
    <row r="571" spans="1:70" x14ac:dyDescent="0.3">
      <c r="A571" t="str">
        <f>"200323C0100"</f>
        <v>200323C0100</v>
      </c>
      <c r="B571" t="s">
        <v>1258</v>
      </c>
      <c r="C571">
        <v>20</v>
      </c>
      <c r="D571" t="s">
        <v>88</v>
      </c>
      <c r="E571">
        <v>43</v>
      </c>
      <c r="F571" t="s">
        <v>1049</v>
      </c>
      <c r="G571">
        <v>323</v>
      </c>
      <c r="H571">
        <v>1</v>
      </c>
      <c r="I571" t="s">
        <v>98</v>
      </c>
      <c r="J571">
        <v>0</v>
      </c>
      <c r="K571">
        <v>1</v>
      </c>
      <c r="L571">
        <v>5</v>
      </c>
      <c r="M571">
        <v>199</v>
      </c>
      <c r="N571">
        <v>297</v>
      </c>
      <c r="O571">
        <v>1</v>
      </c>
      <c r="P571">
        <v>297</v>
      </c>
      <c r="Q571">
        <v>0</v>
      </c>
      <c r="R571">
        <v>115</v>
      </c>
      <c r="S571">
        <v>6</v>
      </c>
      <c r="T571">
        <v>3</v>
      </c>
      <c r="U571">
        <v>6</v>
      </c>
      <c r="V571">
        <v>2</v>
      </c>
      <c r="W571">
        <v>3</v>
      </c>
      <c r="X571">
        <v>5</v>
      </c>
      <c r="Y571">
        <v>133</v>
      </c>
      <c r="Z571">
        <v>4</v>
      </c>
      <c r="AA571">
        <v>6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BC571">
        <v>0</v>
      </c>
      <c r="BD571">
        <v>14</v>
      </c>
      <c r="BE571">
        <v>297</v>
      </c>
      <c r="BF571">
        <v>297</v>
      </c>
      <c r="BG571">
        <v>474</v>
      </c>
      <c r="BJ571">
        <v>1</v>
      </c>
      <c r="BL571" t="s">
        <v>1259</v>
      </c>
      <c r="BM571" s="4">
        <v>43283.147222222222</v>
      </c>
      <c r="BN571" s="4">
        <v>43283.157175925924</v>
      </c>
      <c r="BO571" s="4">
        <v>43283.157175925924</v>
      </c>
      <c r="BP571" t="s">
        <v>92</v>
      </c>
      <c r="BQ571" t="s">
        <v>93</v>
      </c>
      <c r="BR571" t="s">
        <v>94</v>
      </c>
    </row>
    <row r="572" spans="1:70" x14ac:dyDescent="0.3">
      <c r="A572" t="str">
        <f>"200324B0100"</f>
        <v>200324B0100</v>
      </c>
      <c r="B572" t="s">
        <v>1260</v>
      </c>
      <c r="C572">
        <v>20</v>
      </c>
      <c r="D572" t="s">
        <v>88</v>
      </c>
      <c r="E572">
        <v>43</v>
      </c>
      <c r="F572" t="s">
        <v>1049</v>
      </c>
      <c r="G572">
        <v>324</v>
      </c>
      <c r="H572">
        <v>1</v>
      </c>
      <c r="I572" t="s">
        <v>90</v>
      </c>
      <c r="J572">
        <v>0</v>
      </c>
      <c r="K572">
        <v>1</v>
      </c>
      <c r="L572">
        <v>5</v>
      </c>
      <c r="M572">
        <v>130</v>
      </c>
      <c r="N572">
        <v>269</v>
      </c>
      <c r="O572">
        <v>3</v>
      </c>
      <c r="P572">
        <v>269</v>
      </c>
      <c r="Q572">
        <v>0</v>
      </c>
      <c r="R572">
        <v>131</v>
      </c>
      <c r="S572">
        <v>3</v>
      </c>
      <c r="T572">
        <v>1</v>
      </c>
      <c r="U572">
        <v>5</v>
      </c>
      <c r="V572">
        <v>0</v>
      </c>
      <c r="W572">
        <v>12</v>
      </c>
      <c r="X572">
        <v>3</v>
      </c>
      <c r="Y572">
        <v>106</v>
      </c>
      <c r="Z572">
        <v>1</v>
      </c>
      <c r="AA572">
        <v>3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BC572">
        <v>0</v>
      </c>
      <c r="BD572">
        <v>4</v>
      </c>
      <c r="BE572">
        <v>269</v>
      </c>
      <c r="BF572">
        <v>269</v>
      </c>
      <c r="BG572">
        <v>377</v>
      </c>
      <c r="BJ572">
        <v>1</v>
      </c>
      <c r="BL572" t="s">
        <v>1261</v>
      </c>
      <c r="BM572" s="4">
        <v>43283.145138888889</v>
      </c>
      <c r="BN572" s="4">
        <v>43283.152974537035</v>
      </c>
      <c r="BO572" s="4">
        <v>43283.152974537035</v>
      </c>
      <c r="BP572" t="s">
        <v>92</v>
      </c>
      <c r="BQ572" t="s">
        <v>93</v>
      </c>
      <c r="BR572" t="s">
        <v>94</v>
      </c>
    </row>
    <row r="573" spans="1:70" x14ac:dyDescent="0.3">
      <c r="A573" t="str">
        <f>"200324C0100"</f>
        <v>200324C0100</v>
      </c>
      <c r="B573" t="s">
        <v>1262</v>
      </c>
      <c r="C573">
        <v>20</v>
      </c>
      <c r="D573" t="s">
        <v>88</v>
      </c>
      <c r="E573">
        <v>43</v>
      </c>
      <c r="F573" t="s">
        <v>1049</v>
      </c>
      <c r="G573">
        <v>324</v>
      </c>
      <c r="H573">
        <v>1</v>
      </c>
      <c r="I573" t="s">
        <v>98</v>
      </c>
      <c r="J573">
        <v>0</v>
      </c>
      <c r="K573">
        <v>1</v>
      </c>
      <c r="L573">
        <v>5</v>
      </c>
      <c r="M573">
        <v>157</v>
      </c>
      <c r="N573">
        <v>243</v>
      </c>
      <c r="O573">
        <v>1</v>
      </c>
      <c r="P573">
        <v>242</v>
      </c>
      <c r="Q573" t="s">
        <v>105</v>
      </c>
      <c r="R573">
        <v>128</v>
      </c>
      <c r="S573">
        <v>6</v>
      </c>
      <c r="T573">
        <v>0</v>
      </c>
      <c r="U573">
        <v>0</v>
      </c>
      <c r="V573">
        <v>0</v>
      </c>
      <c r="W573">
        <v>4</v>
      </c>
      <c r="X573">
        <v>0</v>
      </c>
      <c r="Y573">
        <v>95</v>
      </c>
      <c r="Z573">
        <v>0</v>
      </c>
      <c r="AA573">
        <v>5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BC573">
        <v>0</v>
      </c>
      <c r="BD573">
        <v>4</v>
      </c>
      <c r="BE573">
        <v>242</v>
      </c>
      <c r="BF573">
        <v>242</v>
      </c>
      <c r="BG573">
        <v>377</v>
      </c>
      <c r="BI573" t="s">
        <v>106</v>
      </c>
      <c r="BJ573">
        <v>1</v>
      </c>
      <c r="BL573" t="s">
        <v>1263</v>
      </c>
      <c r="BM573" s="4">
        <v>43283.14166666667</v>
      </c>
      <c r="BN573" s="4">
        <v>43283.147245370368</v>
      </c>
      <c r="BO573" s="4">
        <v>43283.147245370368</v>
      </c>
      <c r="BP573" t="s">
        <v>92</v>
      </c>
      <c r="BQ573" t="s">
        <v>93</v>
      </c>
      <c r="BR573" t="s">
        <v>94</v>
      </c>
    </row>
    <row r="574" spans="1:70" x14ac:dyDescent="0.3">
      <c r="A574" t="str">
        <f>"200325B0100"</f>
        <v>200325B0100</v>
      </c>
      <c r="B574" t="s">
        <v>1264</v>
      </c>
      <c r="C574">
        <v>20</v>
      </c>
      <c r="D574" t="s">
        <v>88</v>
      </c>
      <c r="E574">
        <v>43</v>
      </c>
      <c r="F574" t="s">
        <v>1049</v>
      </c>
      <c r="G574">
        <v>325</v>
      </c>
      <c r="H574">
        <v>1</v>
      </c>
      <c r="I574" t="s">
        <v>90</v>
      </c>
      <c r="J574">
        <v>0</v>
      </c>
      <c r="K574">
        <v>1</v>
      </c>
      <c r="L574">
        <v>5</v>
      </c>
      <c r="M574">
        <v>191</v>
      </c>
      <c r="N574">
        <v>440</v>
      </c>
      <c r="O574">
        <v>0</v>
      </c>
      <c r="P574">
        <v>441</v>
      </c>
      <c r="Q574">
        <v>0</v>
      </c>
      <c r="R574">
        <v>283</v>
      </c>
      <c r="S574">
        <v>2</v>
      </c>
      <c r="T574">
        <v>2</v>
      </c>
      <c r="U574">
        <v>10</v>
      </c>
      <c r="V574">
        <v>1</v>
      </c>
      <c r="W574">
        <v>0</v>
      </c>
      <c r="X574">
        <v>5</v>
      </c>
      <c r="Y574">
        <v>113</v>
      </c>
      <c r="Z574">
        <v>2</v>
      </c>
      <c r="AA574">
        <v>5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2</v>
      </c>
      <c r="AI574">
        <v>0</v>
      </c>
      <c r="AJ574">
        <v>0</v>
      </c>
      <c r="AK574">
        <v>1</v>
      </c>
      <c r="AL574">
        <v>0</v>
      </c>
      <c r="AM574">
        <v>0</v>
      </c>
      <c r="AN574">
        <v>0</v>
      </c>
      <c r="BC574">
        <v>0</v>
      </c>
      <c r="BD574">
        <v>15</v>
      </c>
      <c r="BE574">
        <v>441</v>
      </c>
      <c r="BF574">
        <v>441</v>
      </c>
      <c r="BG574">
        <v>610</v>
      </c>
      <c r="BJ574">
        <v>1</v>
      </c>
      <c r="BL574" t="s">
        <v>1265</v>
      </c>
      <c r="BM574" s="4">
        <v>43282.980034722219</v>
      </c>
      <c r="BN574" s="4">
        <v>43282.984513888892</v>
      </c>
      <c r="BO574" s="4">
        <v>43282.984513888892</v>
      </c>
      <c r="BP574" t="s">
        <v>339</v>
      </c>
      <c r="BQ574" t="s">
        <v>340</v>
      </c>
      <c r="BR574" t="s">
        <v>94</v>
      </c>
    </row>
    <row r="575" spans="1:70" x14ac:dyDescent="0.3">
      <c r="A575" t="str">
        <f>"200325C0100"</f>
        <v>200325C0100</v>
      </c>
      <c r="B575" t="s">
        <v>1266</v>
      </c>
      <c r="C575">
        <v>20</v>
      </c>
      <c r="D575" t="s">
        <v>88</v>
      </c>
      <c r="E575">
        <v>43</v>
      </c>
      <c r="F575" t="s">
        <v>1049</v>
      </c>
      <c r="G575">
        <v>325</v>
      </c>
      <c r="H575">
        <v>1</v>
      </c>
      <c r="I575" t="s">
        <v>98</v>
      </c>
      <c r="J575">
        <v>0</v>
      </c>
      <c r="K575">
        <v>1</v>
      </c>
      <c r="L575">
        <v>5</v>
      </c>
      <c r="M575">
        <v>196</v>
      </c>
      <c r="N575">
        <v>436</v>
      </c>
      <c r="O575">
        <v>3</v>
      </c>
      <c r="P575">
        <v>436</v>
      </c>
      <c r="Q575">
        <v>1</v>
      </c>
      <c r="R575">
        <v>275</v>
      </c>
      <c r="S575">
        <v>1</v>
      </c>
      <c r="T575">
        <v>3</v>
      </c>
      <c r="U575">
        <v>10</v>
      </c>
      <c r="V575">
        <v>0</v>
      </c>
      <c r="W575">
        <v>1</v>
      </c>
      <c r="X575">
        <v>7</v>
      </c>
      <c r="Y575">
        <v>114</v>
      </c>
      <c r="Z575">
        <v>2</v>
      </c>
      <c r="AA575">
        <v>15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2</v>
      </c>
      <c r="AI575">
        <v>0</v>
      </c>
      <c r="AJ575">
        <v>0</v>
      </c>
      <c r="AK575">
        <v>3</v>
      </c>
      <c r="AL575">
        <v>0</v>
      </c>
      <c r="AM575">
        <v>0</v>
      </c>
      <c r="AN575">
        <v>0</v>
      </c>
      <c r="BC575">
        <v>0</v>
      </c>
      <c r="BD575">
        <v>2</v>
      </c>
      <c r="BE575">
        <v>436</v>
      </c>
      <c r="BF575">
        <v>436</v>
      </c>
      <c r="BG575">
        <v>610</v>
      </c>
      <c r="BJ575">
        <v>1</v>
      </c>
      <c r="BL575" t="s">
        <v>1267</v>
      </c>
      <c r="BM575" s="4">
        <v>43282.959479166668</v>
      </c>
      <c r="BN575" s="4">
        <v>43282.965289351851</v>
      </c>
      <c r="BO575" s="4">
        <v>43282.965289351851</v>
      </c>
      <c r="BP575" t="s">
        <v>339</v>
      </c>
      <c r="BQ575" t="s">
        <v>340</v>
      </c>
      <c r="BR575" t="s">
        <v>94</v>
      </c>
    </row>
    <row r="576" spans="1:70" x14ac:dyDescent="0.3">
      <c r="A576" t="str">
        <f>"200325C0200"</f>
        <v>200325C0200</v>
      </c>
      <c r="B576" t="s">
        <v>1268</v>
      </c>
      <c r="C576">
        <v>20</v>
      </c>
      <c r="D576" t="s">
        <v>88</v>
      </c>
      <c r="E576">
        <v>43</v>
      </c>
      <c r="F576" t="s">
        <v>1049</v>
      </c>
      <c r="G576">
        <v>325</v>
      </c>
      <c r="H576">
        <v>2</v>
      </c>
      <c r="I576" t="s">
        <v>98</v>
      </c>
      <c r="J576">
        <v>0</v>
      </c>
      <c r="K576">
        <v>1</v>
      </c>
      <c r="L576">
        <v>5</v>
      </c>
      <c r="M576">
        <v>198</v>
      </c>
      <c r="N576">
        <v>433</v>
      </c>
      <c r="O576">
        <v>1</v>
      </c>
      <c r="P576">
        <v>433</v>
      </c>
      <c r="Q576">
        <v>3</v>
      </c>
      <c r="R576">
        <v>266</v>
      </c>
      <c r="S576">
        <v>0</v>
      </c>
      <c r="T576">
        <v>5</v>
      </c>
      <c r="U576">
        <v>8</v>
      </c>
      <c r="V576">
        <v>0</v>
      </c>
      <c r="W576">
        <v>0</v>
      </c>
      <c r="X576">
        <v>8</v>
      </c>
      <c r="Y576">
        <v>112</v>
      </c>
      <c r="Z576">
        <v>2</v>
      </c>
      <c r="AA576">
        <v>12</v>
      </c>
      <c r="AC576">
        <v>0</v>
      </c>
      <c r="AD576">
        <v>0</v>
      </c>
      <c r="AE576">
        <v>0</v>
      </c>
      <c r="AF576">
        <v>0</v>
      </c>
      <c r="AG576">
        <v>3</v>
      </c>
      <c r="AH576">
        <v>2</v>
      </c>
      <c r="AI576">
        <v>0</v>
      </c>
      <c r="AJ576">
        <v>0</v>
      </c>
      <c r="AK576">
        <v>4</v>
      </c>
      <c r="AL576">
        <v>0</v>
      </c>
      <c r="AM576">
        <v>0</v>
      </c>
      <c r="AN576">
        <v>0</v>
      </c>
      <c r="BC576" t="s">
        <v>105</v>
      </c>
      <c r="BD576">
        <v>8</v>
      </c>
      <c r="BE576">
        <v>433</v>
      </c>
      <c r="BF576">
        <v>433</v>
      </c>
      <c r="BG576">
        <v>609</v>
      </c>
      <c r="BI576" t="s">
        <v>106</v>
      </c>
      <c r="BJ576">
        <v>1</v>
      </c>
      <c r="BL576" t="s">
        <v>1269</v>
      </c>
      <c r="BM576" s="4">
        <v>43283.205555555556</v>
      </c>
      <c r="BN576" s="4">
        <v>43283.223969907405</v>
      </c>
      <c r="BO576" s="4">
        <v>43283.223969907405</v>
      </c>
      <c r="BP576" t="s">
        <v>92</v>
      </c>
      <c r="BQ576" t="s">
        <v>93</v>
      </c>
      <c r="BR576" t="s">
        <v>94</v>
      </c>
    </row>
    <row r="577" spans="1:70" x14ac:dyDescent="0.3">
      <c r="A577" t="str">
        <f>"200326B0100"</f>
        <v>200326B0100</v>
      </c>
      <c r="B577" t="s">
        <v>1270</v>
      </c>
      <c r="C577">
        <v>20</v>
      </c>
      <c r="D577" t="s">
        <v>88</v>
      </c>
      <c r="E577">
        <v>43</v>
      </c>
      <c r="F577" t="s">
        <v>1049</v>
      </c>
      <c r="G577">
        <v>326</v>
      </c>
      <c r="H577">
        <v>1</v>
      </c>
      <c r="I577" t="s">
        <v>90</v>
      </c>
      <c r="J577">
        <v>0</v>
      </c>
      <c r="K577">
        <v>1</v>
      </c>
      <c r="L577">
        <v>5</v>
      </c>
      <c r="M577">
        <v>266</v>
      </c>
      <c r="N577">
        <v>477</v>
      </c>
      <c r="O577">
        <v>4</v>
      </c>
      <c r="P577">
        <v>473</v>
      </c>
      <c r="Q577">
        <v>2</v>
      </c>
      <c r="R577">
        <v>293</v>
      </c>
      <c r="S577">
        <v>6</v>
      </c>
      <c r="T577">
        <v>2</v>
      </c>
      <c r="U577">
        <v>13</v>
      </c>
      <c r="V577">
        <v>0</v>
      </c>
      <c r="W577">
        <v>0</v>
      </c>
      <c r="X577">
        <v>7</v>
      </c>
      <c r="Y577">
        <v>121</v>
      </c>
      <c r="Z577">
        <v>8</v>
      </c>
      <c r="AA577">
        <v>6</v>
      </c>
      <c r="AC577">
        <v>0</v>
      </c>
      <c r="AD577">
        <v>0</v>
      </c>
      <c r="AE577">
        <v>0</v>
      </c>
      <c r="AF577">
        <v>0</v>
      </c>
      <c r="AG577">
        <v>1</v>
      </c>
      <c r="AH577">
        <v>3</v>
      </c>
      <c r="AI577">
        <v>0</v>
      </c>
      <c r="AJ577">
        <v>0</v>
      </c>
      <c r="AK577">
        <v>2</v>
      </c>
      <c r="AL577">
        <v>3</v>
      </c>
      <c r="AM577">
        <v>0</v>
      </c>
      <c r="AN577">
        <v>0</v>
      </c>
      <c r="BC577">
        <v>0</v>
      </c>
      <c r="BD577">
        <v>6</v>
      </c>
      <c r="BE577" t="s">
        <v>105</v>
      </c>
      <c r="BF577">
        <v>473</v>
      </c>
      <c r="BG577">
        <v>712</v>
      </c>
      <c r="BJ577">
        <v>1</v>
      </c>
      <c r="BL577" t="s">
        <v>1271</v>
      </c>
      <c r="BM577" s="4">
        <v>43283.197916666664</v>
      </c>
      <c r="BN577" s="4">
        <v>43283.214513888888</v>
      </c>
      <c r="BO577" s="4">
        <v>43283.214513888888</v>
      </c>
      <c r="BP577" t="s">
        <v>92</v>
      </c>
      <c r="BQ577" t="s">
        <v>93</v>
      </c>
      <c r="BR577" t="s">
        <v>94</v>
      </c>
    </row>
    <row r="578" spans="1:70" x14ac:dyDescent="0.3">
      <c r="A578" t="str">
        <f>"200326C0100"</f>
        <v>200326C0100</v>
      </c>
      <c r="B578" t="s">
        <v>1272</v>
      </c>
      <c r="C578">
        <v>20</v>
      </c>
      <c r="D578" t="s">
        <v>88</v>
      </c>
      <c r="E578">
        <v>43</v>
      </c>
      <c r="F578" t="s">
        <v>1049</v>
      </c>
      <c r="G578">
        <v>326</v>
      </c>
      <c r="H578">
        <v>1</v>
      </c>
      <c r="I578" t="s">
        <v>98</v>
      </c>
      <c r="J578">
        <v>0</v>
      </c>
      <c r="K578">
        <v>1</v>
      </c>
      <c r="L578">
        <v>5</v>
      </c>
      <c r="M578">
        <v>242</v>
      </c>
      <c r="N578" t="s">
        <v>105</v>
      </c>
      <c r="O578" t="s">
        <v>105</v>
      </c>
      <c r="P578" t="s">
        <v>105</v>
      </c>
      <c r="Q578">
        <v>2</v>
      </c>
      <c r="R578">
        <v>304</v>
      </c>
      <c r="S578">
        <v>6</v>
      </c>
      <c r="T578">
        <v>4</v>
      </c>
      <c r="U578">
        <v>21</v>
      </c>
      <c r="V578">
        <v>0</v>
      </c>
      <c r="W578" t="s">
        <v>105</v>
      </c>
      <c r="X578">
        <v>6</v>
      </c>
      <c r="Y578">
        <v>115</v>
      </c>
      <c r="Z578">
        <v>1</v>
      </c>
      <c r="AA578">
        <v>11</v>
      </c>
      <c r="AC578" t="s">
        <v>105</v>
      </c>
      <c r="AD578" t="s">
        <v>105</v>
      </c>
      <c r="AE578" t="s">
        <v>105</v>
      </c>
      <c r="AF578" t="s">
        <v>105</v>
      </c>
      <c r="AG578">
        <v>1</v>
      </c>
      <c r="AH578">
        <v>1</v>
      </c>
      <c r="AI578" t="s">
        <v>105</v>
      </c>
      <c r="AJ578" t="s">
        <v>105</v>
      </c>
      <c r="AK578">
        <v>1</v>
      </c>
      <c r="AL578" t="s">
        <v>105</v>
      </c>
      <c r="AM578" t="s">
        <v>105</v>
      </c>
      <c r="AN578" t="s">
        <v>105</v>
      </c>
      <c r="BC578" t="s">
        <v>105</v>
      </c>
      <c r="BD578">
        <v>10</v>
      </c>
      <c r="BE578">
        <v>483</v>
      </c>
      <c r="BF578">
        <v>483</v>
      </c>
      <c r="BG578">
        <v>711</v>
      </c>
      <c r="BI578" t="s">
        <v>106</v>
      </c>
      <c r="BJ578">
        <v>1</v>
      </c>
      <c r="BL578" t="s">
        <v>1273</v>
      </c>
      <c r="BM578" s="4">
        <v>43283.152083333334</v>
      </c>
      <c r="BN578" s="4">
        <v>43283.163252314815</v>
      </c>
      <c r="BO578" s="4">
        <v>43283.163252314815</v>
      </c>
      <c r="BP578" t="s">
        <v>92</v>
      </c>
      <c r="BQ578" t="s">
        <v>93</v>
      </c>
      <c r="BR578" t="s">
        <v>94</v>
      </c>
    </row>
    <row r="579" spans="1:70" x14ac:dyDescent="0.3">
      <c r="A579" t="str">
        <f>"200326C0200"</f>
        <v>200326C0200</v>
      </c>
      <c r="B579" t="s">
        <v>1274</v>
      </c>
      <c r="C579">
        <v>20</v>
      </c>
      <c r="D579" t="s">
        <v>88</v>
      </c>
      <c r="E579">
        <v>43</v>
      </c>
      <c r="F579" t="s">
        <v>1049</v>
      </c>
      <c r="G579">
        <v>326</v>
      </c>
      <c r="H579">
        <v>2</v>
      </c>
      <c r="I579" t="s">
        <v>98</v>
      </c>
      <c r="J579">
        <v>0</v>
      </c>
      <c r="K579">
        <v>1</v>
      </c>
      <c r="L579">
        <v>5</v>
      </c>
      <c r="M579">
        <v>234</v>
      </c>
      <c r="N579">
        <v>499</v>
      </c>
      <c r="O579">
        <v>1</v>
      </c>
      <c r="P579">
        <v>486</v>
      </c>
      <c r="Q579">
        <v>0</v>
      </c>
      <c r="R579">
        <v>311</v>
      </c>
      <c r="S579">
        <v>4</v>
      </c>
      <c r="T579">
        <v>7</v>
      </c>
      <c r="U579">
        <v>3</v>
      </c>
      <c r="V579">
        <v>2</v>
      </c>
      <c r="W579">
        <v>1</v>
      </c>
      <c r="X579">
        <v>5</v>
      </c>
      <c r="Y579">
        <v>129</v>
      </c>
      <c r="Z579">
        <v>2</v>
      </c>
      <c r="AA579">
        <v>7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1</v>
      </c>
      <c r="AJ579">
        <v>0</v>
      </c>
      <c r="AK579">
        <v>0</v>
      </c>
      <c r="AL579">
        <v>1</v>
      </c>
      <c r="AM579">
        <v>0</v>
      </c>
      <c r="AN579">
        <v>0</v>
      </c>
      <c r="BC579" t="s">
        <v>105</v>
      </c>
      <c r="BD579">
        <v>40</v>
      </c>
      <c r="BE579">
        <v>486</v>
      </c>
      <c r="BF579">
        <v>513</v>
      </c>
      <c r="BG579">
        <v>711</v>
      </c>
      <c r="BI579" t="s">
        <v>106</v>
      </c>
      <c r="BJ579">
        <v>1</v>
      </c>
      <c r="BL579" t="s">
        <v>1275</v>
      </c>
      <c r="BM579" s="4">
        <v>43283.094502314816</v>
      </c>
      <c r="BN579" s="4">
        <v>43283.097094907411</v>
      </c>
      <c r="BO579" s="4">
        <v>43283.097094907411</v>
      </c>
      <c r="BP579" t="s">
        <v>339</v>
      </c>
      <c r="BQ579" t="s">
        <v>340</v>
      </c>
      <c r="BR579" t="s">
        <v>94</v>
      </c>
    </row>
    <row r="580" spans="1:70" x14ac:dyDescent="0.3">
      <c r="A580" t="str">
        <f>"200327B0100"</f>
        <v>200327B0100</v>
      </c>
      <c r="B580" t="s">
        <v>1276</v>
      </c>
      <c r="C580">
        <v>20</v>
      </c>
      <c r="D580" t="s">
        <v>88</v>
      </c>
      <c r="E580">
        <v>43</v>
      </c>
      <c r="F580" t="s">
        <v>1049</v>
      </c>
      <c r="G580">
        <v>327</v>
      </c>
      <c r="H580">
        <v>1</v>
      </c>
      <c r="I580" t="s">
        <v>90</v>
      </c>
      <c r="J580">
        <v>0</v>
      </c>
      <c r="K580">
        <v>1</v>
      </c>
      <c r="L580">
        <v>5</v>
      </c>
      <c r="M580">
        <v>171</v>
      </c>
      <c r="N580">
        <v>284</v>
      </c>
      <c r="O580">
        <v>1</v>
      </c>
      <c r="P580">
        <v>284</v>
      </c>
      <c r="Q580">
        <v>3</v>
      </c>
      <c r="R580">
        <v>74</v>
      </c>
      <c r="S580">
        <v>15</v>
      </c>
      <c r="T580">
        <v>12</v>
      </c>
      <c r="U580">
        <v>6</v>
      </c>
      <c r="V580">
        <v>1</v>
      </c>
      <c r="W580">
        <v>2</v>
      </c>
      <c r="X580">
        <v>9</v>
      </c>
      <c r="Y580">
        <v>131</v>
      </c>
      <c r="Z580">
        <v>3</v>
      </c>
      <c r="AA580">
        <v>14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2</v>
      </c>
      <c r="AI580">
        <v>0</v>
      </c>
      <c r="AJ580">
        <v>0</v>
      </c>
      <c r="AK580">
        <v>0</v>
      </c>
      <c r="AL580">
        <v>2</v>
      </c>
      <c r="AM580">
        <v>0</v>
      </c>
      <c r="AN580">
        <v>0</v>
      </c>
      <c r="BC580">
        <v>0</v>
      </c>
      <c r="BD580">
        <v>10</v>
      </c>
      <c r="BE580">
        <v>284</v>
      </c>
      <c r="BF580">
        <v>284</v>
      </c>
      <c r="BG580">
        <v>433</v>
      </c>
      <c r="BJ580">
        <v>1</v>
      </c>
      <c r="BL580" t="s">
        <v>1277</v>
      </c>
      <c r="BM580" s="4">
        <v>43283.175694444442</v>
      </c>
      <c r="BN580" s="4">
        <v>43283.191874999997</v>
      </c>
      <c r="BO580" s="4">
        <v>43283.191874999997</v>
      </c>
      <c r="BP580" t="s">
        <v>92</v>
      </c>
      <c r="BQ580" t="s">
        <v>93</v>
      </c>
      <c r="BR580" t="s">
        <v>94</v>
      </c>
    </row>
    <row r="581" spans="1:70" x14ac:dyDescent="0.3">
      <c r="A581" t="str">
        <f>"200327C0100"</f>
        <v>200327C0100</v>
      </c>
      <c r="B581" t="s">
        <v>1278</v>
      </c>
      <c r="C581">
        <v>20</v>
      </c>
      <c r="D581" t="s">
        <v>88</v>
      </c>
      <c r="E581">
        <v>43</v>
      </c>
      <c r="F581" t="s">
        <v>1049</v>
      </c>
      <c r="G581">
        <v>327</v>
      </c>
      <c r="H581">
        <v>1</v>
      </c>
      <c r="I581" t="s">
        <v>98</v>
      </c>
      <c r="J581">
        <v>0</v>
      </c>
      <c r="K581">
        <v>1</v>
      </c>
      <c r="L581">
        <v>5</v>
      </c>
      <c r="M581">
        <v>163</v>
      </c>
      <c r="N581">
        <v>291</v>
      </c>
      <c r="O581">
        <v>0</v>
      </c>
      <c r="P581">
        <v>0</v>
      </c>
      <c r="Q581">
        <v>1</v>
      </c>
      <c r="R581">
        <v>59</v>
      </c>
      <c r="S581">
        <v>11</v>
      </c>
      <c r="T581">
        <v>6</v>
      </c>
      <c r="U581">
        <v>5</v>
      </c>
      <c r="V581">
        <v>1</v>
      </c>
      <c r="W581">
        <v>0</v>
      </c>
      <c r="X581">
        <v>8</v>
      </c>
      <c r="Y581">
        <v>171</v>
      </c>
      <c r="Z581">
        <v>1</v>
      </c>
      <c r="AA581">
        <v>11</v>
      </c>
      <c r="AC581" t="s">
        <v>105</v>
      </c>
      <c r="AD581" t="s">
        <v>105</v>
      </c>
      <c r="AE581" t="s">
        <v>105</v>
      </c>
      <c r="AF581" t="s">
        <v>105</v>
      </c>
      <c r="AG581">
        <v>1</v>
      </c>
      <c r="AH581">
        <v>4</v>
      </c>
      <c r="AI581" t="s">
        <v>105</v>
      </c>
      <c r="AJ581" t="s">
        <v>105</v>
      </c>
      <c r="AK581" t="s">
        <v>105</v>
      </c>
      <c r="AL581" t="s">
        <v>105</v>
      </c>
      <c r="AM581" t="s">
        <v>105</v>
      </c>
      <c r="AN581" t="s">
        <v>105</v>
      </c>
      <c r="BC581" t="s">
        <v>105</v>
      </c>
      <c r="BD581" t="s">
        <v>105</v>
      </c>
      <c r="BE581">
        <v>291</v>
      </c>
      <c r="BF581">
        <v>279</v>
      </c>
      <c r="BG581">
        <v>432</v>
      </c>
      <c r="BI581" t="s">
        <v>106</v>
      </c>
      <c r="BJ581">
        <v>1</v>
      </c>
      <c r="BL581" t="s">
        <v>1279</v>
      </c>
      <c r="BM581" s="4">
        <v>43283.176388888889</v>
      </c>
      <c r="BN581" s="4">
        <v>43283.192291666666</v>
      </c>
      <c r="BO581" s="4">
        <v>43283.192291666666</v>
      </c>
      <c r="BP581" t="s">
        <v>92</v>
      </c>
      <c r="BQ581" t="s">
        <v>93</v>
      </c>
      <c r="BR581" t="s">
        <v>94</v>
      </c>
    </row>
    <row r="582" spans="1:70" x14ac:dyDescent="0.3">
      <c r="A582" t="str">
        <f>"200328B0100"</f>
        <v>200328B0100</v>
      </c>
      <c r="B582" t="s">
        <v>1280</v>
      </c>
      <c r="C582">
        <v>20</v>
      </c>
      <c r="D582" t="s">
        <v>88</v>
      </c>
      <c r="E582">
        <v>43</v>
      </c>
      <c r="F582" t="s">
        <v>1049</v>
      </c>
      <c r="G582">
        <v>328</v>
      </c>
      <c r="H582">
        <v>1</v>
      </c>
      <c r="I582" t="s">
        <v>90</v>
      </c>
      <c r="J582">
        <v>0</v>
      </c>
      <c r="K582">
        <v>1</v>
      </c>
      <c r="L582">
        <v>5</v>
      </c>
      <c r="M582">
        <v>172</v>
      </c>
      <c r="N582">
        <v>289</v>
      </c>
      <c r="O582">
        <v>0</v>
      </c>
      <c r="P582">
        <v>285</v>
      </c>
      <c r="Q582">
        <v>2</v>
      </c>
      <c r="R582">
        <v>87</v>
      </c>
      <c r="S582">
        <v>13</v>
      </c>
      <c r="T582">
        <v>21</v>
      </c>
      <c r="U582">
        <v>11</v>
      </c>
      <c r="V582">
        <v>2</v>
      </c>
      <c r="W582">
        <v>3</v>
      </c>
      <c r="X582">
        <v>3</v>
      </c>
      <c r="Y582">
        <v>98</v>
      </c>
      <c r="Z582">
        <v>4</v>
      </c>
      <c r="AA582">
        <v>15</v>
      </c>
      <c r="AC582">
        <v>0</v>
      </c>
      <c r="AD582">
        <v>0</v>
      </c>
      <c r="AE582">
        <v>0</v>
      </c>
      <c r="AF582">
        <v>0</v>
      </c>
      <c r="AG582">
        <v>2</v>
      </c>
      <c r="AH582">
        <v>5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BC582">
        <v>0</v>
      </c>
      <c r="BD582">
        <v>19</v>
      </c>
      <c r="BE582">
        <v>285</v>
      </c>
      <c r="BF582">
        <v>285</v>
      </c>
      <c r="BG582">
        <v>439</v>
      </c>
      <c r="BJ582">
        <v>1</v>
      </c>
      <c r="BL582" t="s">
        <v>1281</v>
      </c>
      <c r="BM582" s="4">
        <v>43283.259722222225</v>
      </c>
      <c r="BN582" s="4">
        <v>43283.290023148147</v>
      </c>
      <c r="BO582" s="4">
        <v>43283.290023148147</v>
      </c>
      <c r="BP582" t="s">
        <v>92</v>
      </c>
      <c r="BQ582" t="s">
        <v>93</v>
      </c>
      <c r="BR582" t="s">
        <v>254</v>
      </c>
    </row>
    <row r="583" spans="1:70" x14ac:dyDescent="0.3">
      <c r="A583" t="str">
        <f>"200328C0100"</f>
        <v>200328C0100</v>
      </c>
      <c r="B583" t="s">
        <v>1282</v>
      </c>
      <c r="C583">
        <v>20</v>
      </c>
      <c r="D583" t="s">
        <v>88</v>
      </c>
      <c r="E583">
        <v>43</v>
      </c>
      <c r="F583" t="s">
        <v>1049</v>
      </c>
      <c r="G583">
        <v>328</v>
      </c>
      <c r="H583">
        <v>1</v>
      </c>
      <c r="I583" t="s">
        <v>98</v>
      </c>
      <c r="J583">
        <v>0</v>
      </c>
      <c r="K583">
        <v>1</v>
      </c>
      <c r="L583">
        <v>5</v>
      </c>
      <c r="M583">
        <v>173</v>
      </c>
      <c r="N583">
        <v>287</v>
      </c>
      <c r="O583">
        <v>1</v>
      </c>
      <c r="P583" t="s">
        <v>105</v>
      </c>
      <c r="Q583">
        <v>5</v>
      </c>
      <c r="R583">
        <v>98</v>
      </c>
      <c r="S583">
        <v>7</v>
      </c>
      <c r="T583">
        <v>19</v>
      </c>
      <c r="U583">
        <v>20</v>
      </c>
      <c r="V583">
        <v>2</v>
      </c>
      <c r="W583">
        <v>0</v>
      </c>
      <c r="X583">
        <v>4</v>
      </c>
      <c r="Y583">
        <v>99</v>
      </c>
      <c r="Z583">
        <v>2</v>
      </c>
      <c r="AA583">
        <v>7</v>
      </c>
      <c r="AC583">
        <v>0</v>
      </c>
      <c r="AD583">
        <v>0</v>
      </c>
      <c r="AE583">
        <v>0</v>
      </c>
      <c r="AF583">
        <v>0</v>
      </c>
      <c r="AG583">
        <v>1</v>
      </c>
      <c r="AH583">
        <v>5</v>
      </c>
      <c r="AI583">
        <v>0</v>
      </c>
      <c r="AJ583">
        <v>0</v>
      </c>
      <c r="AK583">
        <v>1</v>
      </c>
      <c r="AL583">
        <v>0</v>
      </c>
      <c r="AM583">
        <v>1</v>
      </c>
      <c r="AN583">
        <v>1</v>
      </c>
      <c r="BC583">
        <v>0</v>
      </c>
      <c r="BD583">
        <v>6</v>
      </c>
      <c r="BE583" t="s">
        <v>105</v>
      </c>
      <c r="BF583">
        <v>278</v>
      </c>
      <c r="BG583">
        <v>439</v>
      </c>
      <c r="BJ583">
        <v>1</v>
      </c>
      <c r="BL583" t="s">
        <v>1283</v>
      </c>
      <c r="BM583" s="4">
        <v>43283.258333333331</v>
      </c>
      <c r="BN583" s="4">
        <v>43283.285185185188</v>
      </c>
      <c r="BO583" s="4">
        <v>43283.285185185188</v>
      </c>
      <c r="BP583" t="s">
        <v>92</v>
      </c>
      <c r="BQ583" t="s">
        <v>93</v>
      </c>
      <c r="BR583" t="s">
        <v>94</v>
      </c>
    </row>
    <row r="584" spans="1:70" x14ac:dyDescent="0.3">
      <c r="A584" t="str">
        <f>"200329B0100"</f>
        <v>200329B0100</v>
      </c>
      <c r="B584" t="s">
        <v>1284</v>
      </c>
      <c r="C584">
        <v>20</v>
      </c>
      <c r="D584" t="s">
        <v>88</v>
      </c>
      <c r="E584">
        <v>43</v>
      </c>
      <c r="F584" t="s">
        <v>1049</v>
      </c>
      <c r="G584">
        <v>329</v>
      </c>
      <c r="H584">
        <v>1</v>
      </c>
      <c r="I584" t="s">
        <v>90</v>
      </c>
      <c r="J584">
        <v>0</v>
      </c>
      <c r="K584">
        <v>1</v>
      </c>
      <c r="L584">
        <v>5</v>
      </c>
      <c r="M584">
        <v>163</v>
      </c>
      <c r="N584">
        <v>248</v>
      </c>
      <c r="O584">
        <v>1</v>
      </c>
      <c r="P584">
        <v>246</v>
      </c>
      <c r="Q584">
        <v>1</v>
      </c>
      <c r="R584">
        <v>71</v>
      </c>
      <c r="S584">
        <v>4</v>
      </c>
      <c r="T584">
        <v>30</v>
      </c>
      <c r="U584">
        <v>11</v>
      </c>
      <c r="V584">
        <v>1</v>
      </c>
      <c r="W584">
        <v>4</v>
      </c>
      <c r="X584">
        <v>7</v>
      </c>
      <c r="Y584">
        <v>88</v>
      </c>
      <c r="Z584">
        <v>1</v>
      </c>
      <c r="AA584">
        <v>12</v>
      </c>
      <c r="AC584">
        <v>0</v>
      </c>
      <c r="AD584">
        <v>0</v>
      </c>
      <c r="AE584">
        <v>0</v>
      </c>
      <c r="AF584">
        <v>0</v>
      </c>
      <c r="AG584">
        <v>1</v>
      </c>
      <c r="AH584">
        <v>5</v>
      </c>
      <c r="AI584">
        <v>0</v>
      </c>
      <c r="AJ584">
        <v>0</v>
      </c>
      <c r="AK584">
        <v>3</v>
      </c>
      <c r="AL584">
        <v>0</v>
      </c>
      <c r="AM584">
        <v>0</v>
      </c>
      <c r="AN584">
        <v>1</v>
      </c>
      <c r="BC584">
        <v>0</v>
      </c>
      <c r="BD584">
        <v>6</v>
      </c>
      <c r="BE584">
        <v>246</v>
      </c>
      <c r="BF584">
        <v>246</v>
      </c>
      <c r="BG584">
        <v>388</v>
      </c>
      <c r="BJ584">
        <v>1</v>
      </c>
      <c r="BL584" t="s">
        <v>1285</v>
      </c>
      <c r="BM584" s="4">
        <v>43283.257638888892</v>
      </c>
      <c r="BN584" s="4">
        <v>43283.285092592596</v>
      </c>
      <c r="BO584" s="4">
        <v>43283.285092592596</v>
      </c>
      <c r="BP584" t="s">
        <v>92</v>
      </c>
      <c r="BQ584" t="s">
        <v>93</v>
      </c>
      <c r="BR584" t="s">
        <v>254</v>
      </c>
    </row>
    <row r="585" spans="1:70" x14ac:dyDescent="0.3">
      <c r="A585" t="str">
        <f>"200329C0100"</f>
        <v>200329C0100</v>
      </c>
      <c r="B585" t="s">
        <v>1286</v>
      </c>
      <c r="C585">
        <v>20</v>
      </c>
      <c r="D585" t="s">
        <v>88</v>
      </c>
      <c r="E585">
        <v>43</v>
      </c>
      <c r="F585" t="s">
        <v>1049</v>
      </c>
      <c r="G585">
        <v>329</v>
      </c>
      <c r="H585">
        <v>1</v>
      </c>
      <c r="I585" t="s">
        <v>98</v>
      </c>
      <c r="J585">
        <v>0</v>
      </c>
      <c r="K585">
        <v>1</v>
      </c>
      <c r="L585">
        <v>5</v>
      </c>
      <c r="M585">
        <v>158</v>
      </c>
      <c r="N585">
        <v>252</v>
      </c>
      <c r="O585">
        <v>3</v>
      </c>
      <c r="P585">
        <v>252</v>
      </c>
      <c r="Q585">
        <v>1</v>
      </c>
      <c r="R585">
        <v>63</v>
      </c>
      <c r="S585">
        <v>8</v>
      </c>
      <c r="T585">
        <v>22</v>
      </c>
      <c r="U585">
        <v>12</v>
      </c>
      <c r="V585">
        <v>1</v>
      </c>
      <c r="W585">
        <v>2</v>
      </c>
      <c r="X585">
        <v>2</v>
      </c>
      <c r="Y585">
        <v>115</v>
      </c>
      <c r="Z585">
        <v>1</v>
      </c>
      <c r="AA585">
        <v>12</v>
      </c>
      <c r="AC585">
        <v>1</v>
      </c>
      <c r="AD585">
        <v>1</v>
      </c>
      <c r="AE585">
        <v>0</v>
      </c>
      <c r="AF585">
        <v>0</v>
      </c>
      <c r="AG585">
        <v>1</v>
      </c>
      <c r="AH585">
        <v>1</v>
      </c>
      <c r="AI585">
        <v>0</v>
      </c>
      <c r="AJ585">
        <v>0</v>
      </c>
      <c r="AK585">
        <v>1</v>
      </c>
      <c r="AL585">
        <v>0</v>
      </c>
      <c r="AM585">
        <v>0</v>
      </c>
      <c r="AN585">
        <v>0</v>
      </c>
      <c r="BC585">
        <v>0</v>
      </c>
      <c r="BD585">
        <v>7</v>
      </c>
      <c r="BE585">
        <v>252</v>
      </c>
      <c r="BF585">
        <v>251</v>
      </c>
      <c r="BG585">
        <v>387</v>
      </c>
      <c r="BJ585">
        <v>1</v>
      </c>
      <c r="BL585" t="s">
        <v>1287</v>
      </c>
      <c r="BM585" s="4">
        <v>43283.211111111108</v>
      </c>
      <c r="BN585" s="4">
        <v>43283.232546296298</v>
      </c>
      <c r="BO585" s="4">
        <v>43283.232546296298</v>
      </c>
      <c r="BP585" t="s">
        <v>92</v>
      </c>
      <c r="BQ585" t="s">
        <v>93</v>
      </c>
      <c r="BR585" t="s">
        <v>94</v>
      </c>
    </row>
    <row r="586" spans="1:70" x14ac:dyDescent="0.3">
      <c r="A586" t="str">
        <f>"200329S0100"</f>
        <v>200329S0100</v>
      </c>
      <c r="B586" t="s">
        <v>1288</v>
      </c>
      <c r="C586">
        <v>20</v>
      </c>
      <c r="D586" t="s">
        <v>88</v>
      </c>
      <c r="E586">
        <v>43</v>
      </c>
      <c r="F586" t="s">
        <v>1049</v>
      </c>
      <c r="G586">
        <v>329</v>
      </c>
      <c r="H586">
        <v>1</v>
      </c>
      <c r="I586" t="s">
        <v>113</v>
      </c>
      <c r="J586">
        <v>0</v>
      </c>
      <c r="K586">
        <v>1</v>
      </c>
      <c r="L586">
        <v>6</v>
      </c>
      <c r="BG586">
        <v>0</v>
      </c>
      <c r="BI586" t="s">
        <v>122</v>
      </c>
      <c r="BJ586">
        <v>0</v>
      </c>
      <c r="BL586" t="s">
        <v>1289</v>
      </c>
      <c r="BM586" s="4">
        <v>43283.5</v>
      </c>
      <c r="BN586" s="4">
        <v>43283.502199074072</v>
      </c>
      <c r="BO586" s="4">
        <v>43283.502199074072</v>
      </c>
      <c r="BP586" t="s">
        <v>92</v>
      </c>
      <c r="BQ586" t="s">
        <v>93</v>
      </c>
      <c r="BR586" t="s">
        <v>94</v>
      </c>
    </row>
    <row r="587" spans="1:70" x14ac:dyDescent="0.3">
      <c r="A587" t="str">
        <f>"200329S0200"</f>
        <v>200329S0200</v>
      </c>
      <c r="B587" t="s">
        <v>1290</v>
      </c>
      <c r="C587">
        <v>20</v>
      </c>
      <c r="D587" t="s">
        <v>88</v>
      </c>
      <c r="E587">
        <v>43</v>
      </c>
      <c r="F587" t="s">
        <v>1049</v>
      </c>
      <c r="G587">
        <v>329</v>
      </c>
      <c r="H587">
        <v>2</v>
      </c>
      <c r="I587" t="s">
        <v>113</v>
      </c>
      <c r="J587">
        <v>0</v>
      </c>
      <c r="K587">
        <v>1</v>
      </c>
      <c r="L587">
        <v>6</v>
      </c>
      <c r="BG587">
        <v>0</v>
      </c>
      <c r="BI587" t="s">
        <v>122</v>
      </c>
      <c r="BJ587">
        <v>0</v>
      </c>
      <c r="BL587" t="s">
        <v>1291</v>
      </c>
      <c r="BM587" s="4">
        <v>43283.497916666667</v>
      </c>
      <c r="BN587" s="4">
        <v>43283.499930555554</v>
      </c>
      <c r="BO587" s="4">
        <v>43283.499930555554</v>
      </c>
      <c r="BP587" t="s">
        <v>92</v>
      </c>
      <c r="BQ587" t="s">
        <v>93</v>
      </c>
      <c r="BR587" t="s">
        <v>94</v>
      </c>
    </row>
    <row r="588" spans="1:70" x14ac:dyDescent="0.3">
      <c r="A588" t="str">
        <f>"200329S0300"</f>
        <v>200329S0300</v>
      </c>
      <c r="B588" t="s">
        <v>1292</v>
      </c>
      <c r="C588">
        <v>20</v>
      </c>
      <c r="D588" t="s">
        <v>88</v>
      </c>
      <c r="E588">
        <v>43</v>
      </c>
      <c r="F588" t="s">
        <v>1049</v>
      </c>
      <c r="G588">
        <v>329</v>
      </c>
      <c r="H588">
        <v>3</v>
      </c>
      <c r="I588" t="s">
        <v>113</v>
      </c>
      <c r="J588">
        <v>0</v>
      </c>
      <c r="K588">
        <v>1</v>
      </c>
      <c r="L588">
        <v>6</v>
      </c>
      <c r="BG588">
        <v>0</v>
      </c>
      <c r="BI588" t="s">
        <v>122</v>
      </c>
      <c r="BJ588">
        <v>0</v>
      </c>
      <c r="BL588" t="s">
        <v>1293</v>
      </c>
      <c r="BM588" s="4">
        <v>43283.498611111114</v>
      </c>
      <c r="BN588" s="4">
        <v>43283.500381944446</v>
      </c>
      <c r="BO588" s="4">
        <v>43283.500381944446</v>
      </c>
      <c r="BP588" t="s">
        <v>92</v>
      </c>
      <c r="BQ588" t="s">
        <v>93</v>
      </c>
      <c r="BR588" t="s">
        <v>94</v>
      </c>
    </row>
    <row r="589" spans="1:70" x14ac:dyDescent="0.3">
      <c r="A589" t="str">
        <f>"200331B0100"</f>
        <v>200331B0100</v>
      </c>
      <c r="B589" t="s">
        <v>1294</v>
      </c>
      <c r="C589">
        <v>20</v>
      </c>
      <c r="D589" t="s">
        <v>88</v>
      </c>
      <c r="E589">
        <v>43</v>
      </c>
      <c r="F589" t="s">
        <v>1049</v>
      </c>
      <c r="G589">
        <v>331</v>
      </c>
      <c r="H589">
        <v>1</v>
      </c>
      <c r="I589" t="s">
        <v>90</v>
      </c>
      <c r="J589">
        <v>0</v>
      </c>
      <c r="K589">
        <v>1</v>
      </c>
      <c r="L589">
        <v>5</v>
      </c>
      <c r="M589">
        <v>256</v>
      </c>
      <c r="N589">
        <v>359</v>
      </c>
      <c r="O589">
        <v>6</v>
      </c>
      <c r="P589">
        <v>12</v>
      </c>
      <c r="Q589">
        <v>0</v>
      </c>
      <c r="R589">
        <v>80</v>
      </c>
      <c r="S589">
        <v>2</v>
      </c>
      <c r="T589">
        <v>1</v>
      </c>
      <c r="U589">
        <v>2</v>
      </c>
      <c r="V589">
        <v>1</v>
      </c>
      <c r="W589">
        <v>1</v>
      </c>
      <c r="X589">
        <v>12</v>
      </c>
      <c r="Y589">
        <v>220</v>
      </c>
      <c r="Z589">
        <v>5</v>
      </c>
      <c r="AA589">
        <v>20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1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BC589">
        <v>0</v>
      </c>
      <c r="BD589">
        <v>12</v>
      </c>
      <c r="BE589">
        <v>357</v>
      </c>
      <c r="BF589">
        <v>357</v>
      </c>
      <c r="BG589">
        <v>595</v>
      </c>
      <c r="BJ589">
        <v>1</v>
      </c>
      <c r="BL589" t="s">
        <v>1295</v>
      </c>
      <c r="BM589" s="4">
        <v>43283.238194444442</v>
      </c>
      <c r="BN589" s="4">
        <v>43283.261111111111</v>
      </c>
      <c r="BO589" s="4">
        <v>43283.261111111111</v>
      </c>
      <c r="BP589" t="s">
        <v>92</v>
      </c>
      <c r="BQ589" t="s">
        <v>93</v>
      </c>
      <c r="BR589" t="s">
        <v>94</v>
      </c>
    </row>
    <row r="590" spans="1:70" x14ac:dyDescent="0.3">
      <c r="A590" t="str">
        <f>"200331C0100"</f>
        <v>200331C0100</v>
      </c>
      <c r="B590" t="s">
        <v>1296</v>
      </c>
      <c r="C590">
        <v>20</v>
      </c>
      <c r="D590" t="s">
        <v>88</v>
      </c>
      <c r="E590">
        <v>43</v>
      </c>
      <c r="F590" t="s">
        <v>1049</v>
      </c>
      <c r="G590">
        <v>331</v>
      </c>
      <c r="H590">
        <v>1</v>
      </c>
      <c r="I590" t="s">
        <v>98</v>
      </c>
      <c r="J590">
        <v>0</v>
      </c>
      <c r="K590">
        <v>1</v>
      </c>
      <c r="L590">
        <v>5</v>
      </c>
      <c r="M590">
        <v>268</v>
      </c>
      <c r="N590">
        <v>356</v>
      </c>
      <c r="O590">
        <v>0</v>
      </c>
      <c r="P590">
        <v>3</v>
      </c>
      <c r="Q590">
        <v>0</v>
      </c>
      <c r="R590">
        <v>56</v>
      </c>
      <c r="S590">
        <v>0</v>
      </c>
      <c r="T590">
        <v>2</v>
      </c>
      <c r="U590">
        <v>2</v>
      </c>
      <c r="V590">
        <v>1</v>
      </c>
      <c r="W590">
        <v>0</v>
      </c>
      <c r="X590">
        <v>21</v>
      </c>
      <c r="Y590">
        <v>235</v>
      </c>
      <c r="Z590">
        <v>0</v>
      </c>
      <c r="AA590">
        <v>25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2</v>
      </c>
      <c r="AI590">
        <v>3</v>
      </c>
      <c r="AJ590">
        <v>0</v>
      </c>
      <c r="AK590">
        <v>1</v>
      </c>
      <c r="AL590">
        <v>0</v>
      </c>
      <c r="AM590">
        <v>0</v>
      </c>
      <c r="AN590">
        <v>0</v>
      </c>
      <c r="BC590">
        <v>0</v>
      </c>
      <c r="BD590">
        <v>4</v>
      </c>
      <c r="BE590">
        <v>352</v>
      </c>
      <c r="BF590">
        <v>352</v>
      </c>
      <c r="BG590">
        <v>594</v>
      </c>
      <c r="BJ590">
        <v>1</v>
      </c>
      <c r="BL590" t="s">
        <v>1297</v>
      </c>
      <c r="BM590" s="4">
        <v>43283.263888888891</v>
      </c>
      <c r="BN590" s="4">
        <v>43283.289467592593</v>
      </c>
      <c r="BO590" s="4">
        <v>43283.289467592593</v>
      </c>
      <c r="BP590" t="s">
        <v>92</v>
      </c>
      <c r="BQ590" t="s">
        <v>93</v>
      </c>
      <c r="BR590" t="s">
        <v>254</v>
      </c>
    </row>
    <row r="591" spans="1:70" x14ac:dyDescent="0.3">
      <c r="A591" t="str">
        <f>"200331C0200"</f>
        <v>200331C0200</v>
      </c>
      <c r="B591" t="s">
        <v>1298</v>
      </c>
      <c r="C591">
        <v>20</v>
      </c>
      <c r="D591" t="s">
        <v>88</v>
      </c>
      <c r="E591">
        <v>43</v>
      </c>
      <c r="F591" t="s">
        <v>1049</v>
      </c>
      <c r="G591">
        <v>331</v>
      </c>
      <c r="H591">
        <v>2</v>
      </c>
      <c r="I591" t="s">
        <v>98</v>
      </c>
      <c r="J591">
        <v>0</v>
      </c>
      <c r="K591">
        <v>1</v>
      </c>
      <c r="L591">
        <v>5</v>
      </c>
      <c r="M591">
        <v>251</v>
      </c>
      <c r="N591">
        <v>362</v>
      </c>
      <c r="O591">
        <v>8</v>
      </c>
      <c r="P591" t="s">
        <v>127</v>
      </c>
      <c r="Q591">
        <v>0</v>
      </c>
      <c r="R591">
        <v>84</v>
      </c>
      <c r="S591">
        <v>4</v>
      </c>
      <c r="T591">
        <v>3</v>
      </c>
      <c r="U591">
        <v>2</v>
      </c>
      <c r="V591">
        <v>0</v>
      </c>
      <c r="W591">
        <v>1</v>
      </c>
      <c r="X591">
        <v>11</v>
      </c>
      <c r="Y591">
        <v>222</v>
      </c>
      <c r="Z591">
        <v>1</v>
      </c>
      <c r="AA591">
        <v>17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BC591">
        <v>0</v>
      </c>
      <c r="BD591">
        <v>13</v>
      </c>
      <c r="BE591">
        <v>358</v>
      </c>
      <c r="BF591">
        <v>358</v>
      </c>
      <c r="BG591">
        <v>594</v>
      </c>
      <c r="BJ591">
        <v>1</v>
      </c>
      <c r="BL591" t="s">
        <v>1299</v>
      </c>
      <c r="BM591" s="4">
        <v>43283.237500000003</v>
      </c>
      <c r="BN591" s="4">
        <v>43283.26059027778</v>
      </c>
      <c r="BO591" s="4">
        <v>43283.26059027778</v>
      </c>
      <c r="BP591" t="s">
        <v>92</v>
      </c>
      <c r="BQ591" t="s">
        <v>93</v>
      </c>
      <c r="BR591" t="s">
        <v>94</v>
      </c>
    </row>
    <row r="592" spans="1:70" x14ac:dyDescent="0.3">
      <c r="A592" t="str">
        <f>"200332B0100"</f>
        <v>200332B0100</v>
      </c>
      <c r="B592" t="s">
        <v>1300</v>
      </c>
      <c r="C592">
        <v>20</v>
      </c>
      <c r="D592" t="s">
        <v>88</v>
      </c>
      <c r="E592">
        <v>43</v>
      </c>
      <c r="F592" t="s">
        <v>1049</v>
      </c>
      <c r="G592">
        <v>332</v>
      </c>
      <c r="H592">
        <v>1</v>
      </c>
      <c r="I592" t="s">
        <v>90</v>
      </c>
      <c r="J592">
        <v>0</v>
      </c>
      <c r="K592">
        <v>1</v>
      </c>
      <c r="L592">
        <v>5</v>
      </c>
      <c r="M592">
        <v>249</v>
      </c>
      <c r="N592">
        <v>333</v>
      </c>
      <c r="O592">
        <v>0</v>
      </c>
      <c r="P592">
        <v>336</v>
      </c>
      <c r="Q592">
        <v>1</v>
      </c>
      <c r="R592">
        <v>168</v>
      </c>
      <c r="S592">
        <v>5</v>
      </c>
      <c r="T592">
        <v>23</v>
      </c>
      <c r="U592">
        <v>21</v>
      </c>
      <c r="V592">
        <v>0</v>
      </c>
      <c r="W592">
        <v>0</v>
      </c>
      <c r="X592">
        <v>4</v>
      </c>
      <c r="Y592">
        <v>68</v>
      </c>
      <c r="Z592">
        <v>1</v>
      </c>
      <c r="AA592">
        <v>25</v>
      </c>
      <c r="AC592">
        <v>0</v>
      </c>
      <c r="AD592">
        <v>0</v>
      </c>
      <c r="AE592">
        <v>0</v>
      </c>
      <c r="AF592">
        <v>1</v>
      </c>
      <c r="AG592">
        <v>1</v>
      </c>
      <c r="AH592">
        <v>5</v>
      </c>
      <c r="AI592">
        <v>0</v>
      </c>
      <c r="AJ592">
        <v>0</v>
      </c>
      <c r="AK592">
        <v>1</v>
      </c>
      <c r="AL592">
        <v>1</v>
      </c>
      <c r="AM592">
        <v>0</v>
      </c>
      <c r="AN592">
        <v>1</v>
      </c>
      <c r="BC592">
        <v>0</v>
      </c>
      <c r="BD592">
        <v>10</v>
      </c>
      <c r="BE592">
        <v>336</v>
      </c>
      <c r="BF592">
        <v>336</v>
      </c>
      <c r="BG592">
        <v>563</v>
      </c>
      <c r="BJ592">
        <v>1</v>
      </c>
      <c r="BL592" t="s">
        <v>1301</v>
      </c>
      <c r="BM592" s="4">
        <v>43283.341666666667</v>
      </c>
      <c r="BN592" s="4">
        <v>43283.357071759259</v>
      </c>
      <c r="BO592" s="4">
        <v>43283.357071759259</v>
      </c>
      <c r="BP592" t="s">
        <v>92</v>
      </c>
      <c r="BQ592" t="s">
        <v>93</v>
      </c>
      <c r="BR592" t="s">
        <v>94</v>
      </c>
    </row>
    <row r="593" spans="1:70" x14ac:dyDescent="0.3">
      <c r="A593" t="str">
        <f>"200333B0100"</f>
        <v>200333B0100</v>
      </c>
      <c r="B593" t="s">
        <v>1302</v>
      </c>
      <c r="C593">
        <v>20</v>
      </c>
      <c r="D593" t="s">
        <v>88</v>
      </c>
      <c r="E593">
        <v>44</v>
      </c>
      <c r="F593" t="s">
        <v>1303</v>
      </c>
      <c r="G593">
        <v>333</v>
      </c>
      <c r="H593">
        <v>1</v>
      </c>
      <c r="I593" t="s">
        <v>90</v>
      </c>
      <c r="J593">
        <v>0</v>
      </c>
      <c r="K593">
        <v>1</v>
      </c>
      <c r="L593">
        <v>5</v>
      </c>
      <c r="M593">
        <v>175</v>
      </c>
      <c r="N593">
        <v>359</v>
      </c>
      <c r="O593">
        <v>1</v>
      </c>
      <c r="P593">
        <v>360</v>
      </c>
      <c r="Q593">
        <v>4</v>
      </c>
      <c r="R593">
        <v>85</v>
      </c>
      <c r="S593">
        <v>147</v>
      </c>
      <c r="T593">
        <v>6</v>
      </c>
      <c r="U593">
        <v>4</v>
      </c>
      <c r="V593">
        <v>1</v>
      </c>
      <c r="W593">
        <v>1</v>
      </c>
      <c r="X593">
        <v>51</v>
      </c>
      <c r="Y593">
        <v>39</v>
      </c>
      <c r="Z593">
        <v>0</v>
      </c>
      <c r="AG593">
        <v>4</v>
      </c>
      <c r="AH593">
        <v>2</v>
      </c>
      <c r="AI593">
        <v>2</v>
      </c>
      <c r="AJ593">
        <v>1</v>
      </c>
      <c r="AK593">
        <v>2</v>
      </c>
      <c r="AL593">
        <v>0</v>
      </c>
      <c r="AM593">
        <v>0</v>
      </c>
      <c r="AN593">
        <v>0</v>
      </c>
      <c r="AO593">
        <v>0</v>
      </c>
      <c r="AP593">
        <v>3</v>
      </c>
      <c r="AQ593">
        <v>0</v>
      </c>
      <c r="AR593">
        <v>0</v>
      </c>
      <c r="BC593">
        <v>0</v>
      </c>
      <c r="BD593">
        <v>9</v>
      </c>
      <c r="BE593">
        <v>361</v>
      </c>
      <c r="BF593">
        <v>361</v>
      </c>
      <c r="BG593">
        <v>512</v>
      </c>
      <c r="BJ593">
        <v>1</v>
      </c>
      <c r="BL593" t="s">
        <v>1304</v>
      </c>
      <c r="BM593" s="4">
        <v>43283.203472222223</v>
      </c>
      <c r="BN593" s="4">
        <v>43283.225115740737</v>
      </c>
      <c r="BO593" s="4">
        <v>43283.225115740737</v>
      </c>
      <c r="BP593" t="s">
        <v>92</v>
      </c>
      <c r="BQ593" t="s">
        <v>93</v>
      </c>
      <c r="BR593" t="s">
        <v>94</v>
      </c>
    </row>
    <row r="594" spans="1:70" x14ac:dyDescent="0.3">
      <c r="A594" t="str">
        <f>"200333C0100"</f>
        <v>200333C0100</v>
      </c>
      <c r="B594" t="s">
        <v>1305</v>
      </c>
      <c r="C594">
        <v>20</v>
      </c>
      <c r="D594" t="s">
        <v>88</v>
      </c>
      <c r="E594">
        <v>44</v>
      </c>
      <c r="F594" t="s">
        <v>1303</v>
      </c>
      <c r="G594">
        <v>333</v>
      </c>
      <c r="H594">
        <v>1</v>
      </c>
      <c r="I594" t="s">
        <v>98</v>
      </c>
      <c r="J594">
        <v>0</v>
      </c>
      <c r="K594">
        <v>1</v>
      </c>
      <c r="L594">
        <v>5</v>
      </c>
      <c r="M594">
        <v>181</v>
      </c>
      <c r="N594">
        <v>533</v>
      </c>
      <c r="O594">
        <v>4</v>
      </c>
      <c r="P594" t="s">
        <v>105</v>
      </c>
      <c r="Q594">
        <v>5</v>
      </c>
      <c r="R594">
        <v>74</v>
      </c>
      <c r="S594">
        <v>128</v>
      </c>
      <c r="T594">
        <v>6</v>
      </c>
      <c r="U594">
        <v>5</v>
      </c>
      <c r="V594">
        <v>3</v>
      </c>
      <c r="W594">
        <v>2</v>
      </c>
      <c r="X594">
        <v>59</v>
      </c>
      <c r="Y594">
        <v>34</v>
      </c>
      <c r="Z594">
        <v>3</v>
      </c>
      <c r="AG594">
        <v>5</v>
      </c>
      <c r="AH594">
        <v>0</v>
      </c>
      <c r="AI594">
        <v>3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2</v>
      </c>
      <c r="AP594">
        <v>1</v>
      </c>
      <c r="AQ594">
        <v>0</v>
      </c>
      <c r="AR594">
        <v>1</v>
      </c>
      <c r="BC594">
        <v>4</v>
      </c>
      <c r="BD594">
        <v>19</v>
      </c>
      <c r="BE594">
        <v>352</v>
      </c>
      <c r="BF594">
        <v>354</v>
      </c>
      <c r="BG594">
        <v>511</v>
      </c>
      <c r="BJ594">
        <v>1</v>
      </c>
      <c r="BL594" t="s">
        <v>1306</v>
      </c>
      <c r="BM594" s="4">
        <v>43283.254861111112</v>
      </c>
      <c r="BN594" s="4">
        <v>43283.280648148146</v>
      </c>
      <c r="BO594" s="4">
        <v>43283.280648148146</v>
      </c>
      <c r="BP594" t="s">
        <v>92</v>
      </c>
      <c r="BQ594" t="s">
        <v>93</v>
      </c>
      <c r="BR594" t="s">
        <v>94</v>
      </c>
    </row>
    <row r="595" spans="1:70" x14ac:dyDescent="0.3">
      <c r="A595" t="str">
        <f>"200334B0100"</f>
        <v>200334B0100</v>
      </c>
      <c r="B595" t="s">
        <v>1307</v>
      </c>
      <c r="C595">
        <v>20</v>
      </c>
      <c r="D595" t="s">
        <v>88</v>
      </c>
      <c r="E595">
        <v>44</v>
      </c>
      <c r="F595" t="s">
        <v>1303</v>
      </c>
      <c r="G595">
        <v>334</v>
      </c>
      <c r="H595">
        <v>1</v>
      </c>
      <c r="I595" t="s">
        <v>90</v>
      </c>
      <c r="J595">
        <v>0</v>
      </c>
      <c r="K595">
        <v>1</v>
      </c>
      <c r="L595">
        <v>5</v>
      </c>
      <c r="M595">
        <v>188</v>
      </c>
      <c r="N595" t="s">
        <v>127</v>
      </c>
      <c r="O595" t="s">
        <v>127</v>
      </c>
      <c r="P595" t="s">
        <v>105</v>
      </c>
      <c r="Q595">
        <v>3</v>
      </c>
      <c r="R595">
        <v>80</v>
      </c>
      <c r="S595">
        <v>79</v>
      </c>
      <c r="T595">
        <v>3</v>
      </c>
      <c r="U595">
        <v>3</v>
      </c>
      <c r="V595">
        <v>2</v>
      </c>
      <c r="W595">
        <v>0</v>
      </c>
      <c r="X595">
        <v>37</v>
      </c>
      <c r="Y595">
        <v>46</v>
      </c>
      <c r="Z595">
        <v>2</v>
      </c>
      <c r="AG595">
        <v>8</v>
      </c>
      <c r="AH595">
        <v>2</v>
      </c>
      <c r="AI595">
        <v>1</v>
      </c>
      <c r="AJ595">
        <v>0</v>
      </c>
      <c r="AK595">
        <v>2</v>
      </c>
      <c r="AL595">
        <v>2</v>
      </c>
      <c r="AM595">
        <v>0</v>
      </c>
      <c r="AN595">
        <v>0</v>
      </c>
      <c r="AO595">
        <v>1</v>
      </c>
      <c r="AP595">
        <v>0</v>
      </c>
      <c r="AQ595">
        <v>0</v>
      </c>
      <c r="AR595">
        <v>0</v>
      </c>
      <c r="BC595">
        <v>0</v>
      </c>
      <c r="BD595">
        <v>12</v>
      </c>
      <c r="BE595">
        <v>283</v>
      </c>
      <c r="BF595">
        <v>283</v>
      </c>
      <c r="BG595">
        <v>449</v>
      </c>
      <c r="BJ595">
        <v>1</v>
      </c>
      <c r="BL595" t="s">
        <v>1308</v>
      </c>
      <c r="BM595" s="4">
        <v>43283.127083333333</v>
      </c>
      <c r="BN595" s="4">
        <v>43283.162534722222</v>
      </c>
      <c r="BO595" s="4">
        <v>43283.162534722222</v>
      </c>
      <c r="BP595" t="s">
        <v>92</v>
      </c>
      <c r="BQ595" t="s">
        <v>93</v>
      </c>
      <c r="BR595" t="s">
        <v>94</v>
      </c>
    </row>
    <row r="596" spans="1:70" x14ac:dyDescent="0.3">
      <c r="A596" t="str">
        <f>"200334C0100"</f>
        <v>200334C0100</v>
      </c>
      <c r="B596" t="s">
        <v>1309</v>
      </c>
      <c r="C596">
        <v>20</v>
      </c>
      <c r="D596" t="s">
        <v>88</v>
      </c>
      <c r="E596">
        <v>44</v>
      </c>
      <c r="F596" t="s">
        <v>1303</v>
      </c>
      <c r="G596">
        <v>334</v>
      </c>
      <c r="H596">
        <v>1</v>
      </c>
      <c r="I596" t="s">
        <v>98</v>
      </c>
      <c r="J596">
        <v>0</v>
      </c>
      <c r="K596">
        <v>1</v>
      </c>
      <c r="L596">
        <v>5</v>
      </c>
      <c r="M596">
        <v>193</v>
      </c>
      <c r="N596">
        <v>272</v>
      </c>
      <c r="O596">
        <v>4</v>
      </c>
      <c r="P596">
        <v>272</v>
      </c>
      <c r="Q596">
        <v>0</v>
      </c>
      <c r="R596">
        <v>64</v>
      </c>
      <c r="S596">
        <v>93</v>
      </c>
      <c r="T596">
        <v>9</v>
      </c>
      <c r="U596">
        <v>8</v>
      </c>
      <c r="V596">
        <v>2</v>
      </c>
      <c r="W596">
        <v>1</v>
      </c>
      <c r="X596">
        <v>39</v>
      </c>
      <c r="Y596">
        <v>25</v>
      </c>
      <c r="Z596">
        <v>1</v>
      </c>
      <c r="AG596">
        <v>7</v>
      </c>
      <c r="AH596">
        <v>2</v>
      </c>
      <c r="AI596">
        <v>0</v>
      </c>
      <c r="AJ596">
        <v>0</v>
      </c>
      <c r="AK596">
        <v>5</v>
      </c>
      <c r="AL596">
        <v>0</v>
      </c>
      <c r="AM596">
        <v>1</v>
      </c>
      <c r="AN596">
        <v>1</v>
      </c>
      <c r="AO596">
        <v>2</v>
      </c>
      <c r="AP596">
        <v>1</v>
      </c>
      <c r="AQ596">
        <v>0</v>
      </c>
      <c r="AR596">
        <v>0</v>
      </c>
      <c r="BC596" t="s">
        <v>127</v>
      </c>
      <c r="BD596">
        <v>15</v>
      </c>
      <c r="BE596">
        <v>273</v>
      </c>
      <c r="BF596">
        <v>276</v>
      </c>
      <c r="BG596">
        <v>448</v>
      </c>
      <c r="BI596" t="s">
        <v>106</v>
      </c>
      <c r="BJ596">
        <v>1</v>
      </c>
      <c r="BL596" t="s">
        <v>1310</v>
      </c>
      <c r="BM596" s="4">
        <v>43283.128472222219</v>
      </c>
      <c r="BN596" s="4">
        <v>43283.154328703706</v>
      </c>
      <c r="BO596" s="4">
        <v>43283.154328703706</v>
      </c>
      <c r="BP596" t="s">
        <v>92</v>
      </c>
      <c r="BQ596" t="s">
        <v>93</v>
      </c>
      <c r="BR596" t="s">
        <v>94</v>
      </c>
    </row>
    <row r="597" spans="1:70" x14ac:dyDescent="0.3">
      <c r="A597" t="str">
        <f>"200335B0100"</f>
        <v>200335B0100</v>
      </c>
      <c r="B597" t="s">
        <v>1311</v>
      </c>
      <c r="C597">
        <v>20</v>
      </c>
      <c r="D597" t="s">
        <v>88</v>
      </c>
      <c r="E597">
        <v>44</v>
      </c>
      <c r="F597" t="s">
        <v>1303</v>
      </c>
      <c r="G597">
        <v>335</v>
      </c>
      <c r="H597">
        <v>1</v>
      </c>
      <c r="I597" t="s">
        <v>90</v>
      </c>
      <c r="J597">
        <v>0</v>
      </c>
      <c r="K597">
        <v>1</v>
      </c>
      <c r="L597">
        <v>5</v>
      </c>
      <c r="M597">
        <v>227</v>
      </c>
      <c r="N597">
        <v>369</v>
      </c>
      <c r="O597">
        <v>2</v>
      </c>
      <c r="P597">
        <v>369</v>
      </c>
      <c r="Q597">
        <v>4</v>
      </c>
      <c r="R597">
        <v>95</v>
      </c>
      <c r="S597">
        <v>100</v>
      </c>
      <c r="T597">
        <v>2</v>
      </c>
      <c r="U597">
        <v>12</v>
      </c>
      <c r="V597">
        <v>5</v>
      </c>
      <c r="W597">
        <v>4</v>
      </c>
      <c r="X597">
        <v>52</v>
      </c>
      <c r="Y597">
        <v>55</v>
      </c>
      <c r="Z597">
        <v>6</v>
      </c>
      <c r="AG597">
        <v>5</v>
      </c>
      <c r="AH597">
        <v>0</v>
      </c>
      <c r="AI597">
        <v>3</v>
      </c>
      <c r="AJ597">
        <v>0</v>
      </c>
      <c r="AK597">
        <v>2</v>
      </c>
      <c r="AL597">
        <v>0</v>
      </c>
      <c r="AM597">
        <v>1</v>
      </c>
      <c r="AN597">
        <v>1</v>
      </c>
      <c r="AO597">
        <v>8</v>
      </c>
      <c r="AP597">
        <v>1</v>
      </c>
      <c r="AQ597">
        <v>0</v>
      </c>
      <c r="AR597">
        <v>1</v>
      </c>
      <c r="BC597" t="s">
        <v>105</v>
      </c>
      <c r="BD597">
        <v>12</v>
      </c>
      <c r="BE597">
        <v>369</v>
      </c>
      <c r="BF597">
        <v>369</v>
      </c>
      <c r="BG597">
        <v>574</v>
      </c>
      <c r="BI597" t="s">
        <v>106</v>
      </c>
      <c r="BJ597">
        <v>1</v>
      </c>
      <c r="BL597" t="s">
        <v>1312</v>
      </c>
      <c r="BM597" s="4">
        <v>43283.173611111109</v>
      </c>
      <c r="BN597" s="4">
        <v>43283.189004629632</v>
      </c>
      <c r="BO597" s="4">
        <v>43283.189004629632</v>
      </c>
      <c r="BP597" t="s">
        <v>92</v>
      </c>
      <c r="BQ597" t="s">
        <v>93</v>
      </c>
      <c r="BR597" t="s">
        <v>94</v>
      </c>
    </row>
    <row r="598" spans="1:70" x14ac:dyDescent="0.3">
      <c r="A598" t="str">
        <f>"200335C0100"</f>
        <v>200335C0100</v>
      </c>
      <c r="B598" t="s">
        <v>1313</v>
      </c>
      <c r="C598">
        <v>20</v>
      </c>
      <c r="D598" t="s">
        <v>88</v>
      </c>
      <c r="E598">
        <v>44</v>
      </c>
      <c r="F598" t="s">
        <v>1303</v>
      </c>
      <c r="G598">
        <v>335</v>
      </c>
      <c r="H598">
        <v>1</v>
      </c>
      <c r="I598" t="s">
        <v>98</v>
      </c>
      <c r="J598">
        <v>0</v>
      </c>
      <c r="K598">
        <v>1</v>
      </c>
      <c r="L598">
        <v>5</v>
      </c>
      <c r="M598">
        <v>220</v>
      </c>
      <c r="N598">
        <v>375</v>
      </c>
      <c r="O598">
        <v>2</v>
      </c>
      <c r="P598" t="s">
        <v>105</v>
      </c>
      <c r="Q598">
        <v>6</v>
      </c>
      <c r="R598">
        <v>83</v>
      </c>
      <c r="S598">
        <v>114</v>
      </c>
      <c r="T598">
        <v>2</v>
      </c>
      <c r="U598">
        <v>18</v>
      </c>
      <c r="V598">
        <v>4</v>
      </c>
      <c r="W598">
        <v>1</v>
      </c>
      <c r="X598">
        <v>41</v>
      </c>
      <c r="Y598">
        <v>46</v>
      </c>
      <c r="Z598">
        <v>3</v>
      </c>
      <c r="AG598">
        <v>5</v>
      </c>
      <c r="AH598">
        <v>1</v>
      </c>
      <c r="AI598">
        <v>2</v>
      </c>
      <c r="AJ598">
        <v>0</v>
      </c>
      <c r="AK598">
        <v>0</v>
      </c>
      <c r="AL598">
        <v>1</v>
      </c>
      <c r="AM598">
        <v>0</v>
      </c>
      <c r="AN598">
        <v>0</v>
      </c>
      <c r="AO598">
        <v>2</v>
      </c>
      <c r="AP598">
        <v>4</v>
      </c>
      <c r="AQ598">
        <v>0</v>
      </c>
      <c r="AR598">
        <v>2</v>
      </c>
      <c r="BC598">
        <v>0</v>
      </c>
      <c r="BD598">
        <v>30</v>
      </c>
      <c r="BE598">
        <v>375</v>
      </c>
      <c r="BF598">
        <v>365</v>
      </c>
      <c r="BG598">
        <v>573</v>
      </c>
      <c r="BJ598">
        <v>1</v>
      </c>
      <c r="BL598" t="s">
        <v>1314</v>
      </c>
      <c r="BM598" s="4">
        <v>43283.173611111109</v>
      </c>
      <c r="BN598" s="4">
        <v>43283.300775462965</v>
      </c>
      <c r="BO598" s="4">
        <v>43283.300775462965</v>
      </c>
      <c r="BP598" t="s">
        <v>92</v>
      </c>
      <c r="BQ598" t="s">
        <v>93</v>
      </c>
      <c r="BR598" t="s">
        <v>94</v>
      </c>
    </row>
    <row r="599" spans="1:70" x14ac:dyDescent="0.3">
      <c r="A599" t="str">
        <f>"200336B0100"</f>
        <v>200336B0100</v>
      </c>
      <c r="B599" t="s">
        <v>1315</v>
      </c>
      <c r="C599">
        <v>20</v>
      </c>
      <c r="D599" t="s">
        <v>88</v>
      </c>
      <c r="E599">
        <v>44</v>
      </c>
      <c r="F599" t="s">
        <v>1303</v>
      </c>
      <c r="G599">
        <v>336</v>
      </c>
      <c r="H599">
        <v>1</v>
      </c>
      <c r="I599" t="s">
        <v>90</v>
      </c>
      <c r="J599">
        <v>0</v>
      </c>
      <c r="K599">
        <v>1</v>
      </c>
      <c r="L599">
        <v>5</v>
      </c>
      <c r="M599">
        <v>175</v>
      </c>
      <c r="N599">
        <v>278</v>
      </c>
      <c r="O599">
        <v>4</v>
      </c>
      <c r="P599">
        <v>277</v>
      </c>
      <c r="Q599">
        <v>6</v>
      </c>
      <c r="R599">
        <v>69</v>
      </c>
      <c r="S599">
        <v>73</v>
      </c>
      <c r="T599">
        <v>9</v>
      </c>
      <c r="U599">
        <v>7</v>
      </c>
      <c r="V599">
        <v>1</v>
      </c>
      <c r="W599">
        <v>1</v>
      </c>
      <c r="X599">
        <v>39</v>
      </c>
      <c r="Y599">
        <v>41</v>
      </c>
      <c r="Z599">
        <v>2</v>
      </c>
      <c r="AG599">
        <v>3</v>
      </c>
      <c r="AH599">
        <v>3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4</v>
      </c>
      <c r="AP599">
        <v>2</v>
      </c>
      <c r="AQ599">
        <v>0</v>
      </c>
      <c r="AR599">
        <v>0</v>
      </c>
      <c r="BC599">
        <v>0</v>
      </c>
      <c r="BD599">
        <v>17</v>
      </c>
      <c r="BE599">
        <v>277</v>
      </c>
      <c r="BF599">
        <v>277</v>
      </c>
      <c r="BG599">
        <v>431</v>
      </c>
      <c r="BJ599">
        <v>1</v>
      </c>
      <c r="BL599" t="s">
        <v>1316</v>
      </c>
      <c r="BM599" s="4">
        <v>43283.128472222219</v>
      </c>
      <c r="BN599" s="4">
        <v>43283.136643518519</v>
      </c>
      <c r="BO599" s="4">
        <v>43283.136643518519</v>
      </c>
      <c r="BP599" t="s">
        <v>92</v>
      </c>
      <c r="BQ599" t="s">
        <v>93</v>
      </c>
      <c r="BR599" t="s">
        <v>94</v>
      </c>
    </row>
    <row r="600" spans="1:70" x14ac:dyDescent="0.3">
      <c r="A600" t="str">
        <f>"200336C0100"</f>
        <v>200336C0100</v>
      </c>
      <c r="B600" t="s">
        <v>1317</v>
      </c>
      <c r="C600">
        <v>20</v>
      </c>
      <c r="D600" t="s">
        <v>88</v>
      </c>
      <c r="E600">
        <v>44</v>
      </c>
      <c r="F600" t="s">
        <v>1303</v>
      </c>
      <c r="G600">
        <v>336</v>
      </c>
      <c r="H600">
        <v>1</v>
      </c>
      <c r="I600" t="s">
        <v>98</v>
      </c>
      <c r="J600">
        <v>0</v>
      </c>
      <c r="K600">
        <v>1</v>
      </c>
      <c r="L600">
        <v>5</v>
      </c>
      <c r="M600">
        <v>162</v>
      </c>
      <c r="N600">
        <v>291</v>
      </c>
      <c r="O600">
        <v>6</v>
      </c>
      <c r="P600">
        <v>291</v>
      </c>
      <c r="Q600">
        <v>4</v>
      </c>
      <c r="R600">
        <v>93</v>
      </c>
      <c r="S600">
        <v>49</v>
      </c>
      <c r="T600">
        <v>7</v>
      </c>
      <c r="U600">
        <v>13</v>
      </c>
      <c r="V600">
        <v>5</v>
      </c>
      <c r="W600">
        <v>5</v>
      </c>
      <c r="X600">
        <v>38</v>
      </c>
      <c r="Y600">
        <v>47</v>
      </c>
      <c r="Z600">
        <v>1</v>
      </c>
      <c r="AG600">
        <v>3</v>
      </c>
      <c r="AH600">
        <v>2</v>
      </c>
      <c r="AI600">
        <v>5</v>
      </c>
      <c r="AJ600">
        <v>0</v>
      </c>
      <c r="AK600">
        <v>1</v>
      </c>
      <c r="AL600">
        <v>2</v>
      </c>
      <c r="AM600">
        <v>3</v>
      </c>
      <c r="AN600">
        <v>0</v>
      </c>
      <c r="AO600">
        <v>2</v>
      </c>
      <c r="AP600">
        <v>0</v>
      </c>
      <c r="AQ600">
        <v>0</v>
      </c>
      <c r="AR600">
        <v>0</v>
      </c>
      <c r="BC600">
        <v>0</v>
      </c>
      <c r="BD600">
        <v>11</v>
      </c>
      <c r="BE600">
        <v>291</v>
      </c>
      <c r="BF600">
        <v>291</v>
      </c>
      <c r="BG600">
        <v>431</v>
      </c>
      <c r="BJ600">
        <v>1</v>
      </c>
      <c r="BL600" t="s">
        <v>1318</v>
      </c>
      <c r="BM600" s="4">
        <v>43283.128472222219</v>
      </c>
      <c r="BN600" s="4">
        <v>43283.13857638889</v>
      </c>
      <c r="BO600" s="4">
        <v>43283.13857638889</v>
      </c>
      <c r="BP600" t="s">
        <v>92</v>
      </c>
      <c r="BQ600" t="s">
        <v>93</v>
      </c>
      <c r="BR600" t="s">
        <v>94</v>
      </c>
    </row>
    <row r="601" spans="1:70" x14ac:dyDescent="0.3">
      <c r="A601" t="str">
        <f>"200337B0100"</f>
        <v>200337B0100</v>
      </c>
      <c r="B601" t="s">
        <v>1319</v>
      </c>
      <c r="C601">
        <v>20</v>
      </c>
      <c r="D601" t="s">
        <v>88</v>
      </c>
      <c r="E601">
        <v>44</v>
      </c>
      <c r="F601" t="s">
        <v>1303</v>
      </c>
      <c r="G601">
        <v>337</v>
      </c>
      <c r="H601">
        <v>1</v>
      </c>
      <c r="I601" t="s">
        <v>90</v>
      </c>
      <c r="J601">
        <v>0</v>
      </c>
      <c r="K601">
        <v>1</v>
      </c>
      <c r="L601">
        <v>5</v>
      </c>
      <c r="M601">
        <v>153</v>
      </c>
      <c r="N601">
        <v>269</v>
      </c>
      <c r="O601">
        <v>6</v>
      </c>
      <c r="P601">
        <v>268</v>
      </c>
      <c r="Q601">
        <v>6</v>
      </c>
      <c r="R601">
        <v>94</v>
      </c>
      <c r="S601">
        <v>65</v>
      </c>
      <c r="T601">
        <v>4</v>
      </c>
      <c r="U601">
        <v>6</v>
      </c>
      <c r="V601">
        <v>2</v>
      </c>
      <c r="W601">
        <v>2</v>
      </c>
      <c r="X601">
        <v>32</v>
      </c>
      <c r="Y601">
        <v>36</v>
      </c>
      <c r="Z601">
        <v>3</v>
      </c>
      <c r="AG601">
        <v>5</v>
      </c>
      <c r="AH601">
        <v>1</v>
      </c>
      <c r="AI601">
        <v>3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2</v>
      </c>
      <c r="AP601">
        <v>0</v>
      </c>
      <c r="AQ601">
        <v>0</v>
      </c>
      <c r="AR601">
        <v>0</v>
      </c>
      <c r="BC601">
        <v>0</v>
      </c>
      <c r="BD601">
        <v>7</v>
      </c>
      <c r="BE601">
        <v>268</v>
      </c>
      <c r="BF601">
        <v>268</v>
      </c>
      <c r="BG601">
        <v>400</v>
      </c>
      <c r="BJ601">
        <v>1</v>
      </c>
      <c r="BL601" t="s">
        <v>1320</v>
      </c>
      <c r="BM601" s="4">
        <v>43283.145833333336</v>
      </c>
      <c r="BN601" s="4">
        <v>43283.157071759262</v>
      </c>
      <c r="BO601" s="4">
        <v>43283.157071759262</v>
      </c>
      <c r="BP601" t="s">
        <v>92</v>
      </c>
      <c r="BQ601" t="s">
        <v>93</v>
      </c>
      <c r="BR601" t="s">
        <v>94</v>
      </c>
    </row>
    <row r="602" spans="1:70" x14ac:dyDescent="0.3">
      <c r="A602" t="str">
        <f>"200337C0100"</f>
        <v>200337C0100</v>
      </c>
      <c r="B602" t="s">
        <v>1321</v>
      </c>
      <c r="C602">
        <v>20</v>
      </c>
      <c r="D602" t="s">
        <v>88</v>
      </c>
      <c r="E602">
        <v>44</v>
      </c>
      <c r="F602" t="s">
        <v>1303</v>
      </c>
      <c r="G602">
        <v>337</v>
      </c>
      <c r="H602">
        <v>1</v>
      </c>
      <c r="I602" t="s">
        <v>98</v>
      </c>
      <c r="J602">
        <v>0</v>
      </c>
      <c r="K602">
        <v>1</v>
      </c>
      <c r="L602">
        <v>5</v>
      </c>
      <c r="M602">
        <v>141</v>
      </c>
      <c r="N602">
        <v>422</v>
      </c>
      <c r="O602">
        <v>0</v>
      </c>
      <c r="P602">
        <v>281</v>
      </c>
      <c r="Q602">
        <v>3</v>
      </c>
      <c r="R602">
        <v>115</v>
      </c>
      <c r="S602">
        <v>64</v>
      </c>
      <c r="T602">
        <v>6</v>
      </c>
      <c r="U602">
        <v>5</v>
      </c>
      <c r="V602">
        <v>0</v>
      </c>
      <c r="W602">
        <v>0</v>
      </c>
      <c r="X602">
        <v>35</v>
      </c>
      <c r="Y602">
        <v>26</v>
      </c>
      <c r="Z602">
        <v>0</v>
      </c>
      <c r="AG602">
        <v>7</v>
      </c>
      <c r="AH602">
        <v>2</v>
      </c>
      <c r="AI602">
        <v>1</v>
      </c>
      <c r="AJ602">
        <v>0</v>
      </c>
      <c r="AK602">
        <v>0</v>
      </c>
      <c r="AL602">
        <v>1</v>
      </c>
      <c r="AM602">
        <v>0</v>
      </c>
      <c r="AN602">
        <v>1</v>
      </c>
      <c r="AO602">
        <v>1</v>
      </c>
      <c r="AP602">
        <v>2</v>
      </c>
      <c r="AQ602">
        <v>0</v>
      </c>
      <c r="AR602">
        <v>0</v>
      </c>
      <c r="BC602">
        <v>0</v>
      </c>
      <c r="BD602">
        <v>12</v>
      </c>
      <c r="BE602">
        <v>281</v>
      </c>
      <c r="BF602">
        <v>281</v>
      </c>
      <c r="BG602">
        <v>400</v>
      </c>
      <c r="BJ602">
        <v>1</v>
      </c>
      <c r="BL602" t="s">
        <v>1322</v>
      </c>
      <c r="BM602" s="4">
        <v>43283.213194444441</v>
      </c>
      <c r="BN602" s="4">
        <v>43283.23878472222</v>
      </c>
      <c r="BO602" s="4">
        <v>43283.23878472222</v>
      </c>
      <c r="BP602" t="s">
        <v>92</v>
      </c>
      <c r="BQ602" t="s">
        <v>93</v>
      </c>
      <c r="BR602" t="s">
        <v>94</v>
      </c>
    </row>
    <row r="603" spans="1:70" x14ac:dyDescent="0.3">
      <c r="A603" t="str">
        <f>"200338B0100"</f>
        <v>200338B0100</v>
      </c>
      <c r="B603" t="s">
        <v>1323</v>
      </c>
      <c r="C603">
        <v>20</v>
      </c>
      <c r="D603" t="s">
        <v>88</v>
      </c>
      <c r="E603">
        <v>44</v>
      </c>
      <c r="F603" t="s">
        <v>1303</v>
      </c>
      <c r="G603">
        <v>338</v>
      </c>
      <c r="H603">
        <v>1</v>
      </c>
      <c r="I603" t="s">
        <v>90</v>
      </c>
      <c r="J603">
        <v>0</v>
      </c>
      <c r="K603">
        <v>1</v>
      </c>
      <c r="L603">
        <v>5</v>
      </c>
      <c r="M603">
        <v>169</v>
      </c>
      <c r="N603">
        <v>332</v>
      </c>
      <c r="O603">
        <v>2</v>
      </c>
      <c r="P603">
        <v>333</v>
      </c>
      <c r="Q603">
        <v>3</v>
      </c>
      <c r="R603">
        <v>82</v>
      </c>
      <c r="S603">
        <v>98</v>
      </c>
      <c r="T603">
        <v>8</v>
      </c>
      <c r="U603">
        <v>9</v>
      </c>
      <c r="V603">
        <v>2</v>
      </c>
      <c r="W603">
        <v>0</v>
      </c>
      <c r="X603">
        <v>71</v>
      </c>
      <c r="Y603">
        <v>31</v>
      </c>
      <c r="Z603">
        <v>3</v>
      </c>
      <c r="AG603">
        <v>9</v>
      </c>
      <c r="AH603">
        <v>1</v>
      </c>
      <c r="AI603">
        <v>3</v>
      </c>
      <c r="AJ603">
        <v>0</v>
      </c>
      <c r="AK603">
        <v>1</v>
      </c>
      <c r="AL603">
        <v>1</v>
      </c>
      <c r="AM603">
        <v>0</v>
      </c>
      <c r="AN603">
        <v>0</v>
      </c>
      <c r="AO603">
        <v>2</v>
      </c>
      <c r="AP603">
        <v>1</v>
      </c>
      <c r="AQ603">
        <v>0</v>
      </c>
      <c r="AR603">
        <v>0</v>
      </c>
      <c r="BC603">
        <v>0</v>
      </c>
      <c r="BD603">
        <v>8</v>
      </c>
      <c r="BE603">
        <v>333</v>
      </c>
      <c r="BF603">
        <v>333</v>
      </c>
      <c r="BG603">
        <v>480</v>
      </c>
      <c r="BJ603">
        <v>1</v>
      </c>
      <c r="BL603" t="s">
        <v>1324</v>
      </c>
      <c r="BM603" s="4">
        <v>43283.211111111108</v>
      </c>
      <c r="BN603" s="4">
        <v>43283.235775462963</v>
      </c>
      <c r="BO603" s="4">
        <v>43283.235775462963</v>
      </c>
      <c r="BP603" t="s">
        <v>92</v>
      </c>
      <c r="BQ603" t="s">
        <v>93</v>
      </c>
      <c r="BR603" t="s">
        <v>94</v>
      </c>
    </row>
    <row r="604" spans="1:70" x14ac:dyDescent="0.3">
      <c r="A604" t="str">
        <f>"200338C0100"</f>
        <v>200338C0100</v>
      </c>
      <c r="B604" t="s">
        <v>1325</v>
      </c>
      <c r="C604">
        <v>20</v>
      </c>
      <c r="D604" t="s">
        <v>88</v>
      </c>
      <c r="E604">
        <v>44</v>
      </c>
      <c r="F604" t="s">
        <v>1303</v>
      </c>
      <c r="G604">
        <v>338</v>
      </c>
      <c r="H604">
        <v>1</v>
      </c>
      <c r="I604" t="s">
        <v>98</v>
      </c>
      <c r="J604">
        <v>0</v>
      </c>
      <c r="K604">
        <v>1</v>
      </c>
      <c r="L604">
        <v>5</v>
      </c>
      <c r="M604" t="s">
        <v>105</v>
      </c>
      <c r="N604" t="s">
        <v>105</v>
      </c>
      <c r="O604" t="s">
        <v>105</v>
      </c>
      <c r="P604" t="s">
        <v>105</v>
      </c>
      <c r="Q604">
        <v>11</v>
      </c>
      <c r="R604">
        <v>88</v>
      </c>
      <c r="S604">
        <v>100</v>
      </c>
      <c r="T604">
        <v>11</v>
      </c>
      <c r="U604">
        <v>6</v>
      </c>
      <c r="V604">
        <v>1</v>
      </c>
      <c r="W604">
        <v>1</v>
      </c>
      <c r="X604">
        <v>63</v>
      </c>
      <c r="Y604">
        <v>39</v>
      </c>
      <c r="Z604">
        <v>5</v>
      </c>
      <c r="AG604">
        <v>5</v>
      </c>
      <c r="AH604" t="s">
        <v>105</v>
      </c>
      <c r="AI604">
        <v>2</v>
      </c>
      <c r="AJ604" t="s">
        <v>105</v>
      </c>
      <c r="AK604" t="s">
        <v>105</v>
      </c>
      <c r="AL604" t="s">
        <v>105</v>
      </c>
      <c r="AM604" t="s">
        <v>105</v>
      </c>
      <c r="AN604">
        <v>1</v>
      </c>
      <c r="AO604">
        <v>3</v>
      </c>
      <c r="AP604">
        <v>1</v>
      </c>
      <c r="AQ604" t="s">
        <v>105</v>
      </c>
      <c r="AR604" t="s">
        <v>105</v>
      </c>
      <c r="BC604" t="s">
        <v>105</v>
      </c>
      <c r="BD604" t="s">
        <v>105</v>
      </c>
      <c r="BE604" t="s">
        <v>105</v>
      </c>
      <c r="BF604">
        <v>337</v>
      </c>
      <c r="BG604">
        <v>480</v>
      </c>
      <c r="BI604" t="s">
        <v>106</v>
      </c>
      <c r="BJ604">
        <v>1</v>
      </c>
      <c r="BL604" s="2" t="s">
        <v>1326</v>
      </c>
      <c r="BM604" s="4">
        <v>43283.195138888892</v>
      </c>
      <c r="BN604" s="4">
        <v>43283.23033564815</v>
      </c>
      <c r="BO604" s="4">
        <v>43283.23033564815</v>
      </c>
      <c r="BP604" t="s">
        <v>92</v>
      </c>
      <c r="BQ604" t="s">
        <v>93</v>
      </c>
      <c r="BR604" t="s">
        <v>94</v>
      </c>
    </row>
    <row r="605" spans="1:70" x14ac:dyDescent="0.3">
      <c r="A605" t="str">
        <f>"200339B0100"</f>
        <v>200339B0100</v>
      </c>
      <c r="B605" t="s">
        <v>1327</v>
      </c>
      <c r="C605">
        <v>20</v>
      </c>
      <c r="D605" t="s">
        <v>88</v>
      </c>
      <c r="E605">
        <v>44</v>
      </c>
      <c r="F605" t="s">
        <v>1303</v>
      </c>
      <c r="G605">
        <v>339</v>
      </c>
      <c r="H605">
        <v>1</v>
      </c>
      <c r="I605" t="s">
        <v>90</v>
      </c>
      <c r="J605">
        <v>0</v>
      </c>
      <c r="K605">
        <v>1</v>
      </c>
      <c r="L605">
        <v>5</v>
      </c>
      <c r="M605" t="s">
        <v>127</v>
      </c>
      <c r="N605" t="s">
        <v>127</v>
      </c>
      <c r="O605" t="s">
        <v>127</v>
      </c>
      <c r="P605" t="s">
        <v>127</v>
      </c>
      <c r="Q605" t="s">
        <v>127</v>
      </c>
      <c r="R605" t="s">
        <v>127</v>
      </c>
      <c r="S605" t="s">
        <v>127</v>
      </c>
      <c r="T605" t="s">
        <v>127</v>
      </c>
      <c r="U605" t="s">
        <v>127</v>
      </c>
      <c r="V605" t="s">
        <v>127</v>
      </c>
      <c r="W605" t="s">
        <v>127</v>
      </c>
      <c r="X605" t="s">
        <v>127</v>
      </c>
      <c r="Y605" t="s">
        <v>127</v>
      </c>
      <c r="Z605" t="s">
        <v>127</v>
      </c>
      <c r="AG605" t="s">
        <v>127</v>
      </c>
      <c r="AH605" t="s">
        <v>127</v>
      </c>
      <c r="AI605" t="s">
        <v>127</v>
      </c>
      <c r="AJ605" t="s">
        <v>127</v>
      </c>
      <c r="AK605" t="s">
        <v>127</v>
      </c>
      <c r="AL605" t="s">
        <v>127</v>
      </c>
      <c r="AM605" t="s">
        <v>127</v>
      </c>
      <c r="AN605" t="s">
        <v>127</v>
      </c>
      <c r="AO605" t="s">
        <v>127</v>
      </c>
      <c r="AP605" t="s">
        <v>127</v>
      </c>
      <c r="AQ605" t="s">
        <v>127</v>
      </c>
      <c r="AR605" t="s">
        <v>127</v>
      </c>
      <c r="BC605" t="s">
        <v>127</v>
      </c>
      <c r="BD605" t="s">
        <v>127</v>
      </c>
      <c r="BG605">
        <v>479</v>
      </c>
      <c r="BI605" t="s">
        <v>1244</v>
      </c>
      <c r="BJ605">
        <v>0</v>
      </c>
      <c r="BL605" t="s">
        <v>1328</v>
      </c>
      <c r="BM605" s="4">
        <v>43283.175694444442</v>
      </c>
      <c r="BN605" s="4">
        <v>43283.800706018519</v>
      </c>
      <c r="BO605" s="4">
        <v>43283.800706018519</v>
      </c>
      <c r="BP605" t="s">
        <v>92</v>
      </c>
      <c r="BQ605" t="s">
        <v>93</v>
      </c>
      <c r="BR605" t="s">
        <v>94</v>
      </c>
    </row>
    <row r="606" spans="1:70" x14ac:dyDescent="0.3">
      <c r="A606" t="str">
        <f>"200339C0100"</f>
        <v>200339C0100</v>
      </c>
      <c r="B606" t="s">
        <v>1329</v>
      </c>
      <c r="C606">
        <v>20</v>
      </c>
      <c r="D606" t="s">
        <v>88</v>
      </c>
      <c r="E606">
        <v>44</v>
      </c>
      <c r="F606" t="s">
        <v>1303</v>
      </c>
      <c r="G606">
        <v>339</v>
      </c>
      <c r="H606">
        <v>1</v>
      </c>
      <c r="I606" t="s">
        <v>98</v>
      </c>
      <c r="J606">
        <v>0</v>
      </c>
      <c r="K606">
        <v>1</v>
      </c>
      <c r="L606">
        <v>5</v>
      </c>
      <c r="BG606">
        <v>478</v>
      </c>
      <c r="BI606" t="s">
        <v>365</v>
      </c>
      <c r="BJ606">
        <v>0</v>
      </c>
      <c r="BL606" t="s">
        <v>1330</v>
      </c>
      <c r="BM606" s="4">
        <v>43283.768750000003</v>
      </c>
      <c r="BN606" s="4">
        <v>43283.772002314814</v>
      </c>
      <c r="BO606" s="4">
        <v>43283.772002314814</v>
      </c>
      <c r="BP606" t="s">
        <v>92</v>
      </c>
      <c r="BQ606" t="s">
        <v>93</v>
      </c>
      <c r="BR606" t="s">
        <v>94</v>
      </c>
    </row>
    <row r="607" spans="1:70" x14ac:dyDescent="0.3">
      <c r="A607" t="str">
        <f>"200340B0100"</f>
        <v>200340B0100</v>
      </c>
      <c r="B607" t="s">
        <v>1331</v>
      </c>
      <c r="C607">
        <v>20</v>
      </c>
      <c r="D607" t="s">
        <v>88</v>
      </c>
      <c r="E607">
        <v>44</v>
      </c>
      <c r="F607" t="s">
        <v>1303</v>
      </c>
      <c r="G607">
        <v>340</v>
      </c>
      <c r="H607">
        <v>1</v>
      </c>
      <c r="I607" t="s">
        <v>90</v>
      </c>
      <c r="J607">
        <v>0</v>
      </c>
      <c r="K607">
        <v>1</v>
      </c>
      <c r="L607">
        <v>5</v>
      </c>
      <c r="M607">
        <v>132</v>
      </c>
      <c r="N607">
        <v>271</v>
      </c>
      <c r="O607">
        <v>6</v>
      </c>
      <c r="P607">
        <v>9</v>
      </c>
      <c r="Q607">
        <v>15</v>
      </c>
      <c r="R607">
        <v>79</v>
      </c>
      <c r="S607">
        <v>82</v>
      </c>
      <c r="T607">
        <v>5</v>
      </c>
      <c r="U607">
        <v>7</v>
      </c>
      <c r="V607">
        <v>3</v>
      </c>
      <c r="W607">
        <v>0</v>
      </c>
      <c r="X607">
        <v>36</v>
      </c>
      <c r="Y607">
        <v>29</v>
      </c>
      <c r="Z607">
        <v>2</v>
      </c>
      <c r="AG607">
        <v>4</v>
      </c>
      <c r="AH607">
        <v>3</v>
      </c>
      <c r="AI607">
        <v>0</v>
      </c>
      <c r="AJ607">
        <v>0</v>
      </c>
      <c r="AK607">
        <v>1</v>
      </c>
      <c r="AL607">
        <v>0</v>
      </c>
      <c r="AM607">
        <v>0</v>
      </c>
      <c r="AN607">
        <v>0</v>
      </c>
      <c r="AO607">
        <v>0</v>
      </c>
      <c r="AP607">
        <v>2</v>
      </c>
      <c r="AQ607">
        <v>0</v>
      </c>
      <c r="AR607">
        <v>0</v>
      </c>
      <c r="BC607">
        <v>0</v>
      </c>
      <c r="BD607">
        <v>13</v>
      </c>
      <c r="BE607">
        <v>281</v>
      </c>
      <c r="BF607">
        <v>281</v>
      </c>
      <c r="BG607">
        <v>381</v>
      </c>
      <c r="BJ607">
        <v>1</v>
      </c>
      <c r="BL607" t="s">
        <v>1332</v>
      </c>
      <c r="BM607" s="4">
        <v>43283.211805555555</v>
      </c>
      <c r="BN607" s="4">
        <v>43283.299074074072</v>
      </c>
      <c r="BO607" s="4">
        <v>43283.299074074072</v>
      </c>
      <c r="BP607" t="s">
        <v>92</v>
      </c>
      <c r="BQ607" t="s">
        <v>93</v>
      </c>
      <c r="BR607" t="s">
        <v>94</v>
      </c>
    </row>
    <row r="608" spans="1:70" x14ac:dyDescent="0.3">
      <c r="A608" t="str">
        <f>"200340C0100"</f>
        <v>200340C0100</v>
      </c>
      <c r="B608" t="s">
        <v>1333</v>
      </c>
      <c r="C608">
        <v>20</v>
      </c>
      <c r="D608" t="s">
        <v>88</v>
      </c>
      <c r="E608">
        <v>44</v>
      </c>
      <c r="F608" t="s">
        <v>1303</v>
      </c>
      <c r="G608">
        <v>340</v>
      </c>
      <c r="H608">
        <v>1</v>
      </c>
      <c r="I608" t="s">
        <v>98</v>
      </c>
      <c r="J608">
        <v>0</v>
      </c>
      <c r="K608">
        <v>1</v>
      </c>
      <c r="L608">
        <v>5</v>
      </c>
      <c r="M608">
        <v>132</v>
      </c>
      <c r="N608">
        <v>271</v>
      </c>
      <c r="O608">
        <v>6</v>
      </c>
      <c r="P608">
        <v>9</v>
      </c>
      <c r="Q608">
        <v>15</v>
      </c>
      <c r="R608">
        <v>79</v>
      </c>
      <c r="S608">
        <v>82</v>
      </c>
      <c r="T608">
        <v>5</v>
      </c>
      <c r="U608">
        <v>7</v>
      </c>
      <c r="V608">
        <v>3</v>
      </c>
      <c r="W608">
        <v>0</v>
      </c>
      <c r="X608">
        <v>36</v>
      </c>
      <c r="Y608">
        <v>29</v>
      </c>
      <c r="Z608">
        <v>2</v>
      </c>
      <c r="AG608">
        <v>4</v>
      </c>
      <c r="AH608">
        <v>3</v>
      </c>
      <c r="AI608">
        <v>0</v>
      </c>
      <c r="AJ608">
        <v>0</v>
      </c>
      <c r="AK608">
        <v>1</v>
      </c>
      <c r="AL608">
        <v>0</v>
      </c>
      <c r="AM608">
        <v>0</v>
      </c>
      <c r="AN608">
        <v>0</v>
      </c>
      <c r="AO608">
        <v>0</v>
      </c>
      <c r="AP608">
        <v>2</v>
      </c>
      <c r="AQ608">
        <v>0</v>
      </c>
      <c r="AR608">
        <v>0</v>
      </c>
      <c r="BC608">
        <v>0</v>
      </c>
      <c r="BD608">
        <v>13</v>
      </c>
      <c r="BE608">
        <v>281</v>
      </c>
      <c r="BF608">
        <v>281</v>
      </c>
      <c r="BG608">
        <v>381</v>
      </c>
      <c r="BJ608">
        <v>1</v>
      </c>
      <c r="BL608" t="s">
        <v>1334</v>
      </c>
      <c r="BM608" s="4">
        <v>43283.211805555555</v>
      </c>
      <c r="BN608" s="4">
        <v>43283.802615740744</v>
      </c>
      <c r="BO608" s="4">
        <v>43283.802615740744</v>
      </c>
      <c r="BP608" t="s">
        <v>92</v>
      </c>
      <c r="BQ608" t="s">
        <v>93</v>
      </c>
      <c r="BR608" t="s">
        <v>94</v>
      </c>
    </row>
    <row r="609" spans="1:70" x14ac:dyDescent="0.3">
      <c r="A609" t="str">
        <f>"200341B0100"</f>
        <v>200341B0100</v>
      </c>
      <c r="B609" t="s">
        <v>1335</v>
      </c>
      <c r="C609">
        <v>20</v>
      </c>
      <c r="D609" t="s">
        <v>88</v>
      </c>
      <c r="E609">
        <v>44</v>
      </c>
      <c r="F609" t="s">
        <v>1303</v>
      </c>
      <c r="G609">
        <v>341</v>
      </c>
      <c r="H609">
        <v>1</v>
      </c>
      <c r="I609" t="s">
        <v>90</v>
      </c>
      <c r="J609">
        <v>0</v>
      </c>
      <c r="K609">
        <v>2</v>
      </c>
      <c r="L609">
        <v>5</v>
      </c>
      <c r="M609">
        <v>265</v>
      </c>
      <c r="N609">
        <v>360</v>
      </c>
      <c r="O609">
        <v>0</v>
      </c>
      <c r="P609">
        <v>360</v>
      </c>
      <c r="Q609">
        <v>9</v>
      </c>
      <c r="R609">
        <v>82</v>
      </c>
      <c r="S609">
        <v>94</v>
      </c>
      <c r="T609">
        <v>8</v>
      </c>
      <c r="U609">
        <v>10</v>
      </c>
      <c r="V609">
        <v>3</v>
      </c>
      <c r="W609">
        <v>3</v>
      </c>
      <c r="X609">
        <v>55</v>
      </c>
      <c r="Y609">
        <v>61</v>
      </c>
      <c r="Z609">
        <v>6</v>
      </c>
      <c r="AG609">
        <v>6</v>
      </c>
      <c r="AH609">
        <v>1</v>
      </c>
      <c r="AI609">
        <v>0</v>
      </c>
      <c r="AJ609">
        <v>0</v>
      </c>
      <c r="AK609">
        <v>2</v>
      </c>
      <c r="AL609">
        <v>1</v>
      </c>
      <c r="AM609">
        <v>1</v>
      </c>
      <c r="AN609">
        <v>1</v>
      </c>
      <c r="AO609">
        <v>2</v>
      </c>
      <c r="AP609">
        <v>0</v>
      </c>
      <c r="AQ609">
        <v>0</v>
      </c>
      <c r="AR609">
        <v>0</v>
      </c>
      <c r="BC609">
        <v>0</v>
      </c>
      <c r="BD609">
        <v>15</v>
      </c>
      <c r="BE609">
        <v>360</v>
      </c>
      <c r="BF609">
        <v>360</v>
      </c>
      <c r="BG609">
        <v>604</v>
      </c>
      <c r="BJ609">
        <v>1</v>
      </c>
      <c r="BL609" t="s">
        <v>1336</v>
      </c>
      <c r="BM609" s="4">
        <v>43283.3</v>
      </c>
      <c r="BN609" s="4">
        <v>43283.332025462965</v>
      </c>
      <c r="BO609" s="4">
        <v>43283.332025462965</v>
      </c>
      <c r="BP609" t="s">
        <v>92</v>
      </c>
      <c r="BQ609" t="s">
        <v>93</v>
      </c>
      <c r="BR609" t="s">
        <v>94</v>
      </c>
    </row>
    <row r="610" spans="1:70" x14ac:dyDescent="0.3">
      <c r="A610" t="str">
        <f>"200341C0100"</f>
        <v>200341C0100</v>
      </c>
      <c r="B610" t="s">
        <v>1337</v>
      </c>
      <c r="C610">
        <v>20</v>
      </c>
      <c r="D610" t="s">
        <v>88</v>
      </c>
      <c r="E610">
        <v>44</v>
      </c>
      <c r="F610" t="s">
        <v>1303</v>
      </c>
      <c r="G610">
        <v>341</v>
      </c>
      <c r="H610">
        <v>1</v>
      </c>
      <c r="I610" t="s">
        <v>98</v>
      </c>
      <c r="J610">
        <v>0</v>
      </c>
      <c r="K610">
        <v>2</v>
      </c>
      <c r="L610">
        <v>5</v>
      </c>
      <c r="M610">
        <v>244</v>
      </c>
      <c r="N610">
        <v>382</v>
      </c>
      <c r="O610">
        <v>1</v>
      </c>
      <c r="P610" t="s">
        <v>105</v>
      </c>
      <c r="Q610">
        <v>10</v>
      </c>
      <c r="R610">
        <v>87</v>
      </c>
      <c r="S610">
        <v>129</v>
      </c>
      <c r="T610">
        <v>10</v>
      </c>
      <c r="U610">
        <v>10</v>
      </c>
      <c r="V610">
        <v>4</v>
      </c>
      <c r="W610">
        <v>4</v>
      </c>
      <c r="X610">
        <v>35</v>
      </c>
      <c r="Y610">
        <v>52</v>
      </c>
      <c r="Z610">
        <v>3</v>
      </c>
      <c r="AG610">
        <v>10</v>
      </c>
      <c r="AH610">
        <v>0</v>
      </c>
      <c r="AI610">
        <v>2</v>
      </c>
      <c r="AJ610">
        <v>1</v>
      </c>
      <c r="AK610">
        <v>2</v>
      </c>
      <c r="AL610">
        <v>0</v>
      </c>
      <c r="AM610">
        <v>1</v>
      </c>
      <c r="AN610">
        <v>0</v>
      </c>
      <c r="AO610">
        <v>4</v>
      </c>
      <c r="AP610">
        <v>2</v>
      </c>
      <c r="AQ610">
        <v>0</v>
      </c>
      <c r="AR610">
        <v>0</v>
      </c>
      <c r="BC610" t="s">
        <v>105</v>
      </c>
      <c r="BD610">
        <v>16</v>
      </c>
      <c r="BE610" t="s">
        <v>105</v>
      </c>
      <c r="BF610">
        <v>382</v>
      </c>
      <c r="BG610">
        <v>604</v>
      </c>
      <c r="BI610" t="s">
        <v>106</v>
      </c>
      <c r="BJ610">
        <v>1</v>
      </c>
      <c r="BL610" t="s">
        <v>1338</v>
      </c>
      <c r="BM610" s="4">
        <v>43283.300694444442</v>
      </c>
      <c r="BN610" s="4">
        <v>43283.328784722224</v>
      </c>
      <c r="BO610" s="4">
        <v>43283.328784722224</v>
      </c>
      <c r="BP610" t="s">
        <v>92</v>
      </c>
      <c r="BQ610" t="s">
        <v>93</v>
      </c>
      <c r="BR610" t="s">
        <v>94</v>
      </c>
    </row>
    <row r="611" spans="1:70" x14ac:dyDescent="0.3">
      <c r="A611" t="str">
        <f>"200341C0200"</f>
        <v>200341C0200</v>
      </c>
      <c r="B611" t="s">
        <v>1339</v>
      </c>
      <c r="C611">
        <v>20</v>
      </c>
      <c r="D611" t="s">
        <v>88</v>
      </c>
      <c r="E611">
        <v>44</v>
      </c>
      <c r="F611" t="s">
        <v>1303</v>
      </c>
      <c r="G611">
        <v>341</v>
      </c>
      <c r="H611">
        <v>2</v>
      </c>
      <c r="I611" t="s">
        <v>98</v>
      </c>
      <c r="J611">
        <v>0</v>
      </c>
      <c r="K611">
        <v>2</v>
      </c>
      <c r="L611">
        <v>5</v>
      </c>
      <c r="BG611">
        <v>604</v>
      </c>
      <c r="BI611" t="s">
        <v>365</v>
      </c>
      <c r="BJ611">
        <v>0</v>
      </c>
      <c r="BL611" t="s">
        <v>1340</v>
      </c>
      <c r="BM611" s="4">
        <v>43283.771527777775</v>
      </c>
      <c r="BN611" s="4">
        <v>43283.775150462963</v>
      </c>
      <c r="BO611" s="4">
        <v>43283.775150462963</v>
      </c>
      <c r="BP611" t="s">
        <v>92</v>
      </c>
      <c r="BQ611" t="s">
        <v>93</v>
      </c>
      <c r="BR611" t="s">
        <v>94</v>
      </c>
    </row>
    <row r="612" spans="1:70" x14ac:dyDescent="0.3">
      <c r="A612" t="str">
        <f>"200342B0100"</f>
        <v>200342B0100</v>
      </c>
      <c r="B612" t="s">
        <v>1341</v>
      </c>
      <c r="C612">
        <v>20</v>
      </c>
      <c r="D612" t="s">
        <v>88</v>
      </c>
      <c r="E612">
        <v>44</v>
      </c>
      <c r="F612" t="s">
        <v>1303</v>
      </c>
      <c r="G612">
        <v>342</v>
      </c>
      <c r="H612">
        <v>1</v>
      </c>
      <c r="I612" t="s">
        <v>90</v>
      </c>
      <c r="J612">
        <v>0</v>
      </c>
      <c r="K612">
        <v>1</v>
      </c>
      <c r="L612">
        <v>5</v>
      </c>
      <c r="M612">
        <v>173</v>
      </c>
      <c r="N612">
        <v>333</v>
      </c>
      <c r="O612">
        <v>8</v>
      </c>
      <c r="P612">
        <v>333</v>
      </c>
      <c r="Q612">
        <v>1</v>
      </c>
      <c r="R612">
        <v>92</v>
      </c>
      <c r="S612">
        <v>97</v>
      </c>
      <c r="T612">
        <v>6</v>
      </c>
      <c r="U612">
        <v>11</v>
      </c>
      <c r="V612">
        <v>7</v>
      </c>
      <c r="W612">
        <v>4</v>
      </c>
      <c r="X612">
        <v>43</v>
      </c>
      <c r="Y612">
        <v>44</v>
      </c>
      <c r="Z612">
        <v>3</v>
      </c>
      <c r="AG612">
        <v>0</v>
      </c>
      <c r="AH612">
        <v>2</v>
      </c>
      <c r="AI612">
        <v>0</v>
      </c>
      <c r="AJ612">
        <v>0</v>
      </c>
      <c r="AK612">
        <v>4</v>
      </c>
      <c r="AL612">
        <v>1</v>
      </c>
      <c r="AM612">
        <v>2</v>
      </c>
      <c r="AN612">
        <v>0</v>
      </c>
      <c r="AO612">
        <v>3</v>
      </c>
      <c r="AP612">
        <v>0</v>
      </c>
      <c r="AQ612">
        <v>0</v>
      </c>
      <c r="AR612">
        <v>1</v>
      </c>
      <c r="BC612">
        <v>0</v>
      </c>
      <c r="BD612">
        <v>12</v>
      </c>
      <c r="BE612">
        <v>333</v>
      </c>
      <c r="BF612">
        <v>333</v>
      </c>
      <c r="BG612">
        <v>484</v>
      </c>
      <c r="BJ612">
        <v>1</v>
      </c>
      <c r="BL612" t="s">
        <v>1342</v>
      </c>
      <c r="BM612" s="4">
        <v>43283.222916666666</v>
      </c>
      <c r="BN612" s="4">
        <v>43283.246516203704</v>
      </c>
      <c r="BO612" s="4">
        <v>43283.246516203704</v>
      </c>
      <c r="BP612" t="s">
        <v>92</v>
      </c>
      <c r="BQ612" t="s">
        <v>93</v>
      </c>
      <c r="BR612" t="s">
        <v>94</v>
      </c>
    </row>
    <row r="613" spans="1:70" x14ac:dyDescent="0.3">
      <c r="A613" t="str">
        <f>"200342C0100"</f>
        <v>200342C0100</v>
      </c>
      <c r="B613" t="s">
        <v>1343</v>
      </c>
      <c r="C613">
        <v>20</v>
      </c>
      <c r="D613" t="s">
        <v>88</v>
      </c>
      <c r="E613">
        <v>44</v>
      </c>
      <c r="F613" t="s">
        <v>1303</v>
      </c>
      <c r="G613">
        <v>342</v>
      </c>
      <c r="H613">
        <v>1</v>
      </c>
      <c r="I613" t="s">
        <v>98</v>
      </c>
      <c r="J613">
        <v>0</v>
      </c>
      <c r="K613">
        <v>1</v>
      </c>
      <c r="L613">
        <v>5</v>
      </c>
      <c r="M613">
        <v>192</v>
      </c>
      <c r="N613">
        <v>313</v>
      </c>
      <c r="O613">
        <v>5</v>
      </c>
      <c r="P613">
        <v>313</v>
      </c>
      <c r="Q613">
        <v>4</v>
      </c>
      <c r="R613">
        <v>85</v>
      </c>
      <c r="S613">
        <v>83</v>
      </c>
      <c r="T613">
        <v>9</v>
      </c>
      <c r="U613">
        <v>10</v>
      </c>
      <c r="V613">
        <v>5</v>
      </c>
      <c r="W613">
        <v>1</v>
      </c>
      <c r="X613">
        <v>46</v>
      </c>
      <c r="Y613">
        <v>45</v>
      </c>
      <c r="Z613">
        <v>4</v>
      </c>
      <c r="AG613">
        <v>4</v>
      </c>
      <c r="AH613">
        <v>2</v>
      </c>
      <c r="AI613">
        <v>0</v>
      </c>
      <c r="AJ613">
        <v>0</v>
      </c>
      <c r="AK613">
        <v>2</v>
      </c>
      <c r="AL613">
        <v>1</v>
      </c>
      <c r="AM613">
        <v>1</v>
      </c>
      <c r="AN613">
        <v>0</v>
      </c>
      <c r="AO613">
        <v>4</v>
      </c>
      <c r="AP613">
        <v>0</v>
      </c>
      <c r="AQ613">
        <v>0</v>
      </c>
      <c r="AR613">
        <v>0</v>
      </c>
      <c r="BC613">
        <v>0</v>
      </c>
      <c r="BD613">
        <v>7</v>
      </c>
      <c r="BE613">
        <v>313</v>
      </c>
      <c r="BF613">
        <v>313</v>
      </c>
      <c r="BG613">
        <v>483</v>
      </c>
      <c r="BJ613">
        <v>1</v>
      </c>
      <c r="BL613" t="s">
        <v>1344</v>
      </c>
      <c r="BM613" s="4">
        <v>43283.222916666666</v>
      </c>
      <c r="BN613" s="4">
        <v>43283.246192129627</v>
      </c>
      <c r="BO613" s="4">
        <v>43283.246192129627</v>
      </c>
      <c r="BP613" t="s">
        <v>92</v>
      </c>
      <c r="BQ613" t="s">
        <v>93</v>
      </c>
      <c r="BR613" t="s">
        <v>94</v>
      </c>
    </row>
    <row r="614" spans="1:70" x14ac:dyDescent="0.3">
      <c r="A614" t="str">
        <f>"200343B0100"</f>
        <v>200343B0100</v>
      </c>
      <c r="B614" t="s">
        <v>1345</v>
      </c>
      <c r="C614">
        <v>20</v>
      </c>
      <c r="D614" t="s">
        <v>88</v>
      </c>
      <c r="E614">
        <v>44</v>
      </c>
      <c r="F614" t="s">
        <v>1303</v>
      </c>
      <c r="G614">
        <v>343</v>
      </c>
      <c r="H614">
        <v>1</v>
      </c>
      <c r="I614" t="s">
        <v>90</v>
      </c>
      <c r="J614">
        <v>0</v>
      </c>
      <c r="K614">
        <v>1</v>
      </c>
      <c r="L614">
        <v>5</v>
      </c>
      <c r="M614">
        <v>124</v>
      </c>
      <c r="N614">
        <v>274</v>
      </c>
      <c r="O614">
        <v>6</v>
      </c>
      <c r="P614">
        <v>274</v>
      </c>
      <c r="Q614">
        <v>6</v>
      </c>
      <c r="R614">
        <v>73</v>
      </c>
      <c r="S614">
        <v>70</v>
      </c>
      <c r="T614">
        <v>4</v>
      </c>
      <c r="U614">
        <v>5</v>
      </c>
      <c r="V614">
        <v>9</v>
      </c>
      <c r="W614">
        <v>0</v>
      </c>
      <c r="X614">
        <v>32</v>
      </c>
      <c r="Y614">
        <v>43</v>
      </c>
      <c r="Z614">
        <v>2</v>
      </c>
      <c r="AG614">
        <v>3</v>
      </c>
      <c r="AH614">
        <v>1</v>
      </c>
      <c r="AI614">
        <v>1</v>
      </c>
      <c r="AJ614">
        <v>0</v>
      </c>
      <c r="AK614">
        <v>4</v>
      </c>
      <c r="AL614">
        <v>1</v>
      </c>
      <c r="AM614">
        <v>0</v>
      </c>
      <c r="AN614">
        <v>0</v>
      </c>
      <c r="AO614">
        <v>4</v>
      </c>
      <c r="AP614">
        <v>2</v>
      </c>
      <c r="AQ614">
        <v>0</v>
      </c>
      <c r="AR614">
        <v>0</v>
      </c>
      <c r="BC614">
        <v>0</v>
      </c>
      <c r="BD614">
        <v>14</v>
      </c>
      <c r="BE614">
        <v>274</v>
      </c>
      <c r="BF614">
        <v>274</v>
      </c>
      <c r="BG614">
        <v>376</v>
      </c>
      <c r="BJ614">
        <v>1</v>
      </c>
      <c r="BL614" t="s">
        <v>1346</v>
      </c>
      <c r="BM614" s="4">
        <v>43283.010416666664</v>
      </c>
      <c r="BN614" s="4">
        <v>43283.022592592592</v>
      </c>
      <c r="BO614" s="4">
        <v>43283.022592592592</v>
      </c>
      <c r="BP614" t="s">
        <v>92</v>
      </c>
      <c r="BQ614" t="s">
        <v>93</v>
      </c>
      <c r="BR614" t="s">
        <v>94</v>
      </c>
    </row>
    <row r="615" spans="1:70" x14ac:dyDescent="0.3">
      <c r="A615" t="str">
        <f>"200343C0100"</f>
        <v>200343C0100</v>
      </c>
      <c r="B615" t="s">
        <v>1347</v>
      </c>
      <c r="C615">
        <v>20</v>
      </c>
      <c r="D615" t="s">
        <v>88</v>
      </c>
      <c r="E615">
        <v>44</v>
      </c>
      <c r="F615" t="s">
        <v>1303</v>
      </c>
      <c r="G615">
        <v>343</v>
      </c>
      <c r="H615">
        <v>1</v>
      </c>
      <c r="I615" t="s">
        <v>98</v>
      </c>
      <c r="J615">
        <v>0</v>
      </c>
      <c r="K615">
        <v>1</v>
      </c>
      <c r="L615">
        <v>5</v>
      </c>
      <c r="M615">
        <v>148</v>
      </c>
      <c r="N615">
        <v>249</v>
      </c>
      <c r="O615">
        <v>8</v>
      </c>
      <c r="P615">
        <v>249</v>
      </c>
      <c r="Q615">
        <v>7</v>
      </c>
      <c r="R615">
        <v>81</v>
      </c>
      <c r="S615">
        <v>74</v>
      </c>
      <c r="T615">
        <v>4</v>
      </c>
      <c r="U615">
        <v>1</v>
      </c>
      <c r="V615">
        <v>1</v>
      </c>
      <c r="W615">
        <v>0</v>
      </c>
      <c r="X615">
        <v>27</v>
      </c>
      <c r="Y615">
        <v>33</v>
      </c>
      <c r="Z615">
        <v>2</v>
      </c>
      <c r="AG615">
        <v>8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1</v>
      </c>
      <c r="AO615">
        <v>3</v>
      </c>
      <c r="AP615">
        <v>0</v>
      </c>
      <c r="AQ615">
        <v>0</v>
      </c>
      <c r="AR615">
        <v>0</v>
      </c>
      <c r="BC615">
        <v>0</v>
      </c>
      <c r="BD615">
        <v>12</v>
      </c>
      <c r="BE615">
        <v>249</v>
      </c>
      <c r="BF615">
        <v>254</v>
      </c>
      <c r="BG615">
        <v>375</v>
      </c>
      <c r="BJ615">
        <v>1</v>
      </c>
      <c r="BL615" t="s">
        <v>1348</v>
      </c>
      <c r="BM615" s="4">
        <v>43283.010416666664</v>
      </c>
      <c r="BN615" s="4">
        <v>43283.023530092592</v>
      </c>
      <c r="BO615" s="4">
        <v>43283.023530092592</v>
      </c>
      <c r="BP615" t="s">
        <v>92</v>
      </c>
      <c r="BQ615" t="s">
        <v>93</v>
      </c>
      <c r="BR615" t="s">
        <v>94</v>
      </c>
    </row>
    <row r="616" spans="1:70" x14ac:dyDescent="0.3">
      <c r="A616" t="str">
        <f>"200344B0100"</f>
        <v>200344B0100</v>
      </c>
      <c r="B616" t="s">
        <v>1349</v>
      </c>
      <c r="C616">
        <v>20</v>
      </c>
      <c r="D616" t="s">
        <v>88</v>
      </c>
      <c r="E616">
        <v>44</v>
      </c>
      <c r="F616" t="s">
        <v>1303</v>
      </c>
      <c r="G616">
        <v>344</v>
      </c>
      <c r="H616">
        <v>1</v>
      </c>
      <c r="I616" t="s">
        <v>90</v>
      </c>
      <c r="J616">
        <v>0</v>
      </c>
      <c r="K616">
        <v>1</v>
      </c>
      <c r="L616">
        <v>5</v>
      </c>
      <c r="M616">
        <v>249</v>
      </c>
      <c r="N616">
        <v>432</v>
      </c>
      <c r="O616">
        <v>4</v>
      </c>
      <c r="P616">
        <v>432</v>
      </c>
      <c r="Q616">
        <v>11</v>
      </c>
      <c r="R616">
        <v>144</v>
      </c>
      <c r="S616">
        <v>126</v>
      </c>
      <c r="T616">
        <v>10</v>
      </c>
      <c r="U616">
        <v>5</v>
      </c>
      <c r="V616">
        <v>1</v>
      </c>
      <c r="W616">
        <v>3</v>
      </c>
      <c r="X616">
        <v>54</v>
      </c>
      <c r="Y616">
        <v>43</v>
      </c>
      <c r="Z616">
        <v>5</v>
      </c>
      <c r="AG616">
        <v>8</v>
      </c>
      <c r="AH616">
        <v>3</v>
      </c>
      <c r="AI616">
        <v>1</v>
      </c>
      <c r="AJ616">
        <v>0</v>
      </c>
      <c r="AK616">
        <v>0</v>
      </c>
      <c r="AL616">
        <v>1</v>
      </c>
      <c r="AM616">
        <v>0</v>
      </c>
      <c r="AN616">
        <v>0</v>
      </c>
      <c r="AO616">
        <v>2</v>
      </c>
      <c r="AP616">
        <v>0</v>
      </c>
      <c r="AQ616">
        <v>0</v>
      </c>
      <c r="AR616">
        <v>0</v>
      </c>
      <c r="BC616">
        <v>0</v>
      </c>
      <c r="BD616">
        <v>15</v>
      </c>
      <c r="BE616">
        <v>432</v>
      </c>
      <c r="BF616">
        <v>432</v>
      </c>
      <c r="BG616">
        <v>659</v>
      </c>
      <c r="BJ616">
        <v>1</v>
      </c>
      <c r="BL616" t="s">
        <v>1350</v>
      </c>
      <c r="BM616" s="4">
        <v>43283.118055555555</v>
      </c>
      <c r="BN616" s="4">
        <v>43283.127199074072</v>
      </c>
      <c r="BO616" s="4">
        <v>43283.127199074072</v>
      </c>
      <c r="BP616" t="s">
        <v>92</v>
      </c>
      <c r="BQ616" t="s">
        <v>93</v>
      </c>
      <c r="BR616" t="s">
        <v>94</v>
      </c>
    </row>
    <row r="617" spans="1:70" x14ac:dyDescent="0.3">
      <c r="A617" t="str">
        <f>"200344S0100"</f>
        <v>200344S0100</v>
      </c>
      <c r="B617" t="s">
        <v>1351</v>
      </c>
      <c r="C617">
        <v>20</v>
      </c>
      <c r="D617" t="s">
        <v>88</v>
      </c>
      <c r="E617">
        <v>44</v>
      </c>
      <c r="F617" t="s">
        <v>1303</v>
      </c>
      <c r="G617">
        <v>344</v>
      </c>
      <c r="H617">
        <v>1</v>
      </c>
      <c r="I617" t="s">
        <v>113</v>
      </c>
      <c r="J617">
        <v>0</v>
      </c>
      <c r="K617">
        <v>1</v>
      </c>
      <c r="L617">
        <v>6</v>
      </c>
      <c r="M617">
        <v>735</v>
      </c>
      <c r="N617">
        <v>37</v>
      </c>
      <c r="O617">
        <v>0</v>
      </c>
      <c r="P617">
        <v>37</v>
      </c>
      <c r="Q617">
        <v>2</v>
      </c>
      <c r="R617">
        <v>7</v>
      </c>
      <c r="S617">
        <v>9</v>
      </c>
      <c r="T617">
        <v>0</v>
      </c>
      <c r="U617">
        <v>1</v>
      </c>
      <c r="V617">
        <v>0</v>
      </c>
      <c r="W617">
        <v>0</v>
      </c>
      <c r="X617">
        <v>5</v>
      </c>
      <c r="Y617">
        <v>8</v>
      </c>
      <c r="Z617">
        <v>1</v>
      </c>
      <c r="AG617">
        <v>1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2</v>
      </c>
      <c r="AO617">
        <v>0</v>
      </c>
      <c r="AP617">
        <v>0</v>
      </c>
      <c r="AQ617">
        <v>0</v>
      </c>
      <c r="AR617">
        <v>0</v>
      </c>
      <c r="BC617">
        <v>0</v>
      </c>
      <c r="BD617">
        <v>1</v>
      </c>
      <c r="BE617">
        <v>37</v>
      </c>
      <c r="BF617">
        <v>37</v>
      </c>
      <c r="BG617">
        <v>0</v>
      </c>
      <c r="BJ617">
        <v>1</v>
      </c>
      <c r="BL617" s="2" t="s">
        <v>1352</v>
      </c>
      <c r="BM617" s="4">
        <v>43283.209722222222</v>
      </c>
      <c r="BN617" s="4">
        <v>43283.231793981482</v>
      </c>
      <c r="BO617" s="4">
        <v>43283.231793981482</v>
      </c>
      <c r="BP617" t="s">
        <v>92</v>
      </c>
      <c r="BQ617" t="s">
        <v>93</v>
      </c>
      <c r="BR617" t="s">
        <v>94</v>
      </c>
    </row>
    <row r="618" spans="1:70" x14ac:dyDescent="0.3">
      <c r="A618" t="str">
        <f>"200345B0100"</f>
        <v>200345B0100</v>
      </c>
      <c r="B618" t="s">
        <v>1353</v>
      </c>
      <c r="C618">
        <v>20</v>
      </c>
      <c r="D618" t="s">
        <v>88</v>
      </c>
      <c r="E618">
        <v>44</v>
      </c>
      <c r="F618" t="s">
        <v>1303</v>
      </c>
      <c r="G618">
        <v>345</v>
      </c>
      <c r="H618">
        <v>1</v>
      </c>
      <c r="I618" t="s">
        <v>90</v>
      </c>
      <c r="J618">
        <v>0</v>
      </c>
      <c r="K618">
        <v>1</v>
      </c>
      <c r="L618">
        <v>5</v>
      </c>
      <c r="M618">
        <v>180</v>
      </c>
      <c r="N618">
        <v>321</v>
      </c>
      <c r="O618">
        <v>2</v>
      </c>
      <c r="P618">
        <v>321</v>
      </c>
      <c r="Q618">
        <v>3</v>
      </c>
      <c r="R618">
        <v>80</v>
      </c>
      <c r="S618">
        <v>91</v>
      </c>
      <c r="T618">
        <v>7</v>
      </c>
      <c r="U618">
        <v>8</v>
      </c>
      <c r="V618">
        <v>2</v>
      </c>
      <c r="W618">
        <v>2</v>
      </c>
      <c r="X618">
        <v>41</v>
      </c>
      <c r="Y618">
        <v>40</v>
      </c>
      <c r="Z618">
        <v>6</v>
      </c>
      <c r="AG618">
        <v>8</v>
      </c>
      <c r="AH618">
        <v>0</v>
      </c>
      <c r="AI618">
        <v>3</v>
      </c>
      <c r="AJ618">
        <v>2</v>
      </c>
      <c r="AK618">
        <v>1</v>
      </c>
      <c r="AL618">
        <v>1</v>
      </c>
      <c r="AM618">
        <v>1</v>
      </c>
      <c r="AN618">
        <v>2</v>
      </c>
      <c r="AO618">
        <v>4</v>
      </c>
      <c r="AP618">
        <v>4</v>
      </c>
      <c r="AQ618">
        <v>0</v>
      </c>
      <c r="AR618">
        <v>1</v>
      </c>
      <c r="BC618">
        <v>0</v>
      </c>
      <c r="BD618">
        <v>14</v>
      </c>
      <c r="BE618">
        <v>321</v>
      </c>
      <c r="BF618">
        <v>321</v>
      </c>
      <c r="BG618">
        <v>479</v>
      </c>
      <c r="BJ618">
        <v>1</v>
      </c>
      <c r="BL618" t="s">
        <v>1354</v>
      </c>
      <c r="BM618" s="4">
        <v>43283.059027777781</v>
      </c>
      <c r="BN618" s="4">
        <v>43283.065844907411</v>
      </c>
      <c r="BO618" s="4">
        <v>43283.065844907411</v>
      </c>
      <c r="BP618" t="s">
        <v>92</v>
      </c>
      <c r="BQ618" t="s">
        <v>93</v>
      </c>
      <c r="BR618" t="s">
        <v>94</v>
      </c>
    </row>
    <row r="619" spans="1:70" x14ac:dyDescent="0.3">
      <c r="A619" t="str">
        <f>"200345C0100"</f>
        <v>200345C0100</v>
      </c>
      <c r="B619" t="s">
        <v>1355</v>
      </c>
      <c r="C619">
        <v>20</v>
      </c>
      <c r="D619" t="s">
        <v>88</v>
      </c>
      <c r="E619">
        <v>44</v>
      </c>
      <c r="F619" t="s">
        <v>1303</v>
      </c>
      <c r="G619">
        <v>345</v>
      </c>
      <c r="H619">
        <v>1</v>
      </c>
      <c r="I619" t="s">
        <v>98</v>
      </c>
      <c r="J619">
        <v>0</v>
      </c>
      <c r="K619">
        <v>1</v>
      </c>
      <c r="L619">
        <v>5</v>
      </c>
      <c r="M619">
        <v>166</v>
      </c>
      <c r="N619">
        <v>334</v>
      </c>
      <c r="O619">
        <v>7</v>
      </c>
      <c r="P619">
        <v>334</v>
      </c>
      <c r="Q619">
        <v>3</v>
      </c>
      <c r="R619">
        <v>103</v>
      </c>
      <c r="S619">
        <v>94</v>
      </c>
      <c r="T619">
        <v>6</v>
      </c>
      <c r="U619">
        <v>7</v>
      </c>
      <c r="V619">
        <v>1</v>
      </c>
      <c r="W619">
        <v>1</v>
      </c>
      <c r="X619">
        <v>34</v>
      </c>
      <c r="Y619">
        <v>59</v>
      </c>
      <c r="Z619">
        <v>3</v>
      </c>
      <c r="AG619">
        <v>4</v>
      </c>
      <c r="AH619">
        <v>1</v>
      </c>
      <c r="AI619">
        <v>2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2</v>
      </c>
      <c r="AP619">
        <v>0</v>
      </c>
      <c r="AQ619">
        <v>0</v>
      </c>
      <c r="AR619">
        <v>0</v>
      </c>
      <c r="BC619">
        <v>0</v>
      </c>
      <c r="BD619">
        <v>14</v>
      </c>
      <c r="BE619">
        <v>334</v>
      </c>
      <c r="BF619">
        <v>334</v>
      </c>
      <c r="BG619">
        <v>478</v>
      </c>
      <c r="BJ619">
        <v>1</v>
      </c>
      <c r="BL619" t="s">
        <v>1356</v>
      </c>
      <c r="BM619" s="4">
        <v>43283.059027777781</v>
      </c>
      <c r="BN619" s="4">
        <v>43283.063877314817</v>
      </c>
      <c r="BO619" s="4">
        <v>43283.063877314817</v>
      </c>
      <c r="BP619" t="s">
        <v>92</v>
      </c>
      <c r="BQ619" t="s">
        <v>93</v>
      </c>
      <c r="BR619" t="s">
        <v>94</v>
      </c>
    </row>
    <row r="620" spans="1:70" x14ac:dyDescent="0.3">
      <c r="A620" t="str">
        <f>"200346B0100"</f>
        <v>200346B0100</v>
      </c>
      <c r="B620" t="s">
        <v>1357</v>
      </c>
      <c r="C620">
        <v>20</v>
      </c>
      <c r="D620" t="s">
        <v>88</v>
      </c>
      <c r="E620">
        <v>44</v>
      </c>
      <c r="F620" t="s">
        <v>1303</v>
      </c>
      <c r="G620">
        <v>346</v>
      </c>
      <c r="H620">
        <v>1</v>
      </c>
      <c r="I620" t="s">
        <v>90</v>
      </c>
      <c r="J620">
        <v>0</v>
      </c>
      <c r="K620">
        <v>1</v>
      </c>
      <c r="L620">
        <v>5</v>
      </c>
      <c r="M620">
        <v>214</v>
      </c>
      <c r="N620">
        <v>384</v>
      </c>
      <c r="O620">
        <v>4</v>
      </c>
      <c r="P620">
        <v>384</v>
      </c>
      <c r="Q620">
        <v>4</v>
      </c>
      <c r="R620">
        <v>80</v>
      </c>
      <c r="S620">
        <v>142</v>
      </c>
      <c r="T620">
        <v>6</v>
      </c>
      <c r="U620">
        <v>7</v>
      </c>
      <c r="V620">
        <v>7</v>
      </c>
      <c r="W620">
        <v>1</v>
      </c>
      <c r="X620">
        <v>29</v>
      </c>
      <c r="Y620">
        <v>68</v>
      </c>
      <c r="Z620">
        <v>2</v>
      </c>
      <c r="AG620">
        <v>5</v>
      </c>
      <c r="AH620">
        <v>1</v>
      </c>
      <c r="AI620">
        <v>1</v>
      </c>
      <c r="AJ620">
        <v>1</v>
      </c>
      <c r="AK620">
        <v>4</v>
      </c>
      <c r="AL620">
        <v>2</v>
      </c>
      <c r="AM620">
        <v>0</v>
      </c>
      <c r="AN620">
        <v>0</v>
      </c>
      <c r="AO620">
        <v>0</v>
      </c>
      <c r="AP620">
        <v>1</v>
      </c>
      <c r="AQ620">
        <v>0</v>
      </c>
      <c r="AR620">
        <v>0</v>
      </c>
      <c r="BC620">
        <v>0</v>
      </c>
      <c r="BD620">
        <v>23</v>
      </c>
      <c r="BE620">
        <v>384</v>
      </c>
      <c r="BF620">
        <v>384</v>
      </c>
      <c r="BG620">
        <v>576</v>
      </c>
      <c r="BJ620">
        <v>1</v>
      </c>
      <c r="BL620" t="s">
        <v>1358</v>
      </c>
      <c r="BM620" s="4">
        <v>43283.269444444442</v>
      </c>
      <c r="BN620" s="4">
        <v>43283.302106481482</v>
      </c>
      <c r="BO620" s="4">
        <v>43283.302106481482</v>
      </c>
      <c r="BP620" t="s">
        <v>92</v>
      </c>
      <c r="BQ620" t="s">
        <v>93</v>
      </c>
      <c r="BR620" t="s">
        <v>94</v>
      </c>
    </row>
    <row r="621" spans="1:70" x14ac:dyDescent="0.3">
      <c r="A621" t="str">
        <f>"200347B0100"</f>
        <v>200347B0100</v>
      </c>
      <c r="B621" t="s">
        <v>1359</v>
      </c>
      <c r="C621">
        <v>20</v>
      </c>
      <c r="D621" t="s">
        <v>88</v>
      </c>
      <c r="E621">
        <v>44</v>
      </c>
      <c r="F621" t="s">
        <v>1303</v>
      </c>
      <c r="G621">
        <v>347</v>
      </c>
      <c r="H621">
        <v>1</v>
      </c>
      <c r="I621" t="s">
        <v>90</v>
      </c>
      <c r="J621">
        <v>0</v>
      </c>
      <c r="K621">
        <v>1</v>
      </c>
      <c r="L621">
        <v>5</v>
      </c>
      <c r="M621">
        <v>267</v>
      </c>
      <c r="N621">
        <v>390</v>
      </c>
      <c r="O621">
        <v>3</v>
      </c>
      <c r="P621">
        <v>389</v>
      </c>
      <c r="Q621">
        <v>7</v>
      </c>
      <c r="R621">
        <v>108</v>
      </c>
      <c r="S621">
        <v>133</v>
      </c>
      <c r="T621">
        <v>7</v>
      </c>
      <c r="U621">
        <v>10</v>
      </c>
      <c r="V621">
        <v>6</v>
      </c>
      <c r="W621">
        <v>3</v>
      </c>
      <c r="X621">
        <v>43</v>
      </c>
      <c r="Y621">
        <v>45</v>
      </c>
      <c r="Z621">
        <v>4</v>
      </c>
      <c r="AG621">
        <v>4</v>
      </c>
      <c r="AH621">
        <v>2</v>
      </c>
      <c r="AI621">
        <v>1</v>
      </c>
      <c r="AJ621">
        <v>1</v>
      </c>
      <c r="AK621">
        <v>2</v>
      </c>
      <c r="AL621">
        <v>2</v>
      </c>
      <c r="AM621">
        <v>0</v>
      </c>
      <c r="AN621">
        <v>0</v>
      </c>
      <c r="AO621">
        <v>3</v>
      </c>
      <c r="AP621">
        <v>0</v>
      </c>
      <c r="AQ621">
        <v>0</v>
      </c>
      <c r="AR621">
        <v>1</v>
      </c>
      <c r="BC621">
        <v>0</v>
      </c>
      <c r="BD621">
        <v>7</v>
      </c>
      <c r="BE621">
        <v>389</v>
      </c>
      <c r="BF621">
        <v>389</v>
      </c>
      <c r="BG621">
        <v>635</v>
      </c>
      <c r="BJ621">
        <v>1</v>
      </c>
      <c r="BL621" t="s">
        <v>1360</v>
      </c>
      <c r="BM621" s="4">
        <v>43283.193749999999</v>
      </c>
      <c r="BN621" s="4">
        <v>43283.229687500003</v>
      </c>
      <c r="BO621" s="4">
        <v>43283.229687500003</v>
      </c>
      <c r="BP621" t="s">
        <v>92</v>
      </c>
      <c r="BQ621" t="s">
        <v>93</v>
      </c>
      <c r="BR621" t="s">
        <v>94</v>
      </c>
    </row>
    <row r="622" spans="1:70" x14ac:dyDescent="0.3">
      <c r="A622" t="str">
        <f>"200347C0100"</f>
        <v>200347C0100</v>
      </c>
      <c r="B622" t="s">
        <v>1361</v>
      </c>
      <c r="C622">
        <v>20</v>
      </c>
      <c r="D622" t="s">
        <v>88</v>
      </c>
      <c r="E622">
        <v>44</v>
      </c>
      <c r="F622" t="s">
        <v>1303</v>
      </c>
      <c r="G622">
        <v>347</v>
      </c>
      <c r="H622">
        <v>1</v>
      </c>
      <c r="I622" t="s">
        <v>98</v>
      </c>
      <c r="J622">
        <v>0</v>
      </c>
      <c r="K622">
        <v>1</v>
      </c>
      <c r="L622">
        <v>5</v>
      </c>
      <c r="M622">
        <v>246</v>
      </c>
      <c r="N622">
        <v>410</v>
      </c>
      <c r="O622">
        <v>4</v>
      </c>
      <c r="P622" t="s">
        <v>105</v>
      </c>
      <c r="Q622">
        <v>4</v>
      </c>
      <c r="R622">
        <v>101</v>
      </c>
      <c r="S622">
        <v>142</v>
      </c>
      <c r="T622">
        <v>7</v>
      </c>
      <c r="U622">
        <v>14</v>
      </c>
      <c r="V622">
        <v>6</v>
      </c>
      <c r="W622">
        <v>4</v>
      </c>
      <c r="X622">
        <v>44</v>
      </c>
      <c r="Y622">
        <v>51</v>
      </c>
      <c r="Z622">
        <v>1</v>
      </c>
      <c r="AG622">
        <v>1</v>
      </c>
      <c r="AH622">
        <v>7</v>
      </c>
      <c r="AI622">
        <v>1</v>
      </c>
      <c r="AJ622" t="s">
        <v>105</v>
      </c>
      <c r="AK622" t="s">
        <v>105</v>
      </c>
      <c r="AL622">
        <v>1</v>
      </c>
      <c r="AM622" t="s">
        <v>105</v>
      </c>
      <c r="AN622" t="s">
        <v>105</v>
      </c>
      <c r="AO622">
        <v>1</v>
      </c>
      <c r="AP622">
        <v>3</v>
      </c>
      <c r="AQ622" t="s">
        <v>105</v>
      </c>
      <c r="AR622">
        <v>1</v>
      </c>
      <c r="BC622" t="s">
        <v>105</v>
      </c>
      <c r="BD622">
        <v>21</v>
      </c>
      <c r="BE622">
        <v>410</v>
      </c>
      <c r="BF622">
        <v>410</v>
      </c>
      <c r="BG622">
        <v>634</v>
      </c>
      <c r="BI622" t="s">
        <v>106</v>
      </c>
      <c r="BJ622">
        <v>1</v>
      </c>
      <c r="BL622" t="s">
        <v>1362</v>
      </c>
      <c r="BM622" s="4">
        <v>43283.195138888892</v>
      </c>
      <c r="BN622" s="4">
        <v>43283.242083333331</v>
      </c>
      <c r="BO622" s="4">
        <v>43283.242083333331</v>
      </c>
      <c r="BP622" t="s">
        <v>92</v>
      </c>
      <c r="BQ622" t="s">
        <v>93</v>
      </c>
      <c r="BR622" t="s">
        <v>94</v>
      </c>
    </row>
    <row r="623" spans="1:70" x14ac:dyDescent="0.3">
      <c r="A623" t="str">
        <f>"200348B0100"</f>
        <v>200348B0100</v>
      </c>
      <c r="B623" t="s">
        <v>1363</v>
      </c>
      <c r="C623">
        <v>20</v>
      </c>
      <c r="D623" t="s">
        <v>88</v>
      </c>
      <c r="E623">
        <v>44</v>
      </c>
      <c r="F623" t="s">
        <v>1303</v>
      </c>
      <c r="G623">
        <v>348</v>
      </c>
      <c r="H623">
        <v>1</v>
      </c>
      <c r="I623" t="s">
        <v>90</v>
      </c>
      <c r="J623">
        <v>0</v>
      </c>
      <c r="K623">
        <v>1</v>
      </c>
      <c r="L623">
        <v>5</v>
      </c>
      <c r="M623" t="s">
        <v>127</v>
      </c>
      <c r="N623">
        <v>328</v>
      </c>
      <c r="O623">
        <v>6</v>
      </c>
      <c r="P623">
        <v>2</v>
      </c>
      <c r="Q623">
        <v>12</v>
      </c>
      <c r="R623">
        <v>79</v>
      </c>
      <c r="S623">
        <v>92</v>
      </c>
      <c r="T623">
        <v>12</v>
      </c>
      <c r="U623">
        <v>9</v>
      </c>
      <c r="V623">
        <v>2</v>
      </c>
      <c r="W623">
        <v>2</v>
      </c>
      <c r="X623">
        <v>41</v>
      </c>
      <c r="Y623">
        <v>46</v>
      </c>
      <c r="Z623">
        <v>4</v>
      </c>
      <c r="AG623">
        <v>3</v>
      </c>
      <c r="AH623">
        <v>3</v>
      </c>
      <c r="AI623">
        <v>1</v>
      </c>
      <c r="AJ623">
        <v>0</v>
      </c>
      <c r="AK623">
        <v>2</v>
      </c>
      <c r="AL623">
        <v>1</v>
      </c>
      <c r="AM623">
        <v>0</v>
      </c>
      <c r="AN623">
        <v>0</v>
      </c>
      <c r="AO623">
        <v>2</v>
      </c>
      <c r="AP623">
        <v>0</v>
      </c>
      <c r="AQ623">
        <v>0</v>
      </c>
      <c r="AR623">
        <v>0</v>
      </c>
      <c r="BC623">
        <v>0</v>
      </c>
      <c r="BD623">
        <v>16</v>
      </c>
      <c r="BE623" t="s">
        <v>127</v>
      </c>
      <c r="BF623">
        <v>327</v>
      </c>
      <c r="BG623">
        <v>478</v>
      </c>
      <c r="BJ623">
        <v>1</v>
      </c>
      <c r="BL623" t="s">
        <v>1364</v>
      </c>
      <c r="BM623" s="4">
        <v>43283.138888888891</v>
      </c>
      <c r="BN623" s="4">
        <v>43283.1640162037</v>
      </c>
      <c r="BO623" s="4">
        <v>43283.1640162037</v>
      </c>
      <c r="BP623" t="s">
        <v>92</v>
      </c>
      <c r="BQ623" t="s">
        <v>93</v>
      </c>
      <c r="BR623" t="s">
        <v>94</v>
      </c>
    </row>
    <row r="624" spans="1:70" x14ac:dyDescent="0.3">
      <c r="A624" t="str">
        <f>"200348C0100"</f>
        <v>200348C0100</v>
      </c>
      <c r="B624" t="s">
        <v>1365</v>
      </c>
      <c r="C624">
        <v>20</v>
      </c>
      <c r="D624" t="s">
        <v>88</v>
      </c>
      <c r="E624">
        <v>44</v>
      </c>
      <c r="F624" t="s">
        <v>1303</v>
      </c>
      <c r="G624">
        <v>348</v>
      </c>
      <c r="H624">
        <v>1</v>
      </c>
      <c r="I624" t="s">
        <v>98</v>
      </c>
      <c r="J624">
        <v>0</v>
      </c>
      <c r="K624">
        <v>1</v>
      </c>
      <c r="L624">
        <v>5</v>
      </c>
      <c r="M624">
        <v>177</v>
      </c>
      <c r="N624">
        <v>323</v>
      </c>
      <c r="O624">
        <v>4</v>
      </c>
      <c r="P624">
        <v>0</v>
      </c>
      <c r="Q624">
        <v>13</v>
      </c>
      <c r="R624">
        <v>96</v>
      </c>
      <c r="S624">
        <v>85</v>
      </c>
      <c r="T624">
        <v>1</v>
      </c>
      <c r="U624">
        <v>5</v>
      </c>
      <c r="V624">
        <v>2</v>
      </c>
      <c r="W624">
        <v>1</v>
      </c>
      <c r="X624">
        <v>44</v>
      </c>
      <c r="Y624">
        <v>37</v>
      </c>
      <c r="Z624">
        <v>4</v>
      </c>
      <c r="AG624">
        <v>9</v>
      </c>
      <c r="AH624">
        <v>2</v>
      </c>
      <c r="AI624">
        <v>4</v>
      </c>
      <c r="AJ624">
        <v>0</v>
      </c>
      <c r="AK624">
        <v>7</v>
      </c>
      <c r="AL624">
        <v>0</v>
      </c>
      <c r="AM624">
        <v>1</v>
      </c>
      <c r="AN624">
        <v>0</v>
      </c>
      <c r="AO624">
        <v>4</v>
      </c>
      <c r="AP624">
        <v>1</v>
      </c>
      <c r="AQ624">
        <v>0</v>
      </c>
      <c r="AR624">
        <v>1</v>
      </c>
      <c r="BC624">
        <v>0</v>
      </c>
      <c r="BD624">
        <v>6</v>
      </c>
      <c r="BE624">
        <v>323</v>
      </c>
      <c r="BF624">
        <v>323</v>
      </c>
      <c r="BG624">
        <v>478</v>
      </c>
      <c r="BJ624">
        <v>1</v>
      </c>
      <c r="BL624" t="s">
        <v>1366</v>
      </c>
      <c r="BM624" s="4">
        <v>43283.138888888891</v>
      </c>
      <c r="BN624" s="4">
        <v>43283.154745370368</v>
      </c>
      <c r="BO624" s="4">
        <v>43283.154745370368</v>
      </c>
      <c r="BP624" t="s">
        <v>92</v>
      </c>
      <c r="BQ624" t="s">
        <v>93</v>
      </c>
      <c r="BR624" t="s">
        <v>94</v>
      </c>
    </row>
    <row r="625" spans="1:70" x14ac:dyDescent="0.3">
      <c r="A625" t="str">
        <f>"200349B0100"</f>
        <v>200349B0100</v>
      </c>
      <c r="B625" t="s">
        <v>1367</v>
      </c>
      <c r="C625">
        <v>20</v>
      </c>
      <c r="D625" t="s">
        <v>88</v>
      </c>
      <c r="E625">
        <v>44</v>
      </c>
      <c r="F625" t="s">
        <v>1303</v>
      </c>
      <c r="G625">
        <v>349</v>
      </c>
      <c r="H625">
        <v>1</v>
      </c>
      <c r="I625" t="s">
        <v>90</v>
      </c>
      <c r="J625">
        <v>0</v>
      </c>
      <c r="K625">
        <v>1</v>
      </c>
      <c r="L625">
        <v>5</v>
      </c>
      <c r="M625">
        <v>168</v>
      </c>
      <c r="N625">
        <v>312</v>
      </c>
      <c r="O625">
        <v>7</v>
      </c>
      <c r="P625">
        <v>314</v>
      </c>
      <c r="Q625">
        <v>11</v>
      </c>
      <c r="R625">
        <v>121</v>
      </c>
      <c r="S625">
        <v>61</v>
      </c>
      <c r="T625">
        <v>14</v>
      </c>
      <c r="U625">
        <v>6</v>
      </c>
      <c r="V625">
        <v>2</v>
      </c>
      <c r="W625">
        <v>0</v>
      </c>
      <c r="X625">
        <v>39</v>
      </c>
      <c r="Y625">
        <v>39</v>
      </c>
      <c r="Z625">
        <v>1</v>
      </c>
      <c r="AG625">
        <v>13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1</v>
      </c>
      <c r="AQ625">
        <v>0</v>
      </c>
      <c r="AR625">
        <v>0</v>
      </c>
      <c r="BC625">
        <v>0</v>
      </c>
      <c r="BD625">
        <v>6</v>
      </c>
      <c r="BE625">
        <v>314</v>
      </c>
      <c r="BF625">
        <v>314</v>
      </c>
      <c r="BG625">
        <v>460</v>
      </c>
      <c r="BJ625">
        <v>1</v>
      </c>
      <c r="BL625" t="s">
        <v>1368</v>
      </c>
      <c r="BM625" s="4">
        <v>43283.149305555555</v>
      </c>
      <c r="BN625" s="4">
        <v>43283.160902777781</v>
      </c>
      <c r="BO625" s="4">
        <v>43283.160902777781</v>
      </c>
      <c r="BP625" t="s">
        <v>92</v>
      </c>
      <c r="BQ625" t="s">
        <v>93</v>
      </c>
      <c r="BR625" t="s">
        <v>94</v>
      </c>
    </row>
    <row r="626" spans="1:70" x14ac:dyDescent="0.3">
      <c r="A626" t="str">
        <f>"200350B0100"</f>
        <v>200350B0100</v>
      </c>
      <c r="B626" t="s">
        <v>1369</v>
      </c>
      <c r="C626">
        <v>20</v>
      </c>
      <c r="D626" t="s">
        <v>88</v>
      </c>
      <c r="E626">
        <v>44</v>
      </c>
      <c r="F626" t="s">
        <v>1303</v>
      </c>
      <c r="G626">
        <v>350</v>
      </c>
      <c r="H626">
        <v>1</v>
      </c>
      <c r="I626" t="s">
        <v>90</v>
      </c>
      <c r="J626">
        <v>0</v>
      </c>
      <c r="K626">
        <v>1</v>
      </c>
      <c r="L626">
        <v>5</v>
      </c>
      <c r="BG626">
        <v>646</v>
      </c>
      <c r="BI626" t="s">
        <v>365</v>
      </c>
      <c r="BJ626">
        <v>0</v>
      </c>
      <c r="BL626" t="s">
        <v>1370</v>
      </c>
      <c r="BM626" s="4">
        <v>43283.772916666669</v>
      </c>
      <c r="BN626" s="4">
        <v>43283.778784722221</v>
      </c>
      <c r="BO626" s="4">
        <v>43283.778784722221</v>
      </c>
      <c r="BP626" t="s">
        <v>92</v>
      </c>
      <c r="BQ626" t="s">
        <v>93</v>
      </c>
      <c r="BR626" t="s">
        <v>94</v>
      </c>
    </row>
    <row r="627" spans="1:70" x14ac:dyDescent="0.3">
      <c r="A627" t="str">
        <f>"200350C0100"</f>
        <v>200350C0100</v>
      </c>
      <c r="B627" t="s">
        <v>1371</v>
      </c>
      <c r="C627">
        <v>20</v>
      </c>
      <c r="D627" t="s">
        <v>88</v>
      </c>
      <c r="E627">
        <v>44</v>
      </c>
      <c r="F627" t="s">
        <v>1303</v>
      </c>
      <c r="G627">
        <v>350</v>
      </c>
      <c r="H627">
        <v>1</v>
      </c>
      <c r="I627" t="s">
        <v>98</v>
      </c>
      <c r="J627">
        <v>0</v>
      </c>
      <c r="K627">
        <v>1</v>
      </c>
      <c r="L627">
        <v>5</v>
      </c>
      <c r="BG627">
        <v>646</v>
      </c>
      <c r="BI627" t="s">
        <v>365</v>
      </c>
      <c r="BJ627">
        <v>0</v>
      </c>
      <c r="BL627" t="s">
        <v>1372</v>
      </c>
      <c r="BM627" s="4">
        <v>43283.771527777775</v>
      </c>
      <c r="BN627" s="4">
        <v>43283.777951388889</v>
      </c>
      <c r="BO627" s="4">
        <v>43283.777951388889</v>
      </c>
      <c r="BP627" t="s">
        <v>92</v>
      </c>
      <c r="BQ627" t="s">
        <v>93</v>
      </c>
      <c r="BR627" t="s">
        <v>94</v>
      </c>
    </row>
    <row r="628" spans="1:70" x14ac:dyDescent="0.3">
      <c r="A628" t="str">
        <f>"200351B0100"</f>
        <v>200351B0100</v>
      </c>
      <c r="B628" t="s">
        <v>1373</v>
      </c>
      <c r="C628">
        <v>20</v>
      </c>
      <c r="D628" t="s">
        <v>88</v>
      </c>
      <c r="E628">
        <v>44</v>
      </c>
      <c r="F628" t="s">
        <v>1303</v>
      </c>
      <c r="G628">
        <v>351</v>
      </c>
      <c r="H628">
        <v>1</v>
      </c>
      <c r="I628" t="s">
        <v>90</v>
      </c>
      <c r="J628">
        <v>0</v>
      </c>
      <c r="K628">
        <v>1</v>
      </c>
      <c r="L628">
        <v>5</v>
      </c>
      <c r="M628">
        <v>234</v>
      </c>
      <c r="N628">
        <v>416</v>
      </c>
      <c r="O628">
        <v>6</v>
      </c>
      <c r="P628">
        <v>416</v>
      </c>
      <c r="Q628">
        <v>6</v>
      </c>
      <c r="R628">
        <v>116</v>
      </c>
      <c r="S628">
        <v>86</v>
      </c>
      <c r="T628">
        <v>8</v>
      </c>
      <c r="U628">
        <v>10</v>
      </c>
      <c r="V628">
        <v>8</v>
      </c>
      <c r="W628">
        <v>1</v>
      </c>
      <c r="X628">
        <v>72</v>
      </c>
      <c r="Y628">
        <v>66</v>
      </c>
      <c r="Z628">
        <v>4</v>
      </c>
      <c r="AG628">
        <v>7</v>
      </c>
      <c r="AH628">
        <v>2</v>
      </c>
      <c r="AI628">
        <v>6</v>
      </c>
      <c r="AJ628">
        <v>0</v>
      </c>
      <c r="AK628">
        <v>2</v>
      </c>
      <c r="AL628">
        <v>2</v>
      </c>
      <c r="AM628">
        <v>0</v>
      </c>
      <c r="AN628">
        <v>1</v>
      </c>
      <c r="AO628">
        <v>3</v>
      </c>
      <c r="AP628">
        <v>0</v>
      </c>
      <c r="AQ628">
        <v>0</v>
      </c>
      <c r="AR628">
        <v>1</v>
      </c>
      <c r="BC628">
        <v>0</v>
      </c>
      <c r="BD628">
        <v>17</v>
      </c>
      <c r="BE628">
        <v>418</v>
      </c>
      <c r="BF628">
        <v>418</v>
      </c>
      <c r="BG628">
        <v>628</v>
      </c>
      <c r="BJ628">
        <v>1</v>
      </c>
      <c r="BL628" t="s">
        <v>1374</v>
      </c>
      <c r="BM628" s="4">
        <v>43283.302777777775</v>
      </c>
      <c r="BN628" s="4">
        <v>43283.363125000003</v>
      </c>
      <c r="BO628" s="4">
        <v>43283.363125000003</v>
      </c>
      <c r="BP628" t="s">
        <v>92</v>
      </c>
      <c r="BQ628" t="s">
        <v>93</v>
      </c>
      <c r="BR628" t="s">
        <v>94</v>
      </c>
    </row>
    <row r="629" spans="1:70" x14ac:dyDescent="0.3">
      <c r="A629" t="str">
        <f>"200351C0100"</f>
        <v>200351C0100</v>
      </c>
      <c r="B629" t="s">
        <v>1375</v>
      </c>
      <c r="C629">
        <v>20</v>
      </c>
      <c r="D629" t="s">
        <v>88</v>
      </c>
      <c r="E629">
        <v>44</v>
      </c>
      <c r="F629" t="s">
        <v>1303</v>
      </c>
      <c r="G629">
        <v>351</v>
      </c>
      <c r="H629">
        <v>1</v>
      </c>
      <c r="I629" t="s">
        <v>98</v>
      </c>
      <c r="J629">
        <v>0</v>
      </c>
      <c r="K629">
        <v>1</v>
      </c>
      <c r="L629">
        <v>5</v>
      </c>
      <c r="M629">
        <v>224</v>
      </c>
      <c r="N629">
        <v>425</v>
      </c>
      <c r="O629">
        <v>9</v>
      </c>
      <c r="P629">
        <v>425</v>
      </c>
      <c r="Q629">
        <v>7</v>
      </c>
      <c r="R629">
        <v>102</v>
      </c>
      <c r="S629">
        <v>129</v>
      </c>
      <c r="T629">
        <v>19</v>
      </c>
      <c r="U629">
        <v>17</v>
      </c>
      <c r="V629">
        <v>0</v>
      </c>
      <c r="W629">
        <v>1</v>
      </c>
      <c r="X629">
        <v>55</v>
      </c>
      <c r="Y629">
        <v>58</v>
      </c>
      <c r="Z629">
        <v>4</v>
      </c>
      <c r="AG629">
        <v>7</v>
      </c>
      <c r="AH629">
        <v>0</v>
      </c>
      <c r="AI629">
        <v>2</v>
      </c>
      <c r="AJ629">
        <v>0</v>
      </c>
      <c r="AK629">
        <v>1</v>
      </c>
      <c r="AL629">
        <v>1</v>
      </c>
      <c r="AM629">
        <v>0</v>
      </c>
      <c r="AN629">
        <v>1</v>
      </c>
      <c r="AO629">
        <v>2</v>
      </c>
      <c r="AP629">
        <v>2</v>
      </c>
      <c r="AQ629">
        <v>0</v>
      </c>
      <c r="AR629">
        <v>0</v>
      </c>
      <c r="BC629">
        <v>0</v>
      </c>
      <c r="BD629">
        <v>22</v>
      </c>
      <c r="BE629">
        <v>425</v>
      </c>
      <c r="BF629">
        <v>430</v>
      </c>
      <c r="BG629">
        <v>627</v>
      </c>
      <c r="BJ629">
        <v>1</v>
      </c>
      <c r="BL629" t="s">
        <v>1376</v>
      </c>
      <c r="BM629" s="4">
        <v>43283.302083333336</v>
      </c>
      <c r="BN629" s="4">
        <v>43283.335625</v>
      </c>
      <c r="BO629" s="4">
        <v>43283.335625</v>
      </c>
      <c r="BP629" t="s">
        <v>92</v>
      </c>
      <c r="BQ629" t="s">
        <v>93</v>
      </c>
      <c r="BR629" t="s">
        <v>94</v>
      </c>
    </row>
    <row r="630" spans="1:70" x14ac:dyDescent="0.3">
      <c r="A630" t="str">
        <f>"200352B0100"</f>
        <v>200352B0100</v>
      </c>
      <c r="B630" t="s">
        <v>1377</v>
      </c>
      <c r="C630">
        <v>20</v>
      </c>
      <c r="D630" t="s">
        <v>88</v>
      </c>
      <c r="E630">
        <v>44</v>
      </c>
      <c r="F630" t="s">
        <v>1303</v>
      </c>
      <c r="G630">
        <v>352</v>
      </c>
      <c r="H630">
        <v>1</v>
      </c>
      <c r="I630" t="s">
        <v>90</v>
      </c>
      <c r="J630">
        <v>0</v>
      </c>
      <c r="K630">
        <v>1</v>
      </c>
      <c r="L630">
        <v>5</v>
      </c>
      <c r="M630">
        <v>161</v>
      </c>
      <c r="N630">
        <v>366</v>
      </c>
      <c r="O630">
        <v>4</v>
      </c>
      <c r="P630">
        <v>362</v>
      </c>
      <c r="Q630">
        <v>7</v>
      </c>
      <c r="R630">
        <v>89</v>
      </c>
      <c r="S630">
        <v>105</v>
      </c>
      <c r="T630">
        <v>16</v>
      </c>
      <c r="U630">
        <v>9</v>
      </c>
      <c r="V630">
        <v>2</v>
      </c>
      <c r="W630">
        <v>2</v>
      </c>
      <c r="X630">
        <v>57</v>
      </c>
      <c r="Y630">
        <v>46</v>
      </c>
      <c r="Z630">
        <v>3</v>
      </c>
      <c r="AG630">
        <v>8</v>
      </c>
      <c r="AH630">
        <v>1</v>
      </c>
      <c r="AI630">
        <v>0</v>
      </c>
      <c r="AJ630">
        <v>2</v>
      </c>
      <c r="AK630">
        <v>3</v>
      </c>
      <c r="AL630">
        <v>0</v>
      </c>
      <c r="AM630">
        <v>0</v>
      </c>
      <c r="AN630">
        <v>0</v>
      </c>
      <c r="AO630">
        <v>1</v>
      </c>
      <c r="AP630">
        <v>1</v>
      </c>
      <c r="AQ630">
        <v>0</v>
      </c>
      <c r="AR630">
        <v>0</v>
      </c>
      <c r="BC630">
        <v>0</v>
      </c>
      <c r="BD630">
        <v>12</v>
      </c>
      <c r="BE630">
        <v>364</v>
      </c>
      <c r="BF630">
        <v>364</v>
      </c>
      <c r="BG630">
        <v>503</v>
      </c>
      <c r="BJ630">
        <v>1</v>
      </c>
      <c r="BL630" t="s">
        <v>1378</v>
      </c>
      <c r="BM630" s="4">
        <v>43283.314583333333</v>
      </c>
      <c r="BN630" s="4">
        <v>43283.342789351853</v>
      </c>
      <c r="BO630" s="4">
        <v>43283.342789351853</v>
      </c>
      <c r="BP630" t="s">
        <v>92</v>
      </c>
      <c r="BQ630" t="s">
        <v>93</v>
      </c>
      <c r="BR630" t="s">
        <v>94</v>
      </c>
    </row>
    <row r="631" spans="1:70" x14ac:dyDescent="0.3">
      <c r="A631" t="str">
        <f>"200352C0100"</f>
        <v>200352C0100</v>
      </c>
      <c r="B631" t="s">
        <v>1379</v>
      </c>
      <c r="C631">
        <v>20</v>
      </c>
      <c r="D631" t="s">
        <v>88</v>
      </c>
      <c r="E631">
        <v>44</v>
      </c>
      <c r="F631" t="s">
        <v>1303</v>
      </c>
      <c r="G631">
        <v>352</v>
      </c>
      <c r="H631">
        <v>1</v>
      </c>
      <c r="I631" t="s">
        <v>98</v>
      </c>
      <c r="J631">
        <v>0</v>
      </c>
      <c r="K631">
        <v>1</v>
      </c>
      <c r="L631">
        <v>5</v>
      </c>
      <c r="M631">
        <v>164</v>
      </c>
      <c r="N631">
        <v>360</v>
      </c>
      <c r="O631">
        <v>3</v>
      </c>
      <c r="P631">
        <v>360</v>
      </c>
      <c r="Q631">
        <v>5</v>
      </c>
      <c r="R631">
        <v>92</v>
      </c>
      <c r="S631">
        <v>105</v>
      </c>
      <c r="T631">
        <v>7</v>
      </c>
      <c r="U631">
        <v>7</v>
      </c>
      <c r="V631">
        <v>8</v>
      </c>
      <c r="W631">
        <v>0</v>
      </c>
      <c r="X631">
        <v>66</v>
      </c>
      <c r="Y631">
        <v>49</v>
      </c>
      <c r="Z631">
        <v>1</v>
      </c>
      <c r="AG631">
        <v>7</v>
      </c>
      <c r="AH631">
        <v>1</v>
      </c>
      <c r="AI631">
        <v>4</v>
      </c>
      <c r="AJ631">
        <v>0</v>
      </c>
      <c r="AK631">
        <v>1</v>
      </c>
      <c r="AL631">
        <v>0</v>
      </c>
      <c r="AM631">
        <v>0</v>
      </c>
      <c r="AN631">
        <v>0</v>
      </c>
      <c r="AO631">
        <v>2</v>
      </c>
      <c r="AP631">
        <v>0</v>
      </c>
      <c r="AQ631">
        <v>0</v>
      </c>
      <c r="AR631">
        <v>1</v>
      </c>
      <c r="BC631">
        <v>0</v>
      </c>
      <c r="BD631">
        <v>4</v>
      </c>
      <c r="BE631">
        <v>360</v>
      </c>
      <c r="BF631">
        <v>360</v>
      </c>
      <c r="BG631">
        <v>503</v>
      </c>
      <c r="BJ631">
        <v>1</v>
      </c>
      <c r="BL631" t="s">
        <v>1380</v>
      </c>
      <c r="BM631" s="4">
        <v>43283.314583333333</v>
      </c>
      <c r="BN631" s="4">
        <v>43283.34138888889</v>
      </c>
      <c r="BO631" s="4">
        <v>43283.34138888889</v>
      </c>
      <c r="BP631" t="s">
        <v>92</v>
      </c>
      <c r="BQ631" t="s">
        <v>93</v>
      </c>
      <c r="BR631" t="s">
        <v>94</v>
      </c>
    </row>
    <row r="632" spans="1:70" x14ac:dyDescent="0.3">
      <c r="A632" t="str">
        <f>"200353B0100"</f>
        <v>200353B0100</v>
      </c>
      <c r="B632" t="s">
        <v>1381</v>
      </c>
      <c r="C632">
        <v>20</v>
      </c>
      <c r="D632" t="s">
        <v>88</v>
      </c>
      <c r="E632">
        <v>44</v>
      </c>
      <c r="F632" t="s">
        <v>1303</v>
      </c>
      <c r="G632">
        <v>353</v>
      </c>
      <c r="H632">
        <v>1</v>
      </c>
      <c r="I632" t="s">
        <v>90</v>
      </c>
      <c r="J632">
        <v>0</v>
      </c>
      <c r="K632">
        <v>1</v>
      </c>
      <c r="L632">
        <v>5</v>
      </c>
      <c r="M632">
        <v>279</v>
      </c>
      <c r="N632">
        <v>490</v>
      </c>
      <c r="O632">
        <v>4</v>
      </c>
      <c r="P632">
        <v>489</v>
      </c>
      <c r="Q632">
        <v>9</v>
      </c>
      <c r="R632">
        <v>93</v>
      </c>
      <c r="S632">
        <v>175</v>
      </c>
      <c r="T632">
        <v>11</v>
      </c>
      <c r="U632">
        <v>13</v>
      </c>
      <c r="V632">
        <v>5</v>
      </c>
      <c r="W632">
        <v>2</v>
      </c>
      <c r="X632">
        <v>57</v>
      </c>
      <c r="Y632">
        <v>73</v>
      </c>
      <c r="Z632">
        <v>4</v>
      </c>
      <c r="AG632">
        <v>8</v>
      </c>
      <c r="AH632">
        <v>0</v>
      </c>
      <c r="AI632">
        <v>1</v>
      </c>
      <c r="AJ632">
        <v>0</v>
      </c>
      <c r="AK632">
        <v>4</v>
      </c>
      <c r="AL632">
        <v>3</v>
      </c>
      <c r="AM632">
        <v>0</v>
      </c>
      <c r="AN632">
        <v>2</v>
      </c>
      <c r="AO632">
        <v>4</v>
      </c>
      <c r="AP632">
        <v>3</v>
      </c>
      <c r="AQ632">
        <v>0</v>
      </c>
      <c r="AR632">
        <v>0</v>
      </c>
      <c r="BC632">
        <v>0</v>
      </c>
      <c r="BD632">
        <v>22</v>
      </c>
      <c r="BE632">
        <v>489</v>
      </c>
      <c r="BF632">
        <v>489</v>
      </c>
      <c r="BG632">
        <v>747</v>
      </c>
      <c r="BJ632">
        <v>1</v>
      </c>
      <c r="BL632" t="s">
        <v>1382</v>
      </c>
      <c r="BM632" s="4">
        <v>43283.269444444442</v>
      </c>
      <c r="BN632" s="4">
        <v>43283.307997685188</v>
      </c>
      <c r="BO632" s="4">
        <v>43283.307997685188</v>
      </c>
      <c r="BP632" t="s">
        <v>92</v>
      </c>
      <c r="BQ632" t="s">
        <v>93</v>
      </c>
      <c r="BR632" t="s">
        <v>94</v>
      </c>
    </row>
    <row r="633" spans="1:70" x14ac:dyDescent="0.3">
      <c r="A633" t="str">
        <f>"200354B0100"</f>
        <v>200354B0100</v>
      </c>
      <c r="B633" t="s">
        <v>1383</v>
      </c>
      <c r="C633">
        <v>20</v>
      </c>
      <c r="D633" t="s">
        <v>88</v>
      </c>
      <c r="E633">
        <v>44</v>
      </c>
      <c r="F633" t="s">
        <v>1303</v>
      </c>
      <c r="G633">
        <v>354</v>
      </c>
      <c r="H633">
        <v>1</v>
      </c>
      <c r="I633" t="s">
        <v>90</v>
      </c>
      <c r="J633">
        <v>0</v>
      </c>
      <c r="K633">
        <v>1</v>
      </c>
      <c r="L633">
        <v>5</v>
      </c>
      <c r="BG633">
        <v>520</v>
      </c>
      <c r="BI633" t="s">
        <v>365</v>
      </c>
      <c r="BJ633">
        <v>0</v>
      </c>
      <c r="BL633" t="s">
        <v>1384</v>
      </c>
      <c r="BM633" s="4">
        <v>43283.772222222222</v>
      </c>
      <c r="BN633" s="4">
        <v>43283.787476851852</v>
      </c>
      <c r="BO633" s="4">
        <v>43283.787476851852</v>
      </c>
      <c r="BP633" t="s">
        <v>92</v>
      </c>
      <c r="BQ633" t="s">
        <v>93</v>
      </c>
      <c r="BR633" t="s">
        <v>94</v>
      </c>
    </row>
    <row r="634" spans="1:70" x14ac:dyDescent="0.3">
      <c r="A634" t="str">
        <f>"200354C0100"</f>
        <v>200354C0100</v>
      </c>
      <c r="B634" t="s">
        <v>1385</v>
      </c>
      <c r="C634">
        <v>20</v>
      </c>
      <c r="D634" t="s">
        <v>88</v>
      </c>
      <c r="E634">
        <v>44</v>
      </c>
      <c r="F634" t="s">
        <v>1303</v>
      </c>
      <c r="G634">
        <v>354</v>
      </c>
      <c r="H634">
        <v>1</v>
      </c>
      <c r="I634" t="s">
        <v>98</v>
      </c>
      <c r="J634">
        <v>0</v>
      </c>
      <c r="K634">
        <v>1</v>
      </c>
      <c r="L634">
        <v>5</v>
      </c>
      <c r="BG634">
        <v>519</v>
      </c>
      <c r="BI634" t="s">
        <v>365</v>
      </c>
      <c r="BJ634">
        <v>0</v>
      </c>
      <c r="BL634" t="s">
        <v>1386</v>
      </c>
      <c r="BM634" s="4">
        <v>43283.772222222222</v>
      </c>
      <c r="BN634" s="4">
        <v>43283.778460648151</v>
      </c>
      <c r="BO634" s="4">
        <v>43283.778460648151</v>
      </c>
      <c r="BP634" t="s">
        <v>92</v>
      </c>
      <c r="BQ634" t="s">
        <v>93</v>
      </c>
      <c r="BR634" t="s">
        <v>94</v>
      </c>
    </row>
    <row r="635" spans="1:70" x14ac:dyDescent="0.3">
      <c r="A635" t="str">
        <f>"200355B0100"</f>
        <v>200355B0100</v>
      </c>
      <c r="B635" t="s">
        <v>1387</v>
      </c>
      <c r="C635">
        <v>20</v>
      </c>
      <c r="D635" t="s">
        <v>88</v>
      </c>
      <c r="E635">
        <v>44</v>
      </c>
      <c r="F635" t="s">
        <v>1303</v>
      </c>
      <c r="G635">
        <v>355</v>
      </c>
      <c r="H635">
        <v>1</v>
      </c>
      <c r="I635" t="s">
        <v>90</v>
      </c>
      <c r="J635">
        <v>0</v>
      </c>
      <c r="K635">
        <v>2</v>
      </c>
      <c r="L635">
        <v>5</v>
      </c>
      <c r="M635">
        <v>136</v>
      </c>
      <c r="N635">
        <v>293</v>
      </c>
      <c r="O635">
        <v>0</v>
      </c>
      <c r="P635">
        <v>293</v>
      </c>
      <c r="Q635">
        <v>11</v>
      </c>
      <c r="R635">
        <v>53</v>
      </c>
      <c r="S635">
        <v>92</v>
      </c>
      <c r="T635">
        <v>6</v>
      </c>
      <c r="U635">
        <v>18</v>
      </c>
      <c r="V635">
        <v>4</v>
      </c>
      <c r="W635">
        <v>0</v>
      </c>
      <c r="X635">
        <v>39</v>
      </c>
      <c r="Y635">
        <v>44</v>
      </c>
      <c r="Z635">
        <v>4</v>
      </c>
      <c r="AG635">
        <v>5</v>
      </c>
      <c r="AH635">
        <v>1</v>
      </c>
      <c r="AI635">
        <v>1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1</v>
      </c>
      <c r="AP635">
        <v>1</v>
      </c>
      <c r="AQ635">
        <v>1</v>
      </c>
      <c r="AR635">
        <v>1</v>
      </c>
      <c r="BC635">
        <v>0</v>
      </c>
      <c r="BD635">
        <v>13</v>
      </c>
      <c r="BE635">
        <v>295</v>
      </c>
      <c r="BF635">
        <v>295</v>
      </c>
      <c r="BG635">
        <v>407</v>
      </c>
      <c r="BJ635">
        <v>1</v>
      </c>
      <c r="BL635" t="s">
        <v>1388</v>
      </c>
      <c r="BM635" s="4">
        <v>43283.130555555559</v>
      </c>
      <c r="BN635" s="4">
        <v>43283.13958333333</v>
      </c>
      <c r="BO635" s="4">
        <v>43283.13958333333</v>
      </c>
      <c r="BP635" t="s">
        <v>92</v>
      </c>
      <c r="BQ635" t="s">
        <v>93</v>
      </c>
      <c r="BR635" t="s">
        <v>94</v>
      </c>
    </row>
    <row r="636" spans="1:70" x14ac:dyDescent="0.3">
      <c r="A636" t="str">
        <f>"200355C0100"</f>
        <v>200355C0100</v>
      </c>
      <c r="B636" t="s">
        <v>1389</v>
      </c>
      <c r="C636">
        <v>20</v>
      </c>
      <c r="D636" t="s">
        <v>88</v>
      </c>
      <c r="E636">
        <v>44</v>
      </c>
      <c r="F636" t="s">
        <v>1303</v>
      </c>
      <c r="G636">
        <v>355</v>
      </c>
      <c r="H636">
        <v>1</v>
      </c>
      <c r="I636" t="s">
        <v>98</v>
      </c>
      <c r="J636">
        <v>0</v>
      </c>
      <c r="K636">
        <v>2</v>
      </c>
      <c r="L636">
        <v>5</v>
      </c>
      <c r="M636">
        <v>166</v>
      </c>
      <c r="N636">
        <v>261</v>
      </c>
      <c r="O636">
        <v>6</v>
      </c>
      <c r="P636">
        <v>261</v>
      </c>
      <c r="Q636">
        <v>8</v>
      </c>
      <c r="R636">
        <v>44</v>
      </c>
      <c r="S636">
        <v>75</v>
      </c>
      <c r="T636">
        <v>5</v>
      </c>
      <c r="U636">
        <v>6</v>
      </c>
      <c r="V636">
        <v>6</v>
      </c>
      <c r="W636">
        <v>0</v>
      </c>
      <c r="X636">
        <v>18</v>
      </c>
      <c r="Y636">
        <v>59</v>
      </c>
      <c r="Z636">
        <v>4</v>
      </c>
      <c r="AG636">
        <v>10</v>
      </c>
      <c r="AH636">
        <v>4</v>
      </c>
      <c r="AI636">
        <v>1</v>
      </c>
      <c r="AJ636">
        <v>0</v>
      </c>
      <c r="AK636">
        <v>3</v>
      </c>
      <c r="AL636">
        <v>1</v>
      </c>
      <c r="AM636">
        <v>0</v>
      </c>
      <c r="AN636">
        <v>3</v>
      </c>
      <c r="AO636">
        <v>2</v>
      </c>
      <c r="AP636">
        <v>2</v>
      </c>
      <c r="AQ636">
        <v>0</v>
      </c>
      <c r="AR636">
        <v>0</v>
      </c>
      <c r="BC636" t="s">
        <v>105</v>
      </c>
      <c r="BD636">
        <v>13</v>
      </c>
      <c r="BE636">
        <v>261</v>
      </c>
      <c r="BF636">
        <v>264</v>
      </c>
      <c r="BG636">
        <v>406</v>
      </c>
      <c r="BI636" t="s">
        <v>106</v>
      </c>
      <c r="BJ636">
        <v>1</v>
      </c>
      <c r="BL636" t="s">
        <v>1390</v>
      </c>
      <c r="BM636" s="4">
        <v>43283.130555555559</v>
      </c>
      <c r="BN636" s="4">
        <v>43283.144583333335</v>
      </c>
      <c r="BO636" s="4">
        <v>43283.144583333335</v>
      </c>
      <c r="BP636" t="s">
        <v>92</v>
      </c>
      <c r="BQ636" t="s">
        <v>93</v>
      </c>
      <c r="BR636" t="s">
        <v>94</v>
      </c>
    </row>
    <row r="637" spans="1:70" x14ac:dyDescent="0.3">
      <c r="A637" t="str">
        <f>"200356B0100"</f>
        <v>200356B0100</v>
      </c>
      <c r="B637" t="s">
        <v>1391</v>
      </c>
      <c r="C637">
        <v>20</v>
      </c>
      <c r="D637" t="s">
        <v>88</v>
      </c>
      <c r="E637">
        <v>44</v>
      </c>
      <c r="F637" t="s">
        <v>1303</v>
      </c>
      <c r="G637">
        <v>356</v>
      </c>
      <c r="H637">
        <v>1</v>
      </c>
      <c r="I637" t="s">
        <v>90</v>
      </c>
      <c r="J637">
        <v>0</v>
      </c>
      <c r="K637">
        <v>1</v>
      </c>
      <c r="L637">
        <v>5</v>
      </c>
      <c r="M637">
        <v>178</v>
      </c>
      <c r="N637">
        <v>266</v>
      </c>
      <c r="O637">
        <v>3</v>
      </c>
      <c r="P637">
        <v>266</v>
      </c>
      <c r="Q637">
        <v>6</v>
      </c>
      <c r="R637">
        <v>55</v>
      </c>
      <c r="S637">
        <v>92</v>
      </c>
      <c r="T637">
        <v>11</v>
      </c>
      <c r="U637">
        <v>6</v>
      </c>
      <c r="V637">
        <v>3</v>
      </c>
      <c r="W637">
        <v>1</v>
      </c>
      <c r="X637">
        <v>42</v>
      </c>
      <c r="Y637">
        <v>24</v>
      </c>
      <c r="Z637">
        <v>9</v>
      </c>
      <c r="AG637">
        <v>3</v>
      </c>
      <c r="AH637">
        <v>0</v>
      </c>
      <c r="AI637">
        <v>0</v>
      </c>
      <c r="AJ637">
        <v>0</v>
      </c>
      <c r="AK637">
        <v>3</v>
      </c>
      <c r="AL637">
        <v>0</v>
      </c>
      <c r="AM637">
        <v>0</v>
      </c>
      <c r="AN637">
        <v>0</v>
      </c>
      <c r="AO637">
        <v>0</v>
      </c>
      <c r="AP637">
        <v>3</v>
      </c>
      <c r="AQ637">
        <v>0</v>
      </c>
      <c r="AR637">
        <v>0</v>
      </c>
      <c r="BC637">
        <v>0</v>
      </c>
      <c r="BD637">
        <v>8</v>
      </c>
      <c r="BE637">
        <v>266</v>
      </c>
      <c r="BF637">
        <v>266</v>
      </c>
      <c r="BG637">
        <v>422</v>
      </c>
      <c r="BJ637">
        <v>1</v>
      </c>
      <c r="BL637" t="s">
        <v>1392</v>
      </c>
      <c r="BM637" s="4">
        <v>43283.227777777778</v>
      </c>
      <c r="BN637" s="4">
        <v>43283.251979166664</v>
      </c>
      <c r="BO637" s="4">
        <v>43283.251979166664</v>
      </c>
      <c r="BP637" t="s">
        <v>92</v>
      </c>
      <c r="BQ637" t="s">
        <v>93</v>
      </c>
      <c r="BR637" t="s">
        <v>94</v>
      </c>
    </row>
    <row r="638" spans="1:70" x14ac:dyDescent="0.3">
      <c r="A638" t="str">
        <f>"200356C0100"</f>
        <v>200356C0100</v>
      </c>
      <c r="B638" t="s">
        <v>1393</v>
      </c>
      <c r="C638">
        <v>20</v>
      </c>
      <c r="D638" t="s">
        <v>88</v>
      </c>
      <c r="E638">
        <v>44</v>
      </c>
      <c r="F638" t="s">
        <v>1303</v>
      </c>
      <c r="G638">
        <v>356</v>
      </c>
      <c r="H638">
        <v>1</v>
      </c>
      <c r="I638" t="s">
        <v>98</v>
      </c>
      <c r="J638">
        <v>0</v>
      </c>
      <c r="K638">
        <v>1</v>
      </c>
      <c r="L638">
        <v>5</v>
      </c>
      <c r="M638">
        <v>164</v>
      </c>
      <c r="N638">
        <v>279</v>
      </c>
      <c r="O638">
        <v>4</v>
      </c>
      <c r="P638">
        <v>278</v>
      </c>
      <c r="Q638">
        <v>7</v>
      </c>
      <c r="R638">
        <v>66</v>
      </c>
      <c r="S638">
        <v>92</v>
      </c>
      <c r="T638">
        <v>4</v>
      </c>
      <c r="U638">
        <v>11</v>
      </c>
      <c r="V638">
        <v>2</v>
      </c>
      <c r="W638">
        <v>0</v>
      </c>
      <c r="X638">
        <v>26</v>
      </c>
      <c r="Y638">
        <v>34</v>
      </c>
      <c r="Z638">
        <v>10</v>
      </c>
      <c r="AG638">
        <v>4</v>
      </c>
      <c r="AH638">
        <v>0</v>
      </c>
      <c r="AI638">
        <v>1</v>
      </c>
      <c r="AJ638">
        <v>0</v>
      </c>
      <c r="AK638">
        <v>4</v>
      </c>
      <c r="AL638">
        <v>1</v>
      </c>
      <c r="AM638">
        <v>0</v>
      </c>
      <c r="AN638">
        <v>0</v>
      </c>
      <c r="AO638">
        <v>2</v>
      </c>
      <c r="AP638">
        <v>1</v>
      </c>
      <c r="AQ638">
        <v>0</v>
      </c>
      <c r="AR638">
        <v>1</v>
      </c>
      <c r="BC638">
        <v>0</v>
      </c>
      <c r="BD638">
        <v>11</v>
      </c>
      <c r="BE638">
        <v>278</v>
      </c>
      <c r="BF638">
        <v>277</v>
      </c>
      <c r="BG638">
        <v>421</v>
      </c>
      <c r="BJ638">
        <v>1</v>
      </c>
      <c r="BL638" t="s">
        <v>1394</v>
      </c>
      <c r="BM638" s="4">
        <v>43283.227777777778</v>
      </c>
      <c r="BN638" s="4">
        <v>43283.252858796295</v>
      </c>
      <c r="BO638" s="4">
        <v>43283.252858796295</v>
      </c>
      <c r="BP638" t="s">
        <v>92</v>
      </c>
      <c r="BQ638" t="s">
        <v>93</v>
      </c>
      <c r="BR638" t="s">
        <v>94</v>
      </c>
    </row>
    <row r="639" spans="1:70" x14ac:dyDescent="0.3">
      <c r="A639" t="str">
        <f>"200357B0100"</f>
        <v>200357B0100</v>
      </c>
      <c r="B639" t="s">
        <v>1395</v>
      </c>
      <c r="C639">
        <v>20</v>
      </c>
      <c r="D639" t="s">
        <v>88</v>
      </c>
      <c r="E639">
        <v>44</v>
      </c>
      <c r="F639" t="s">
        <v>1303</v>
      </c>
      <c r="G639">
        <v>357</v>
      </c>
      <c r="H639">
        <v>1</v>
      </c>
      <c r="I639" t="s">
        <v>90</v>
      </c>
      <c r="J639">
        <v>0</v>
      </c>
      <c r="K639">
        <v>2</v>
      </c>
      <c r="L639">
        <v>5</v>
      </c>
      <c r="M639">
        <v>226</v>
      </c>
      <c r="N639">
        <v>454</v>
      </c>
      <c r="O639">
        <v>22</v>
      </c>
      <c r="P639">
        <v>0</v>
      </c>
      <c r="Q639">
        <v>3</v>
      </c>
      <c r="R639">
        <v>68</v>
      </c>
      <c r="S639">
        <v>133</v>
      </c>
      <c r="T639">
        <v>7</v>
      </c>
      <c r="U639">
        <v>14</v>
      </c>
      <c r="V639">
        <v>8</v>
      </c>
      <c r="W639" t="s">
        <v>105</v>
      </c>
      <c r="X639">
        <v>14</v>
      </c>
      <c r="Y639">
        <v>64</v>
      </c>
      <c r="Z639">
        <v>67</v>
      </c>
      <c r="AG639">
        <v>1</v>
      </c>
      <c r="AH639" t="s">
        <v>105</v>
      </c>
      <c r="AI639" t="s">
        <v>105</v>
      </c>
      <c r="AJ639" t="s">
        <v>105</v>
      </c>
      <c r="AK639">
        <v>2</v>
      </c>
      <c r="AL639">
        <v>1</v>
      </c>
      <c r="AM639">
        <v>3</v>
      </c>
      <c r="AN639">
        <v>3</v>
      </c>
      <c r="AO639">
        <v>1</v>
      </c>
      <c r="AP639">
        <v>4</v>
      </c>
      <c r="AQ639">
        <v>1</v>
      </c>
      <c r="AR639" t="s">
        <v>105</v>
      </c>
      <c r="BC639" t="s">
        <v>105</v>
      </c>
      <c r="BD639">
        <v>36</v>
      </c>
      <c r="BE639">
        <v>432</v>
      </c>
      <c r="BF639">
        <v>430</v>
      </c>
      <c r="BG639">
        <v>637</v>
      </c>
      <c r="BI639" t="s">
        <v>106</v>
      </c>
      <c r="BJ639">
        <v>1</v>
      </c>
      <c r="BL639" t="s">
        <v>1396</v>
      </c>
      <c r="BM639" s="4">
        <v>43283.208333333336</v>
      </c>
      <c r="BN639" s="4">
        <v>43283.232766203706</v>
      </c>
      <c r="BO639" s="4">
        <v>43283.232766203706</v>
      </c>
      <c r="BP639" t="s">
        <v>92</v>
      </c>
      <c r="BQ639" t="s">
        <v>93</v>
      </c>
      <c r="BR639" t="s">
        <v>94</v>
      </c>
    </row>
    <row r="640" spans="1:70" x14ac:dyDescent="0.3">
      <c r="A640" t="str">
        <f>"200357E0100"</f>
        <v>200357E0100</v>
      </c>
      <c r="B640" s="2" t="s">
        <v>1397</v>
      </c>
      <c r="C640">
        <v>20</v>
      </c>
      <c r="D640" t="s">
        <v>88</v>
      </c>
      <c r="E640">
        <v>44</v>
      </c>
      <c r="F640" t="s">
        <v>1303</v>
      </c>
      <c r="G640">
        <v>357</v>
      </c>
      <c r="H640">
        <v>1</v>
      </c>
      <c r="I640" t="s">
        <v>156</v>
      </c>
      <c r="J640">
        <v>0</v>
      </c>
      <c r="K640">
        <v>2</v>
      </c>
      <c r="L640">
        <v>5</v>
      </c>
      <c r="M640">
        <v>157</v>
      </c>
      <c r="N640">
        <v>269</v>
      </c>
      <c r="O640">
        <v>7</v>
      </c>
      <c r="P640">
        <v>0</v>
      </c>
      <c r="Q640">
        <v>1</v>
      </c>
      <c r="R640">
        <v>17</v>
      </c>
      <c r="S640">
        <v>80</v>
      </c>
      <c r="T640">
        <v>3</v>
      </c>
      <c r="U640">
        <v>16</v>
      </c>
      <c r="V640">
        <v>2</v>
      </c>
      <c r="W640">
        <v>0</v>
      </c>
      <c r="X640">
        <v>34</v>
      </c>
      <c r="Y640">
        <v>30</v>
      </c>
      <c r="Z640">
        <v>64</v>
      </c>
      <c r="AG640" t="s">
        <v>105</v>
      </c>
      <c r="AH640" t="s">
        <v>105</v>
      </c>
      <c r="AI640" t="s">
        <v>105</v>
      </c>
      <c r="AJ640" t="s">
        <v>105</v>
      </c>
      <c r="AK640" t="s">
        <v>105</v>
      </c>
      <c r="AL640">
        <v>1</v>
      </c>
      <c r="AM640">
        <v>1</v>
      </c>
      <c r="AN640" t="s">
        <v>105</v>
      </c>
      <c r="AO640" t="s">
        <v>105</v>
      </c>
      <c r="AP640" t="s">
        <v>105</v>
      </c>
      <c r="AQ640" t="s">
        <v>105</v>
      </c>
      <c r="AR640" t="s">
        <v>105</v>
      </c>
      <c r="BC640" t="s">
        <v>105</v>
      </c>
      <c r="BD640" t="s">
        <v>127</v>
      </c>
      <c r="BE640">
        <v>262</v>
      </c>
      <c r="BF640">
        <v>249</v>
      </c>
      <c r="BG640">
        <v>398</v>
      </c>
      <c r="BI640" t="s">
        <v>106</v>
      </c>
      <c r="BJ640">
        <v>1</v>
      </c>
      <c r="BL640" t="s">
        <v>1398</v>
      </c>
      <c r="BM640" s="4">
        <v>43283.210416666669</v>
      </c>
      <c r="BN640" s="4">
        <v>43283.244027777779</v>
      </c>
      <c r="BO640" s="4">
        <v>43283.244027777779</v>
      </c>
      <c r="BP640" t="s">
        <v>92</v>
      </c>
      <c r="BQ640" t="s">
        <v>93</v>
      </c>
      <c r="BR640" t="s">
        <v>94</v>
      </c>
    </row>
    <row r="641" spans="1:70" x14ac:dyDescent="0.3">
      <c r="A641" t="str">
        <f>"200358B0100"</f>
        <v>200358B0100</v>
      </c>
      <c r="B641" t="s">
        <v>1399</v>
      </c>
      <c r="C641">
        <v>20</v>
      </c>
      <c r="D641" t="s">
        <v>88</v>
      </c>
      <c r="E641">
        <v>44</v>
      </c>
      <c r="F641" t="s">
        <v>1303</v>
      </c>
      <c r="G641">
        <v>358</v>
      </c>
      <c r="H641">
        <v>1</v>
      </c>
      <c r="I641" t="s">
        <v>90</v>
      </c>
      <c r="J641">
        <v>0</v>
      </c>
      <c r="K641">
        <v>2</v>
      </c>
      <c r="L641">
        <v>5</v>
      </c>
      <c r="M641">
        <v>170</v>
      </c>
      <c r="N641">
        <v>295</v>
      </c>
      <c r="O641">
        <v>0</v>
      </c>
      <c r="P641" t="s">
        <v>105</v>
      </c>
      <c r="Q641">
        <v>5</v>
      </c>
      <c r="R641">
        <v>43</v>
      </c>
      <c r="S641">
        <v>135</v>
      </c>
      <c r="T641">
        <v>3</v>
      </c>
      <c r="U641">
        <v>11</v>
      </c>
      <c r="V641">
        <v>3</v>
      </c>
      <c r="W641">
        <v>1</v>
      </c>
      <c r="X641">
        <v>7</v>
      </c>
      <c r="Y641">
        <v>49</v>
      </c>
      <c r="Z641">
        <v>7</v>
      </c>
      <c r="AG641">
        <v>4</v>
      </c>
      <c r="AH641">
        <v>0</v>
      </c>
      <c r="AI641">
        <v>0</v>
      </c>
      <c r="AJ641">
        <v>0</v>
      </c>
      <c r="AK641">
        <v>1</v>
      </c>
      <c r="AL641">
        <v>0</v>
      </c>
      <c r="AM641">
        <v>0</v>
      </c>
      <c r="AN641">
        <v>0</v>
      </c>
      <c r="AO641">
        <v>6</v>
      </c>
      <c r="AP641">
        <v>0</v>
      </c>
      <c r="AQ641">
        <v>0</v>
      </c>
      <c r="AR641">
        <v>0</v>
      </c>
      <c r="BC641" t="s">
        <v>105</v>
      </c>
      <c r="BD641">
        <v>19</v>
      </c>
      <c r="BE641">
        <v>295</v>
      </c>
      <c r="BF641">
        <v>294</v>
      </c>
      <c r="BG641">
        <v>443</v>
      </c>
      <c r="BI641" t="s">
        <v>106</v>
      </c>
      <c r="BJ641">
        <v>1</v>
      </c>
      <c r="BL641" t="s">
        <v>1400</v>
      </c>
      <c r="BM641" s="4">
        <v>43283.154872685183</v>
      </c>
      <c r="BN641" s="4">
        <v>43283.177743055552</v>
      </c>
      <c r="BO641" s="4">
        <v>43283.177743055552</v>
      </c>
      <c r="BP641" t="s">
        <v>339</v>
      </c>
      <c r="BQ641" t="s">
        <v>340</v>
      </c>
      <c r="BR641" t="s">
        <v>94</v>
      </c>
    </row>
    <row r="642" spans="1:70" x14ac:dyDescent="0.3">
      <c r="A642" t="str">
        <f>"200359B0100"</f>
        <v>200359B0100</v>
      </c>
      <c r="B642" t="s">
        <v>1401</v>
      </c>
      <c r="C642">
        <v>20</v>
      </c>
      <c r="D642" t="s">
        <v>88</v>
      </c>
      <c r="E642">
        <v>44</v>
      </c>
      <c r="F642" t="s">
        <v>1303</v>
      </c>
      <c r="G642">
        <v>359</v>
      </c>
      <c r="H642">
        <v>1</v>
      </c>
      <c r="I642" t="s">
        <v>90</v>
      </c>
      <c r="J642">
        <v>0</v>
      </c>
      <c r="K642">
        <v>2</v>
      </c>
      <c r="L642">
        <v>5</v>
      </c>
      <c r="M642">
        <v>117</v>
      </c>
      <c r="N642">
        <v>297</v>
      </c>
      <c r="O642">
        <v>1</v>
      </c>
      <c r="P642">
        <v>297</v>
      </c>
      <c r="Q642">
        <v>3</v>
      </c>
      <c r="R642">
        <v>63</v>
      </c>
      <c r="S642">
        <v>126</v>
      </c>
      <c r="T642">
        <v>5</v>
      </c>
      <c r="U642">
        <v>14</v>
      </c>
      <c r="V642">
        <v>4</v>
      </c>
      <c r="W642">
        <v>1</v>
      </c>
      <c r="X642">
        <v>26</v>
      </c>
      <c r="Y642">
        <v>25</v>
      </c>
      <c r="Z642">
        <v>4</v>
      </c>
      <c r="AG642">
        <v>3</v>
      </c>
      <c r="AH642">
        <v>3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2</v>
      </c>
      <c r="AO642">
        <v>4</v>
      </c>
      <c r="AP642">
        <v>0</v>
      </c>
      <c r="AQ642">
        <v>0</v>
      </c>
      <c r="AR642">
        <v>0</v>
      </c>
      <c r="BC642">
        <v>0</v>
      </c>
      <c r="BD642">
        <v>13</v>
      </c>
      <c r="BE642">
        <v>296</v>
      </c>
      <c r="BF642">
        <v>296</v>
      </c>
      <c r="BG642">
        <v>391</v>
      </c>
      <c r="BJ642">
        <v>1</v>
      </c>
      <c r="BL642" t="s">
        <v>1402</v>
      </c>
      <c r="BM642" s="4">
        <v>43283.154826388891</v>
      </c>
      <c r="BN642" s="4">
        <v>43283.164259259262</v>
      </c>
      <c r="BO642" s="4">
        <v>43283.164259259262</v>
      </c>
      <c r="BP642" t="s">
        <v>339</v>
      </c>
      <c r="BQ642" t="s">
        <v>340</v>
      </c>
      <c r="BR642" t="s">
        <v>94</v>
      </c>
    </row>
    <row r="643" spans="1:70" x14ac:dyDescent="0.3">
      <c r="A643" t="str">
        <f>"200359C0100"</f>
        <v>200359C0100</v>
      </c>
      <c r="B643" t="s">
        <v>1403</v>
      </c>
      <c r="C643">
        <v>20</v>
      </c>
      <c r="D643" t="s">
        <v>88</v>
      </c>
      <c r="E643">
        <v>44</v>
      </c>
      <c r="F643" t="s">
        <v>1303</v>
      </c>
      <c r="G643">
        <v>359</v>
      </c>
      <c r="H643">
        <v>1</v>
      </c>
      <c r="I643" t="s">
        <v>98</v>
      </c>
      <c r="J643">
        <v>0</v>
      </c>
      <c r="K643">
        <v>2</v>
      </c>
      <c r="L643">
        <v>5</v>
      </c>
      <c r="M643">
        <v>123</v>
      </c>
      <c r="N643">
        <v>290</v>
      </c>
      <c r="O643">
        <v>0</v>
      </c>
      <c r="P643">
        <v>290</v>
      </c>
      <c r="Q643">
        <v>1</v>
      </c>
      <c r="R643">
        <v>55</v>
      </c>
      <c r="S643">
        <v>130</v>
      </c>
      <c r="T643">
        <v>5</v>
      </c>
      <c r="U643">
        <v>12</v>
      </c>
      <c r="V643">
        <v>3</v>
      </c>
      <c r="W643">
        <v>1</v>
      </c>
      <c r="X643">
        <v>21</v>
      </c>
      <c r="Y643">
        <v>23</v>
      </c>
      <c r="Z643">
        <v>7</v>
      </c>
      <c r="AG643">
        <v>5</v>
      </c>
      <c r="AH643">
        <v>2</v>
      </c>
      <c r="AI643">
        <v>4</v>
      </c>
      <c r="AJ643">
        <v>0</v>
      </c>
      <c r="AK643">
        <v>2</v>
      </c>
      <c r="AL643">
        <v>0</v>
      </c>
      <c r="AM643">
        <v>1</v>
      </c>
      <c r="AN643">
        <v>0</v>
      </c>
      <c r="AO643">
        <v>3</v>
      </c>
      <c r="AP643">
        <v>2</v>
      </c>
      <c r="AQ643">
        <v>0</v>
      </c>
      <c r="AR643">
        <v>0</v>
      </c>
      <c r="BC643">
        <v>0</v>
      </c>
      <c r="BD643">
        <v>13</v>
      </c>
      <c r="BE643">
        <v>290</v>
      </c>
      <c r="BF643">
        <v>290</v>
      </c>
      <c r="BG643">
        <v>391</v>
      </c>
      <c r="BJ643">
        <v>1</v>
      </c>
      <c r="BL643" t="s">
        <v>1404</v>
      </c>
      <c r="BM643" s="4">
        <v>43283.15488425926</v>
      </c>
      <c r="BN643" s="4">
        <v>43283.163900462961</v>
      </c>
      <c r="BO643" s="4">
        <v>43283.163900462961</v>
      </c>
      <c r="BP643" t="s">
        <v>339</v>
      </c>
      <c r="BQ643" t="s">
        <v>340</v>
      </c>
      <c r="BR643" t="s">
        <v>94</v>
      </c>
    </row>
    <row r="644" spans="1:70" x14ac:dyDescent="0.3">
      <c r="A644" t="str">
        <f>"200360B0100"</f>
        <v>200360B0100</v>
      </c>
      <c r="B644" t="s">
        <v>1405</v>
      </c>
      <c r="C644">
        <v>20</v>
      </c>
      <c r="D644" t="s">
        <v>88</v>
      </c>
      <c r="E644">
        <v>44</v>
      </c>
      <c r="F644" t="s">
        <v>1303</v>
      </c>
      <c r="G644">
        <v>360</v>
      </c>
      <c r="H644">
        <v>1</v>
      </c>
      <c r="I644" t="s">
        <v>90</v>
      </c>
      <c r="J644">
        <v>0</v>
      </c>
      <c r="K644">
        <v>2</v>
      </c>
      <c r="L644">
        <v>5</v>
      </c>
      <c r="M644">
        <v>229</v>
      </c>
      <c r="N644">
        <v>493</v>
      </c>
      <c r="O644">
        <v>2</v>
      </c>
      <c r="P644">
        <v>493</v>
      </c>
      <c r="Q644">
        <v>6</v>
      </c>
      <c r="R644">
        <v>95</v>
      </c>
      <c r="S644">
        <v>182</v>
      </c>
      <c r="T644">
        <v>4</v>
      </c>
      <c r="U644">
        <v>21</v>
      </c>
      <c r="V644">
        <v>2</v>
      </c>
      <c r="W644">
        <v>2</v>
      </c>
      <c r="X644">
        <v>42</v>
      </c>
      <c r="Y644">
        <v>93</v>
      </c>
      <c r="Z644">
        <v>6</v>
      </c>
      <c r="AG644">
        <v>7</v>
      </c>
      <c r="AH644">
        <v>0</v>
      </c>
      <c r="AI644">
        <v>3</v>
      </c>
      <c r="AJ644">
        <v>1</v>
      </c>
      <c r="AK644">
        <v>4</v>
      </c>
      <c r="AL644">
        <v>1</v>
      </c>
      <c r="AM644">
        <v>0</v>
      </c>
      <c r="AN644">
        <v>1</v>
      </c>
      <c r="AO644">
        <v>2</v>
      </c>
      <c r="AP644">
        <v>1</v>
      </c>
      <c r="AQ644">
        <v>1</v>
      </c>
      <c r="AR644">
        <v>0</v>
      </c>
      <c r="BC644">
        <v>0</v>
      </c>
      <c r="BD644">
        <v>19</v>
      </c>
      <c r="BE644">
        <v>493</v>
      </c>
      <c r="BF644">
        <v>493</v>
      </c>
      <c r="BG644">
        <v>702</v>
      </c>
      <c r="BJ644">
        <v>1</v>
      </c>
      <c r="BL644" t="s">
        <v>1406</v>
      </c>
      <c r="BM644" s="4">
        <v>43283.154849537037</v>
      </c>
      <c r="BN644" s="4">
        <v>43283.164733796293</v>
      </c>
      <c r="BO644" s="4">
        <v>43283.164733796293</v>
      </c>
      <c r="BP644" t="s">
        <v>339</v>
      </c>
      <c r="BQ644" t="s">
        <v>340</v>
      </c>
      <c r="BR644" t="s">
        <v>94</v>
      </c>
    </row>
    <row r="645" spans="1:70" x14ac:dyDescent="0.3">
      <c r="A645" t="str">
        <f>"200360C0100"</f>
        <v>200360C0100</v>
      </c>
      <c r="B645" t="s">
        <v>1407</v>
      </c>
      <c r="C645">
        <v>20</v>
      </c>
      <c r="D645" t="s">
        <v>88</v>
      </c>
      <c r="E645">
        <v>44</v>
      </c>
      <c r="F645" t="s">
        <v>1303</v>
      </c>
      <c r="G645">
        <v>360</v>
      </c>
      <c r="H645">
        <v>1</v>
      </c>
      <c r="I645" t="s">
        <v>98</v>
      </c>
      <c r="J645">
        <v>0</v>
      </c>
      <c r="K645">
        <v>2</v>
      </c>
      <c r="L645">
        <v>5</v>
      </c>
      <c r="M645">
        <v>207</v>
      </c>
      <c r="N645">
        <v>508</v>
      </c>
      <c r="O645">
        <v>1</v>
      </c>
      <c r="P645">
        <v>508</v>
      </c>
      <c r="Q645">
        <v>3</v>
      </c>
      <c r="R645">
        <v>106</v>
      </c>
      <c r="S645">
        <v>208</v>
      </c>
      <c r="T645">
        <v>3</v>
      </c>
      <c r="U645">
        <v>23</v>
      </c>
      <c r="V645">
        <v>5</v>
      </c>
      <c r="W645">
        <v>1</v>
      </c>
      <c r="X645">
        <v>32</v>
      </c>
      <c r="Y645">
        <v>69</v>
      </c>
      <c r="Z645">
        <v>18</v>
      </c>
      <c r="AG645">
        <v>4</v>
      </c>
      <c r="AH645">
        <v>1</v>
      </c>
      <c r="AI645">
        <v>0</v>
      </c>
      <c r="AJ645">
        <v>0</v>
      </c>
      <c r="AK645">
        <v>2</v>
      </c>
      <c r="AL645">
        <v>3</v>
      </c>
      <c r="AM645">
        <v>1</v>
      </c>
      <c r="AN645">
        <v>0</v>
      </c>
      <c r="AO645">
        <v>5</v>
      </c>
      <c r="AP645">
        <v>1</v>
      </c>
      <c r="AQ645">
        <v>0</v>
      </c>
      <c r="AR645">
        <v>1</v>
      </c>
      <c r="BC645">
        <v>0</v>
      </c>
      <c r="BD645">
        <v>20</v>
      </c>
      <c r="BE645">
        <v>506</v>
      </c>
      <c r="BF645">
        <v>506</v>
      </c>
      <c r="BG645">
        <v>702</v>
      </c>
      <c r="BJ645">
        <v>1</v>
      </c>
      <c r="BL645" t="s">
        <v>1408</v>
      </c>
      <c r="BM645" s="4">
        <v>43283.154861111114</v>
      </c>
      <c r="BN645" s="4">
        <v>43283.163217592592</v>
      </c>
      <c r="BO645" s="4">
        <v>43283.163217592592</v>
      </c>
      <c r="BP645" t="s">
        <v>339</v>
      </c>
      <c r="BQ645" t="s">
        <v>340</v>
      </c>
      <c r="BR645" t="s">
        <v>94</v>
      </c>
    </row>
    <row r="646" spans="1:70" x14ac:dyDescent="0.3">
      <c r="A646" t="str">
        <f>"200361B0100"</f>
        <v>200361B0100</v>
      </c>
      <c r="B646" t="s">
        <v>1409</v>
      </c>
      <c r="C646">
        <v>20</v>
      </c>
      <c r="D646" t="s">
        <v>88</v>
      </c>
      <c r="E646">
        <v>44</v>
      </c>
      <c r="F646" t="s">
        <v>1303</v>
      </c>
      <c r="G646">
        <v>361</v>
      </c>
      <c r="H646">
        <v>1</v>
      </c>
      <c r="I646" t="s">
        <v>90</v>
      </c>
      <c r="J646">
        <v>0</v>
      </c>
      <c r="K646">
        <v>2</v>
      </c>
      <c r="L646">
        <v>5</v>
      </c>
      <c r="M646" t="s">
        <v>127</v>
      </c>
      <c r="N646">
        <v>282</v>
      </c>
      <c r="O646">
        <v>5</v>
      </c>
      <c r="P646">
        <v>282</v>
      </c>
      <c r="Q646">
        <v>4</v>
      </c>
      <c r="R646">
        <v>34</v>
      </c>
      <c r="S646">
        <v>124</v>
      </c>
      <c r="T646">
        <v>4</v>
      </c>
      <c r="U646">
        <v>12</v>
      </c>
      <c r="V646">
        <v>3</v>
      </c>
      <c r="W646">
        <v>0</v>
      </c>
      <c r="X646">
        <v>65</v>
      </c>
      <c r="Y646">
        <v>19</v>
      </c>
      <c r="Z646">
        <v>1</v>
      </c>
      <c r="AG646">
        <v>0</v>
      </c>
      <c r="AH646">
        <v>1</v>
      </c>
      <c r="AI646">
        <v>2</v>
      </c>
      <c r="AJ646">
        <v>0</v>
      </c>
      <c r="AK646">
        <v>0</v>
      </c>
      <c r="AL646">
        <v>0</v>
      </c>
      <c r="AM646">
        <v>0</v>
      </c>
      <c r="AN646">
        <v>1</v>
      </c>
      <c r="AO646">
        <v>4</v>
      </c>
      <c r="AP646">
        <v>1</v>
      </c>
      <c r="AQ646">
        <v>0</v>
      </c>
      <c r="AR646">
        <v>0</v>
      </c>
      <c r="BC646" t="s">
        <v>105</v>
      </c>
      <c r="BD646">
        <v>7</v>
      </c>
      <c r="BE646">
        <v>282</v>
      </c>
      <c r="BF646">
        <v>282</v>
      </c>
      <c r="BG646">
        <v>405</v>
      </c>
      <c r="BI646" t="s">
        <v>106</v>
      </c>
      <c r="BJ646">
        <v>1</v>
      </c>
      <c r="BL646" t="s">
        <v>1410</v>
      </c>
      <c r="BM646" s="4">
        <v>43283.125</v>
      </c>
      <c r="BN646" s="4">
        <v>43283.137986111113</v>
      </c>
      <c r="BO646" s="4">
        <v>43283.137986111113</v>
      </c>
      <c r="BP646" t="s">
        <v>92</v>
      </c>
      <c r="BQ646" t="s">
        <v>93</v>
      </c>
      <c r="BR646" t="s">
        <v>94</v>
      </c>
    </row>
    <row r="647" spans="1:70" x14ac:dyDescent="0.3">
      <c r="A647" t="str">
        <f>"200361E0100"</f>
        <v>200361E0100</v>
      </c>
      <c r="B647" s="2" t="s">
        <v>1411</v>
      </c>
      <c r="C647">
        <v>20</v>
      </c>
      <c r="D647" t="s">
        <v>88</v>
      </c>
      <c r="E647">
        <v>44</v>
      </c>
      <c r="F647" t="s">
        <v>1303</v>
      </c>
      <c r="G647">
        <v>361</v>
      </c>
      <c r="H647">
        <v>1</v>
      </c>
      <c r="I647" t="s">
        <v>156</v>
      </c>
      <c r="J647">
        <v>0</v>
      </c>
      <c r="K647">
        <v>2</v>
      </c>
      <c r="L647">
        <v>5</v>
      </c>
      <c r="M647">
        <v>146</v>
      </c>
      <c r="N647">
        <v>210</v>
      </c>
      <c r="O647">
        <v>0</v>
      </c>
      <c r="P647">
        <v>209</v>
      </c>
      <c r="Q647">
        <v>4</v>
      </c>
      <c r="R647">
        <v>52</v>
      </c>
      <c r="S647">
        <v>70</v>
      </c>
      <c r="T647">
        <v>1</v>
      </c>
      <c r="U647">
        <v>4</v>
      </c>
      <c r="V647">
        <v>3</v>
      </c>
      <c r="W647">
        <v>2</v>
      </c>
      <c r="X647">
        <v>23</v>
      </c>
      <c r="Y647">
        <v>25</v>
      </c>
      <c r="Z647">
        <v>1</v>
      </c>
      <c r="AG647">
        <v>0</v>
      </c>
      <c r="AH647">
        <v>0</v>
      </c>
      <c r="AI647">
        <v>1</v>
      </c>
      <c r="AJ647">
        <v>0</v>
      </c>
      <c r="AK647">
        <v>1</v>
      </c>
      <c r="AL647">
        <v>0</v>
      </c>
      <c r="AM647">
        <v>0</v>
      </c>
      <c r="AN647">
        <v>0</v>
      </c>
      <c r="AO647">
        <v>3</v>
      </c>
      <c r="AP647">
        <v>0</v>
      </c>
      <c r="AQ647">
        <v>2</v>
      </c>
      <c r="AR647">
        <v>0</v>
      </c>
      <c r="BC647">
        <v>0</v>
      </c>
      <c r="BD647">
        <v>17</v>
      </c>
      <c r="BE647">
        <v>209</v>
      </c>
      <c r="BF647">
        <v>209</v>
      </c>
      <c r="BG647">
        <v>334</v>
      </c>
      <c r="BJ647">
        <v>1</v>
      </c>
      <c r="BL647" t="s">
        <v>1412</v>
      </c>
      <c r="BM647" s="4">
        <v>43283.125</v>
      </c>
      <c r="BN647" s="4">
        <v>43283.138761574075</v>
      </c>
      <c r="BO647" s="4">
        <v>43283.138761574075</v>
      </c>
      <c r="BP647" t="s">
        <v>92</v>
      </c>
      <c r="BQ647" t="s">
        <v>93</v>
      </c>
      <c r="BR647" t="s">
        <v>94</v>
      </c>
    </row>
    <row r="648" spans="1:70" x14ac:dyDescent="0.3">
      <c r="A648" t="str">
        <f>"200362B0100"</f>
        <v>200362B0100</v>
      </c>
      <c r="B648" t="s">
        <v>1413</v>
      </c>
      <c r="C648">
        <v>20</v>
      </c>
      <c r="D648" t="s">
        <v>88</v>
      </c>
      <c r="E648">
        <v>44</v>
      </c>
      <c r="F648" t="s">
        <v>1303</v>
      </c>
      <c r="G648">
        <v>362</v>
      </c>
      <c r="H648">
        <v>1</v>
      </c>
      <c r="I648" t="s">
        <v>90</v>
      </c>
      <c r="J648">
        <v>0</v>
      </c>
      <c r="K648">
        <v>2</v>
      </c>
      <c r="L648">
        <v>5</v>
      </c>
      <c r="BG648">
        <v>549</v>
      </c>
      <c r="BI648" t="s">
        <v>365</v>
      </c>
      <c r="BJ648">
        <v>0</v>
      </c>
      <c r="BL648" t="s">
        <v>1414</v>
      </c>
      <c r="BM648" s="4">
        <v>43283.772222222222</v>
      </c>
      <c r="BN648" s="4">
        <v>43283.77853009259</v>
      </c>
      <c r="BO648" s="4">
        <v>43283.77853009259</v>
      </c>
      <c r="BP648" t="s">
        <v>92</v>
      </c>
      <c r="BQ648" t="s">
        <v>93</v>
      </c>
      <c r="BR648" t="s">
        <v>94</v>
      </c>
    </row>
    <row r="649" spans="1:70" x14ac:dyDescent="0.3">
      <c r="A649" t="str">
        <f>"200362E0100"</f>
        <v>200362E0100</v>
      </c>
      <c r="B649" s="2" t="s">
        <v>1415</v>
      </c>
      <c r="C649">
        <v>20</v>
      </c>
      <c r="D649" t="s">
        <v>88</v>
      </c>
      <c r="E649">
        <v>44</v>
      </c>
      <c r="F649" t="s">
        <v>1303</v>
      </c>
      <c r="G649">
        <v>362</v>
      </c>
      <c r="H649">
        <v>1</v>
      </c>
      <c r="I649" t="s">
        <v>156</v>
      </c>
      <c r="J649">
        <v>0</v>
      </c>
      <c r="K649">
        <v>2</v>
      </c>
      <c r="L649">
        <v>5</v>
      </c>
      <c r="M649">
        <v>126</v>
      </c>
      <c r="N649">
        <v>216</v>
      </c>
      <c r="O649">
        <v>0</v>
      </c>
      <c r="P649">
        <v>206</v>
      </c>
      <c r="Q649">
        <v>7</v>
      </c>
      <c r="R649">
        <v>27</v>
      </c>
      <c r="S649">
        <v>73</v>
      </c>
      <c r="T649">
        <v>1</v>
      </c>
      <c r="U649">
        <v>13</v>
      </c>
      <c r="V649">
        <v>0</v>
      </c>
      <c r="W649">
        <v>1</v>
      </c>
      <c r="X649">
        <v>16</v>
      </c>
      <c r="Y649">
        <v>56</v>
      </c>
      <c r="Z649">
        <v>7</v>
      </c>
      <c r="AG649">
        <v>1</v>
      </c>
      <c r="AH649">
        <v>0</v>
      </c>
      <c r="AI649">
        <v>0</v>
      </c>
      <c r="AJ649">
        <v>0</v>
      </c>
      <c r="AK649">
        <v>2</v>
      </c>
      <c r="AL649">
        <v>0</v>
      </c>
      <c r="AM649">
        <v>0</v>
      </c>
      <c r="AN649">
        <v>0</v>
      </c>
      <c r="AO649">
        <v>1</v>
      </c>
      <c r="AP649">
        <v>0</v>
      </c>
      <c r="AQ649">
        <v>0</v>
      </c>
      <c r="AR649">
        <v>0</v>
      </c>
      <c r="BC649" t="s">
        <v>105</v>
      </c>
      <c r="BD649">
        <v>11</v>
      </c>
      <c r="BE649">
        <v>216</v>
      </c>
      <c r="BF649">
        <v>216</v>
      </c>
      <c r="BG649">
        <v>320</v>
      </c>
      <c r="BI649" t="s">
        <v>106</v>
      </c>
      <c r="BJ649">
        <v>1</v>
      </c>
      <c r="BL649" t="s">
        <v>1416</v>
      </c>
      <c r="BM649" s="4">
        <v>43283.125</v>
      </c>
      <c r="BN649" s="4">
        <v>43283.136655092596</v>
      </c>
      <c r="BO649" s="4">
        <v>43283.136655092596</v>
      </c>
      <c r="BP649" t="s">
        <v>92</v>
      </c>
      <c r="BQ649" t="s">
        <v>93</v>
      </c>
      <c r="BR649" t="s">
        <v>94</v>
      </c>
    </row>
    <row r="650" spans="1:70" x14ac:dyDescent="0.3">
      <c r="A650" t="str">
        <f>"200363B0100"</f>
        <v>200363B0100</v>
      </c>
      <c r="B650" t="s">
        <v>1417</v>
      </c>
      <c r="C650">
        <v>20</v>
      </c>
      <c r="D650" t="s">
        <v>88</v>
      </c>
      <c r="E650">
        <v>44</v>
      </c>
      <c r="F650" t="s">
        <v>1303</v>
      </c>
      <c r="G650">
        <v>363</v>
      </c>
      <c r="H650">
        <v>1</v>
      </c>
      <c r="I650" t="s">
        <v>90</v>
      </c>
      <c r="J650">
        <v>0</v>
      </c>
      <c r="K650">
        <v>2</v>
      </c>
      <c r="L650">
        <v>5</v>
      </c>
      <c r="M650">
        <v>188</v>
      </c>
      <c r="N650">
        <v>384</v>
      </c>
      <c r="O650">
        <v>0</v>
      </c>
      <c r="P650">
        <v>384</v>
      </c>
      <c r="Q650">
        <v>3</v>
      </c>
      <c r="R650">
        <v>61</v>
      </c>
      <c r="S650">
        <v>208</v>
      </c>
      <c r="T650">
        <v>3</v>
      </c>
      <c r="U650">
        <v>0</v>
      </c>
      <c r="V650">
        <v>3</v>
      </c>
      <c r="W650">
        <v>0</v>
      </c>
      <c r="X650">
        <v>68</v>
      </c>
      <c r="Y650">
        <v>9</v>
      </c>
      <c r="Z650">
        <v>1</v>
      </c>
      <c r="AG650">
        <v>6</v>
      </c>
      <c r="AH650">
        <v>2</v>
      </c>
      <c r="AI650">
        <v>2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2</v>
      </c>
      <c r="AQ650">
        <v>0</v>
      </c>
      <c r="AR650">
        <v>1</v>
      </c>
      <c r="BC650">
        <v>0</v>
      </c>
      <c r="BD650">
        <v>65</v>
      </c>
      <c r="BE650">
        <v>384</v>
      </c>
      <c r="BF650">
        <v>434</v>
      </c>
      <c r="BG650">
        <v>550</v>
      </c>
      <c r="BJ650">
        <v>1</v>
      </c>
      <c r="BL650" t="s">
        <v>1418</v>
      </c>
      <c r="BM650" s="4">
        <v>43283.232638888891</v>
      </c>
      <c r="BN650" s="4">
        <v>43283.268495370372</v>
      </c>
      <c r="BO650" s="4">
        <v>43283.268495370372</v>
      </c>
      <c r="BP650" t="s">
        <v>92</v>
      </c>
      <c r="BQ650" t="s">
        <v>93</v>
      </c>
      <c r="BR650" t="s">
        <v>94</v>
      </c>
    </row>
    <row r="651" spans="1:70" x14ac:dyDescent="0.3">
      <c r="A651" t="str">
        <f>"200364B0100"</f>
        <v>200364B0100</v>
      </c>
      <c r="B651" t="s">
        <v>1419</v>
      </c>
      <c r="C651">
        <v>20</v>
      </c>
      <c r="D651" t="s">
        <v>88</v>
      </c>
      <c r="E651">
        <v>44</v>
      </c>
      <c r="F651" t="s">
        <v>1303</v>
      </c>
      <c r="G651">
        <v>364</v>
      </c>
      <c r="H651">
        <v>1</v>
      </c>
      <c r="I651" t="s">
        <v>90</v>
      </c>
      <c r="J651">
        <v>0</v>
      </c>
      <c r="K651">
        <v>2</v>
      </c>
      <c r="L651">
        <v>5</v>
      </c>
      <c r="M651">
        <v>112</v>
      </c>
      <c r="N651">
        <v>229</v>
      </c>
      <c r="O651">
        <v>0</v>
      </c>
      <c r="P651">
        <v>229</v>
      </c>
      <c r="Q651">
        <v>5</v>
      </c>
      <c r="R651">
        <v>28</v>
      </c>
      <c r="S651">
        <v>110</v>
      </c>
      <c r="T651">
        <v>5</v>
      </c>
      <c r="U651">
        <v>15</v>
      </c>
      <c r="V651">
        <v>2</v>
      </c>
      <c r="W651">
        <v>1</v>
      </c>
      <c r="X651">
        <v>22</v>
      </c>
      <c r="Y651">
        <v>21</v>
      </c>
      <c r="Z651">
        <v>0</v>
      </c>
      <c r="AG651">
        <v>0</v>
      </c>
      <c r="AH651">
        <v>1</v>
      </c>
      <c r="AI651">
        <v>1</v>
      </c>
      <c r="AJ651">
        <v>1</v>
      </c>
      <c r="AK651">
        <v>2</v>
      </c>
      <c r="AL651">
        <v>1</v>
      </c>
      <c r="AM651">
        <v>0</v>
      </c>
      <c r="AN651">
        <v>0</v>
      </c>
      <c r="AO651">
        <v>2</v>
      </c>
      <c r="AP651">
        <v>3</v>
      </c>
      <c r="AQ651">
        <v>2</v>
      </c>
      <c r="AR651">
        <v>2</v>
      </c>
      <c r="BC651">
        <v>0</v>
      </c>
      <c r="BD651">
        <v>7</v>
      </c>
      <c r="BE651">
        <v>229</v>
      </c>
      <c r="BF651">
        <v>231</v>
      </c>
      <c r="BG651">
        <v>319</v>
      </c>
      <c r="BJ651">
        <v>1</v>
      </c>
      <c r="BL651" t="s">
        <v>1420</v>
      </c>
      <c r="BM651" s="4">
        <v>43283.213888888888</v>
      </c>
      <c r="BN651" s="4">
        <v>43283.301631944443</v>
      </c>
      <c r="BO651" s="4">
        <v>43283.301631944443</v>
      </c>
      <c r="BP651" t="s">
        <v>92</v>
      </c>
      <c r="BQ651" t="s">
        <v>93</v>
      </c>
      <c r="BR651" t="s">
        <v>94</v>
      </c>
    </row>
    <row r="652" spans="1:70" x14ac:dyDescent="0.3">
      <c r="A652" t="str">
        <f>"200374B0100"</f>
        <v>200374B0100</v>
      </c>
      <c r="B652" t="s">
        <v>1421</v>
      </c>
      <c r="C652">
        <v>20</v>
      </c>
      <c r="D652" t="s">
        <v>88</v>
      </c>
      <c r="E652">
        <v>48</v>
      </c>
      <c r="F652" t="s">
        <v>1422</v>
      </c>
      <c r="G652">
        <v>374</v>
      </c>
      <c r="H652">
        <v>1</v>
      </c>
      <c r="I652" t="s">
        <v>90</v>
      </c>
      <c r="J652">
        <v>0</v>
      </c>
      <c r="K652">
        <v>1</v>
      </c>
      <c r="L652">
        <v>5</v>
      </c>
      <c r="M652">
        <v>85</v>
      </c>
      <c r="N652">
        <v>348</v>
      </c>
      <c r="O652">
        <v>0</v>
      </c>
      <c r="P652">
        <v>348</v>
      </c>
      <c r="Q652">
        <v>3</v>
      </c>
      <c r="R652">
        <v>147</v>
      </c>
      <c r="S652">
        <v>139</v>
      </c>
      <c r="T652">
        <v>2</v>
      </c>
      <c r="U652">
        <v>6</v>
      </c>
      <c r="V652">
        <v>2</v>
      </c>
      <c r="X652">
        <v>1</v>
      </c>
      <c r="Y652">
        <v>15</v>
      </c>
      <c r="Z652">
        <v>1</v>
      </c>
      <c r="AC652">
        <v>2</v>
      </c>
      <c r="AD652">
        <v>3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BC652">
        <v>0</v>
      </c>
      <c r="BD652">
        <v>27</v>
      </c>
      <c r="BE652">
        <v>348</v>
      </c>
      <c r="BF652">
        <v>348</v>
      </c>
      <c r="BG652">
        <v>411</v>
      </c>
      <c r="BJ652">
        <v>1</v>
      </c>
      <c r="BL652" t="s">
        <v>1423</v>
      </c>
      <c r="BM652" s="4">
        <v>43283.29583333333</v>
      </c>
      <c r="BN652" s="4">
        <v>43283.323900462965</v>
      </c>
      <c r="BO652" s="4">
        <v>43283.323900462965</v>
      </c>
      <c r="BP652" t="s">
        <v>92</v>
      </c>
      <c r="BQ652" t="s">
        <v>93</v>
      </c>
      <c r="BR652" t="s">
        <v>94</v>
      </c>
    </row>
    <row r="653" spans="1:70" x14ac:dyDescent="0.3">
      <c r="A653" t="str">
        <f>"200374C0100"</f>
        <v>200374C0100</v>
      </c>
      <c r="B653" t="s">
        <v>1424</v>
      </c>
      <c r="C653">
        <v>20</v>
      </c>
      <c r="D653" t="s">
        <v>88</v>
      </c>
      <c r="E653">
        <v>48</v>
      </c>
      <c r="F653" t="s">
        <v>1422</v>
      </c>
      <c r="G653">
        <v>374</v>
      </c>
      <c r="H653">
        <v>1</v>
      </c>
      <c r="I653" t="s">
        <v>98</v>
      </c>
      <c r="J653">
        <v>0</v>
      </c>
      <c r="K653">
        <v>1</v>
      </c>
      <c r="L653">
        <v>5</v>
      </c>
      <c r="M653">
        <v>94</v>
      </c>
      <c r="N653">
        <v>338</v>
      </c>
      <c r="O653">
        <v>0</v>
      </c>
      <c r="P653">
        <v>338</v>
      </c>
      <c r="Q653">
        <v>6</v>
      </c>
      <c r="R653">
        <v>140</v>
      </c>
      <c r="S653">
        <v>139</v>
      </c>
      <c r="T653">
        <v>0</v>
      </c>
      <c r="U653">
        <v>5</v>
      </c>
      <c r="V653">
        <v>1</v>
      </c>
      <c r="X653">
        <v>2</v>
      </c>
      <c r="Y653">
        <v>6</v>
      </c>
      <c r="Z653">
        <v>0</v>
      </c>
      <c r="AC653">
        <v>0</v>
      </c>
      <c r="AD653">
        <v>2</v>
      </c>
      <c r="AE653">
        <v>0</v>
      </c>
      <c r="AF653">
        <v>0</v>
      </c>
      <c r="AG653">
        <v>1</v>
      </c>
      <c r="AH653">
        <v>1</v>
      </c>
      <c r="AI653">
        <v>2</v>
      </c>
      <c r="AJ653">
        <v>0</v>
      </c>
      <c r="AK653">
        <v>1</v>
      </c>
      <c r="AL653">
        <v>0</v>
      </c>
      <c r="AM653">
        <v>1</v>
      </c>
      <c r="AN653">
        <v>0</v>
      </c>
      <c r="BC653">
        <v>4</v>
      </c>
      <c r="BD653">
        <v>27</v>
      </c>
      <c r="BE653">
        <v>338</v>
      </c>
      <c r="BF653">
        <v>338</v>
      </c>
      <c r="BG653">
        <v>410</v>
      </c>
      <c r="BJ653">
        <v>1</v>
      </c>
      <c r="BL653" t="s">
        <v>1425</v>
      </c>
      <c r="BM653" s="4">
        <v>43283.29583333333</v>
      </c>
      <c r="BN653" s="4">
        <v>43283.328645833331</v>
      </c>
      <c r="BO653" s="4">
        <v>43283.328645833331</v>
      </c>
      <c r="BP653" t="s">
        <v>92</v>
      </c>
      <c r="BQ653" t="s">
        <v>93</v>
      </c>
      <c r="BR653" t="s">
        <v>94</v>
      </c>
    </row>
    <row r="654" spans="1:70" x14ac:dyDescent="0.3">
      <c r="A654" t="str">
        <f>"200380B0100"</f>
        <v>200380B0100</v>
      </c>
      <c r="B654" t="s">
        <v>1426</v>
      </c>
      <c r="C654">
        <v>20</v>
      </c>
      <c r="D654" t="s">
        <v>88</v>
      </c>
      <c r="E654">
        <v>51</v>
      </c>
      <c r="F654" t="s">
        <v>1427</v>
      </c>
      <c r="G654">
        <v>380</v>
      </c>
      <c r="H654">
        <v>1</v>
      </c>
      <c r="I654" t="s">
        <v>90</v>
      </c>
      <c r="J654">
        <v>0</v>
      </c>
      <c r="K654">
        <v>2</v>
      </c>
      <c r="L654">
        <v>5</v>
      </c>
      <c r="BG654">
        <v>627</v>
      </c>
      <c r="BI654" t="s">
        <v>365</v>
      </c>
      <c r="BJ654">
        <v>0</v>
      </c>
      <c r="BL654" t="s">
        <v>1428</v>
      </c>
      <c r="BM654" s="4">
        <v>43283.745138888888</v>
      </c>
      <c r="BN654" s="4">
        <v>43283.747337962966</v>
      </c>
      <c r="BO654" s="4">
        <v>43283.747337962966</v>
      </c>
      <c r="BP654" t="s">
        <v>92</v>
      </c>
      <c r="BQ654" t="s">
        <v>93</v>
      </c>
      <c r="BR654" t="s">
        <v>94</v>
      </c>
    </row>
    <row r="655" spans="1:70" x14ac:dyDescent="0.3">
      <c r="A655" t="str">
        <f>"200380C0100"</f>
        <v>200380C0100</v>
      </c>
      <c r="B655" t="s">
        <v>1429</v>
      </c>
      <c r="C655">
        <v>20</v>
      </c>
      <c r="D655" t="s">
        <v>88</v>
      </c>
      <c r="E655">
        <v>51</v>
      </c>
      <c r="F655" t="s">
        <v>1427</v>
      </c>
      <c r="G655">
        <v>380</v>
      </c>
      <c r="H655">
        <v>1</v>
      </c>
      <c r="I655" t="s">
        <v>98</v>
      </c>
      <c r="J655">
        <v>0</v>
      </c>
      <c r="K655">
        <v>2</v>
      </c>
      <c r="L655">
        <v>5</v>
      </c>
      <c r="BG655">
        <v>626</v>
      </c>
      <c r="BI655" t="s">
        <v>365</v>
      </c>
      <c r="BJ655">
        <v>0</v>
      </c>
      <c r="BL655" t="s">
        <v>1430</v>
      </c>
      <c r="BM655" s="4">
        <v>43283.744444444441</v>
      </c>
      <c r="BN655" s="4">
        <v>43283.74658564815</v>
      </c>
      <c r="BO655" s="4">
        <v>43283.74658564815</v>
      </c>
      <c r="BP655" t="s">
        <v>92</v>
      </c>
      <c r="BQ655" t="s">
        <v>93</v>
      </c>
      <c r="BR655" t="s">
        <v>94</v>
      </c>
    </row>
    <row r="656" spans="1:70" x14ac:dyDescent="0.3">
      <c r="A656" t="str">
        <f>"200381B0100"</f>
        <v>200381B0100</v>
      </c>
      <c r="B656" t="s">
        <v>1431</v>
      </c>
      <c r="C656">
        <v>20</v>
      </c>
      <c r="D656" t="s">
        <v>88</v>
      </c>
      <c r="E656">
        <v>51</v>
      </c>
      <c r="F656" t="s">
        <v>1427</v>
      </c>
      <c r="G656">
        <v>381</v>
      </c>
      <c r="H656">
        <v>1</v>
      </c>
      <c r="I656" t="s">
        <v>90</v>
      </c>
      <c r="J656">
        <v>0</v>
      </c>
      <c r="K656">
        <v>2</v>
      </c>
      <c r="L656">
        <v>5</v>
      </c>
      <c r="M656">
        <v>133</v>
      </c>
      <c r="N656" t="s">
        <v>105</v>
      </c>
      <c r="O656">
        <v>0</v>
      </c>
      <c r="P656">
        <v>561</v>
      </c>
      <c r="Q656">
        <v>1</v>
      </c>
      <c r="R656">
        <v>109</v>
      </c>
      <c r="S656">
        <v>3</v>
      </c>
      <c r="T656">
        <v>7</v>
      </c>
      <c r="U656">
        <v>6</v>
      </c>
      <c r="V656">
        <v>94</v>
      </c>
      <c r="W656">
        <v>203</v>
      </c>
      <c r="X656" t="s">
        <v>105</v>
      </c>
      <c r="Y656">
        <v>37</v>
      </c>
      <c r="Z656">
        <v>18</v>
      </c>
      <c r="AA656">
        <v>11</v>
      </c>
      <c r="AB656">
        <v>47</v>
      </c>
      <c r="AC656" t="s">
        <v>105</v>
      </c>
      <c r="AD656" t="s">
        <v>105</v>
      </c>
      <c r="AE656" t="s">
        <v>105</v>
      </c>
      <c r="AF656" t="s">
        <v>105</v>
      </c>
      <c r="AG656">
        <v>1</v>
      </c>
      <c r="AH656">
        <v>2</v>
      </c>
      <c r="AI656" t="s">
        <v>105</v>
      </c>
      <c r="AJ656" t="s">
        <v>105</v>
      </c>
      <c r="AK656" t="s">
        <v>105</v>
      </c>
      <c r="AL656" t="s">
        <v>105</v>
      </c>
      <c r="AM656" t="s">
        <v>105</v>
      </c>
      <c r="AN656">
        <v>4</v>
      </c>
      <c r="BC656" t="s">
        <v>105</v>
      </c>
      <c r="BD656">
        <v>18</v>
      </c>
      <c r="BE656">
        <v>561</v>
      </c>
      <c r="BF656">
        <v>561</v>
      </c>
      <c r="BG656">
        <v>673</v>
      </c>
      <c r="BI656" t="s">
        <v>106</v>
      </c>
      <c r="BJ656">
        <v>1</v>
      </c>
      <c r="BL656" t="s">
        <v>1432</v>
      </c>
      <c r="BM656" s="4">
        <v>43283.293749999997</v>
      </c>
      <c r="BN656" s="4">
        <v>43283.332511574074</v>
      </c>
      <c r="BO656" s="4">
        <v>43283.332511574074</v>
      </c>
      <c r="BP656" t="s">
        <v>92</v>
      </c>
      <c r="BQ656" t="s">
        <v>93</v>
      </c>
      <c r="BR656" t="s">
        <v>94</v>
      </c>
    </row>
    <row r="657" spans="1:70" x14ac:dyDescent="0.3">
      <c r="A657" t="str">
        <f>"200381C0100"</f>
        <v>200381C0100</v>
      </c>
      <c r="B657" t="s">
        <v>1433</v>
      </c>
      <c r="C657">
        <v>20</v>
      </c>
      <c r="D657" t="s">
        <v>88</v>
      </c>
      <c r="E657">
        <v>51</v>
      </c>
      <c r="F657" t="s">
        <v>1427</v>
      </c>
      <c r="G657">
        <v>381</v>
      </c>
      <c r="H657">
        <v>1</v>
      </c>
      <c r="I657" t="s">
        <v>98</v>
      </c>
      <c r="J657">
        <v>0</v>
      </c>
      <c r="K657">
        <v>2</v>
      </c>
      <c r="L657">
        <v>5</v>
      </c>
      <c r="M657">
        <v>142</v>
      </c>
      <c r="N657">
        <v>552</v>
      </c>
      <c r="O657" t="s">
        <v>105</v>
      </c>
      <c r="P657">
        <v>552</v>
      </c>
      <c r="Q657">
        <v>1</v>
      </c>
      <c r="R657">
        <v>103</v>
      </c>
      <c r="S657">
        <v>2</v>
      </c>
      <c r="T657">
        <v>1</v>
      </c>
      <c r="U657">
        <v>5</v>
      </c>
      <c r="V657">
        <v>88</v>
      </c>
      <c r="W657">
        <v>200</v>
      </c>
      <c r="X657">
        <v>0</v>
      </c>
      <c r="Y657">
        <v>49</v>
      </c>
      <c r="Z657">
        <v>28</v>
      </c>
      <c r="AA657">
        <v>5</v>
      </c>
      <c r="AB657">
        <v>52</v>
      </c>
      <c r="AC657">
        <v>0</v>
      </c>
      <c r="AD657">
        <v>0</v>
      </c>
      <c r="AE657">
        <v>0</v>
      </c>
      <c r="AF657">
        <v>0</v>
      </c>
      <c r="AG657">
        <v>2</v>
      </c>
      <c r="AH657">
        <v>3</v>
      </c>
      <c r="AI657">
        <v>0</v>
      </c>
      <c r="AJ657">
        <v>0</v>
      </c>
      <c r="AK657">
        <v>0</v>
      </c>
      <c r="AL657">
        <v>1</v>
      </c>
      <c r="AM657">
        <v>0</v>
      </c>
      <c r="AN657">
        <v>1</v>
      </c>
      <c r="BC657">
        <v>0</v>
      </c>
      <c r="BD657">
        <v>11</v>
      </c>
      <c r="BE657">
        <v>552</v>
      </c>
      <c r="BF657">
        <v>552</v>
      </c>
      <c r="BG657">
        <v>672</v>
      </c>
      <c r="BJ657">
        <v>1</v>
      </c>
      <c r="BL657" t="s">
        <v>1434</v>
      </c>
      <c r="BM657" s="4">
        <v>43283.294444444444</v>
      </c>
      <c r="BN657" s="4">
        <v>43283.337534722225</v>
      </c>
      <c r="BO657" s="4">
        <v>43283.337534722225</v>
      </c>
      <c r="BP657" t="s">
        <v>92</v>
      </c>
      <c r="BQ657" t="s">
        <v>93</v>
      </c>
      <c r="BR657" t="s">
        <v>94</v>
      </c>
    </row>
    <row r="658" spans="1:70" x14ac:dyDescent="0.3">
      <c r="A658" t="str">
        <f>"200382B0100"</f>
        <v>200382B0100</v>
      </c>
      <c r="B658" t="s">
        <v>1435</v>
      </c>
      <c r="C658">
        <v>20</v>
      </c>
      <c r="D658" t="s">
        <v>88</v>
      </c>
      <c r="E658">
        <v>51</v>
      </c>
      <c r="F658" t="s">
        <v>1427</v>
      </c>
      <c r="G658">
        <v>382</v>
      </c>
      <c r="H658">
        <v>1</v>
      </c>
      <c r="I658" t="s">
        <v>90</v>
      </c>
      <c r="J658">
        <v>0</v>
      </c>
      <c r="K658">
        <v>2</v>
      </c>
      <c r="L658">
        <v>5</v>
      </c>
      <c r="M658">
        <v>107</v>
      </c>
      <c r="N658">
        <v>432</v>
      </c>
      <c r="O658">
        <v>0</v>
      </c>
      <c r="P658">
        <v>432</v>
      </c>
      <c r="Q658">
        <v>2</v>
      </c>
      <c r="R658">
        <v>71</v>
      </c>
      <c r="S658">
        <v>4</v>
      </c>
      <c r="T658">
        <v>4</v>
      </c>
      <c r="U658">
        <v>1</v>
      </c>
      <c r="V658">
        <v>63</v>
      </c>
      <c r="W658">
        <v>175</v>
      </c>
      <c r="X658">
        <v>1</v>
      </c>
      <c r="Y658">
        <v>37</v>
      </c>
      <c r="Z658">
        <v>21</v>
      </c>
      <c r="AA658">
        <v>6</v>
      </c>
      <c r="AB658">
        <v>25</v>
      </c>
      <c r="AC658">
        <v>0</v>
      </c>
      <c r="AD658">
        <v>0</v>
      </c>
      <c r="AE658">
        <v>0</v>
      </c>
      <c r="AF658">
        <v>1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1</v>
      </c>
      <c r="BC658">
        <v>0</v>
      </c>
      <c r="BD658">
        <v>19</v>
      </c>
      <c r="BE658">
        <v>431</v>
      </c>
      <c r="BF658">
        <v>431</v>
      </c>
      <c r="BG658">
        <v>517</v>
      </c>
      <c r="BJ658">
        <v>1</v>
      </c>
      <c r="BL658" t="s">
        <v>1436</v>
      </c>
      <c r="BM658" s="4">
        <v>43283.27847222222</v>
      </c>
      <c r="BN658" s="4">
        <v>43283.308275462965</v>
      </c>
      <c r="BO658" s="4">
        <v>43283.308275462965</v>
      </c>
      <c r="BP658" t="s">
        <v>92</v>
      </c>
      <c r="BQ658" t="s">
        <v>93</v>
      </c>
      <c r="BR658" t="s">
        <v>94</v>
      </c>
    </row>
    <row r="659" spans="1:70" x14ac:dyDescent="0.3">
      <c r="A659" t="str">
        <f>"200382C0100"</f>
        <v>200382C0100</v>
      </c>
      <c r="B659" t="s">
        <v>1437</v>
      </c>
      <c r="C659">
        <v>20</v>
      </c>
      <c r="D659" t="s">
        <v>88</v>
      </c>
      <c r="E659">
        <v>51</v>
      </c>
      <c r="F659" t="s">
        <v>1427</v>
      </c>
      <c r="G659">
        <v>382</v>
      </c>
      <c r="H659">
        <v>1</v>
      </c>
      <c r="I659" t="s">
        <v>98</v>
      </c>
      <c r="J659">
        <v>0</v>
      </c>
      <c r="K659">
        <v>2</v>
      </c>
      <c r="L659">
        <v>5</v>
      </c>
      <c r="M659">
        <v>126</v>
      </c>
      <c r="N659">
        <v>413</v>
      </c>
      <c r="O659">
        <v>1</v>
      </c>
      <c r="P659">
        <v>413</v>
      </c>
      <c r="Q659">
        <v>3</v>
      </c>
      <c r="R659">
        <v>68</v>
      </c>
      <c r="S659">
        <v>6</v>
      </c>
      <c r="T659">
        <v>5</v>
      </c>
      <c r="U659">
        <v>1</v>
      </c>
      <c r="V659">
        <v>86</v>
      </c>
      <c r="W659">
        <v>143</v>
      </c>
      <c r="X659" t="s">
        <v>105</v>
      </c>
      <c r="Y659">
        <v>39</v>
      </c>
      <c r="Z659">
        <v>16</v>
      </c>
      <c r="AA659">
        <v>7</v>
      </c>
      <c r="AB659">
        <v>24</v>
      </c>
      <c r="AC659" t="s">
        <v>105</v>
      </c>
      <c r="AD659" t="s">
        <v>105</v>
      </c>
      <c r="AE659" t="s">
        <v>105</v>
      </c>
      <c r="AF659">
        <v>1</v>
      </c>
      <c r="AG659" t="s">
        <v>105</v>
      </c>
      <c r="AH659" t="s">
        <v>105</v>
      </c>
      <c r="AI659" t="s">
        <v>105</v>
      </c>
      <c r="AJ659" t="s">
        <v>105</v>
      </c>
      <c r="AK659" t="s">
        <v>105</v>
      </c>
      <c r="AL659">
        <v>1</v>
      </c>
      <c r="AM659" t="s">
        <v>105</v>
      </c>
      <c r="AN659" t="s">
        <v>105</v>
      </c>
      <c r="BC659" t="s">
        <v>105</v>
      </c>
      <c r="BD659">
        <v>13</v>
      </c>
      <c r="BE659" t="s">
        <v>105</v>
      </c>
      <c r="BF659">
        <v>413</v>
      </c>
      <c r="BG659">
        <v>517</v>
      </c>
      <c r="BI659" t="s">
        <v>106</v>
      </c>
      <c r="BJ659">
        <v>1</v>
      </c>
      <c r="BL659" t="s">
        <v>1438</v>
      </c>
      <c r="BM659" s="4">
        <v>43283.27847222222</v>
      </c>
      <c r="BN659" s="4">
        <v>43283.30678240741</v>
      </c>
      <c r="BO659" s="4">
        <v>43283.30678240741</v>
      </c>
      <c r="BP659" t="s">
        <v>92</v>
      </c>
      <c r="BQ659" t="s">
        <v>93</v>
      </c>
      <c r="BR659" t="s">
        <v>94</v>
      </c>
    </row>
    <row r="660" spans="1:70" x14ac:dyDescent="0.3">
      <c r="A660" t="str">
        <f>"200382C0200"</f>
        <v>200382C0200</v>
      </c>
      <c r="B660" t="s">
        <v>1439</v>
      </c>
      <c r="C660">
        <v>20</v>
      </c>
      <c r="D660" t="s">
        <v>88</v>
      </c>
      <c r="E660">
        <v>51</v>
      </c>
      <c r="F660" t="s">
        <v>1427</v>
      </c>
      <c r="G660">
        <v>382</v>
      </c>
      <c r="H660">
        <v>2</v>
      </c>
      <c r="I660" t="s">
        <v>98</v>
      </c>
      <c r="J660">
        <v>0</v>
      </c>
      <c r="K660">
        <v>2</v>
      </c>
      <c r="L660">
        <v>5</v>
      </c>
      <c r="M660">
        <v>122</v>
      </c>
      <c r="N660">
        <v>416</v>
      </c>
      <c r="O660">
        <v>3</v>
      </c>
      <c r="P660">
        <v>416</v>
      </c>
      <c r="Q660">
        <v>1</v>
      </c>
      <c r="R660">
        <v>75</v>
      </c>
      <c r="S660">
        <v>3</v>
      </c>
      <c r="T660">
        <v>4</v>
      </c>
      <c r="U660">
        <v>3</v>
      </c>
      <c r="V660">
        <v>47</v>
      </c>
      <c r="W660">
        <v>148</v>
      </c>
      <c r="X660">
        <v>1</v>
      </c>
      <c r="Y660">
        <v>39</v>
      </c>
      <c r="Z660">
        <v>28</v>
      </c>
      <c r="AA660">
        <v>15</v>
      </c>
      <c r="AB660">
        <v>29</v>
      </c>
      <c r="AC660" t="s">
        <v>105</v>
      </c>
      <c r="AD660" t="s">
        <v>105</v>
      </c>
      <c r="AE660" t="s">
        <v>105</v>
      </c>
      <c r="AF660" t="s">
        <v>105</v>
      </c>
      <c r="AG660">
        <v>6</v>
      </c>
      <c r="AH660" t="s">
        <v>105</v>
      </c>
      <c r="AI660" t="s">
        <v>105</v>
      </c>
      <c r="AJ660" t="s">
        <v>105</v>
      </c>
      <c r="AK660" t="s">
        <v>105</v>
      </c>
      <c r="AL660" t="s">
        <v>105</v>
      </c>
      <c r="AM660" t="s">
        <v>105</v>
      </c>
      <c r="AN660">
        <v>2</v>
      </c>
      <c r="BC660" t="s">
        <v>105</v>
      </c>
      <c r="BD660">
        <v>15</v>
      </c>
      <c r="BE660">
        <v>416</v>
      </c>
      <c r="BF660">
        <v>416</v>
      </c>
      <c r="BG660">
        <v>516</v>
      </c>
      <c r="BI660" t="s">
        <v>106</v>
      </c>
      <c r="BJ660">
        <v>1</v>
      </c>
      <c r="BL660" t="s">
        <v>1440</v>
      </c>
      <c r="BM660" s="4">
        <v>43283.277083333334</v>
      </c>
      <c r="BN660" s="4">
        <v>43283.307129629633</v>
      </c>
      <c r="BO660" s="4">
        <v>43283.307129629633</v>
      </c>
      <c r="BP660" t="s">
        <v>92</v>
      </c>
      <c r="BQ660" t="s">
        <v>93</v>
      </c>
      <c r="BR660" t="s">
        <v>94</v>
      </c>
    </row>
    <row r="661" spans="1:70" x14ac:dyDescent="0.3">
      <c r="A661" t="str">
        <f>"200382E0100"</f>
        <v>200382E0100</v>
      </c>
      <c r="B661" s="2" t="s">
        <v>1441</v>
      </c>
      <c r="C661">
        <v>20</v>
      </c>
      <c r="D661" t="s">
        <v>88</v>
      </c>
      <c r="E661">
        <v>51</v>
      </c>
      <c r="F661" t="s">
        <v>1427</v>
      </c>
      <c r="G661">
        <v>382</v>
      </c>
      <c r="H661">
        <v>1</v>
      </c>
      <c r="I661" t="s">
        <v>156</v>
      </c>
      <c r="J661">
        <v>0</v>
      </c>
      <c r="K661">
        <v>2</v>
      </c>
      <c r="L661">
        <v>5</v>
      </c>
      <c r="M661">
        <v>80</v>
      </c>
      <c r="N661">
        <v>286</v>
      </c>
      <c r="O661">
        <v>3</v>
      </c>
      <c r="P661">
        <v>286</v>
      </c>
      <c r="Q661">
        <v>0</v>
      </c>
      <c r="R661">
        <v>89</v>
      </c>
      <c r="S661">
        <v>3</v>
      </c>
      <c r="T661">
        <v>1</v>
      </c>
      <c r="U661">
        <v>1</v>
      </c>
      <c r="V661">
        <v>45</v>
      </c>
      <c r="W661">
        <v>52</v>
      </c>
      <c r="X661">
        <v>2</v>
      </c>
      <c r="Y661">
        <v>36</v>
      </c>
      <c r="Z661">
        <v>5</v>
      </c>
      <c r="AA661">
        <v>3</v>
      </c>
      <c r="AB661">
        <v>36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2</v>
      </c>
      <c r="AI661">
        <v>0</v>
      </c>
      <c r="AJ661">
        <v>0</v>
      </c>
      <c r="AK661">
        <v>1</v>
      </c>
      <c r="AL661">
        <v>0</v>
      </c>
      <c r="AM661">
        <v>0</v>
      </c>
      <c r="AN661">
        <v>0</v>
      </c>
      <c r="BC661">
        <v>0</v>
      </c>
      <c r="BD661">
        <v>10</v>
      </c>
      <c r="BE661">
        <v>286</v>
      </c>
      <c r="BF661">
        <v>286</v>
      </c>
      <c r="BG661">
        <v>344</v>
      </c>
      <c r="BJ661">
        <v>1</v>
      </c>
      <c r="BL661" t="s">
        <v>1442</v>
      </c>
      <c r="BM661" s="4">
        <v>43283.277777777781</v>
      </c>
      <c r="BN661" s="4">
        <v>43283.308715277781</v>
      </c>
      <c r="BO661" s="4">
        <v>43283.308715277781</v>
      </c>
      <c r="BP661" t="s">
        <v>92</v>
      </c>
      <c r="BQ661" t="s">
        <v>93</v>
      </c>
      <c r="BR661" t="s">
        <v>94</v>
      </c>
    </row>
    <row r="662" spans="1:70" x14ac:dyDescent="0.3">
      <c r="A662" t="str">
        <f>"200383B0100"</f>
        <v>200383B0100</v>
      </c>
      <c r="B662" t="s">
        <v>1443</v>
      </c>
      <c r="C662">
        <v>20</v>
      </c>
      <c r="D662" t="s">
        <v>88</v>
      </c>
      <c r="E662">
        <v>51</v>
      </c>
      <c r="F662" t="s">
        <v>1427</v>
      </c>
      <c r="G662">
        <v>383</v>
      </c>
      <c r="H662">
        <v>1</v>
      </c>
      <c r="I662" t="s">
        <v>90</v>
      </c>
      <c r="J662">
        <v>0</v>
      </c>
      <c r="K662">
        <v>2</v>
      </c>
      <c r="L662">
        <v>5</v>
      </c>
      <c r="M662">
        <v>38</v>
      </c>
      <c r="N662">
        <v>134</v>
      </c>
      <c r="O662">
        <v>2</v>
      </c>
      <c r="P662">
        <v>134</v>
      </c>
      <c r="Q662">
        <v>4</v>
      </c>
      <c r="R662">
        <v>28</v>
      </c>
      <c r="S662">
        <v>3</v>
      </c>
      <c r="T662">
        <v>2</v>
      </c>
      <c r="U662">
        <v>4</v>
      </c>
      <c r="V662">
        <v>54</v>
      </c>
      <c r="W662">
        <v>3</v>
      </c>
      <c r="X662">
        <v>1</v>
      </c>
      <c r="Y662">
        <v>17</v>
      </c>
      <c r="Z662">
        <v>2</v>
      </c>
      <c r="AA662">
        <v>0</v>
      </c>
      <c r="AB662">
        <v>9</v>
      </c>
      <c r="AC662">
        <v>0</v>
      </c>
      <c r="AD662">
        <v>0</v>
      </c>
      <c r="AE662">
        <v>0</v>
      </c>
      <c r="AF662">
        <v>0</v>
      </c>
      <c r="AG662">
        <v>2</v>
      </c>
      <c r="AH662">
        <v>1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BC662">
        <v>0</v>
      </c>
      <c r="BD662">
        <v>4</v>
      </c>
      <c r="BE662">
        <v>134</v>
      </c>
      <c r="BF662">
        <v>134</v>
      </c>
      <c r="BG662">
        <v>150</v>
      </c>
      <c r="BJ662">
        <v>1</v>
      </c>
      <c r="BL662" t="s">
        <v>1444</v>
      </c>
      <c r="BM662" s="4">
        <v>43283.293749999997</v>
      </c>
      <c r="BN662" s="4">
        <v>43283.333668981482</v>
      </c>
      <c r="BO662" s="4">
        <v>43283.333668981482</v>
      </c>
      <c r="BP662" t="s">
        <v>92</v>
      </c>
      <c r="BQ662" t="s">
        <v>93</v>
      </c>
      <c r="BR662" t="s">
        <v>94</v>
      </c>
    </row>
    <row r="663" spans="1:70" x14ac:dyDescent="0.3">
      <c r="A663" t="str">
        <f>"200384B0100"</f>
        <v>200384B0100</v>
      </c>
      <c r="B663" t="s">
        <v>1445</v>
      </c>
      <c r="C663">
        <v>20</v>
      </c>
      <c r="D663" t="s">
        <v>88</v>
      </c>
      <c r="E663">
        <v>51</v>
      </c>
      <c r="F663" t="s">
        <v>1427</v>
      </c>
      <c r="G663">
        <v>384</v>
      </c>
      <c r="H663">
        <v>1</v>
      </c>
      <c r="I663" t="s">
        <v>90</v>
      </c>
      <c r="J663">
        <v>0</v>
      </c>
      <c r="K663">
        <v>2</v>
      </c>
      <c r="L663">
        <v>5</v>
      </c>
      <c r="BG663">
        <v>117</v>
      </c>
      <c r="BI663" t="s">
        <v>365</v>
      </c>
      <c r="BJ663">
        <v>0</v>
      </c>
      <c r="BL663" t="s">
        <v>1446</v>
      </c>
      <c r="BM663" s="4">
        <v>43283.745833333334</v>
      </c>
      <c r="BN663" s="4">
        <v>43283.74858796296</v>
      </c>
      <c r="BO663" s="4">
        <v>43283.74858796296</v>
      </c>
      <c r="BP663" t="s">
        <v>92</v>
      </c>
      <c r="BQ663" t="s">
        <v>93</v>
      </c>
      <c r="BR663" t="s">
        <v>94</v>
      </c>
    </row>
    <row r="664" spans="1:70" x14ac:dyDescent="0.3">
      <c r="A664" t="str">
        <f>"200385B0100"</f>
        <v>200385B0100</v>
      </c>
      <c r="B664" t="s">
        <v>1447</v>
      </c>
      <c r="C664">
        <v>20</v>
      </c>
      <c r="D664" t="s">
        <v>88</v>
      </c>
      <c r="E664">
        <v>51</v>
      </c>
      <c r="F664" t="s">
        <v>1427</v>
      </c>
      <c r="G664">
        <v>385</v>
      </c>
      <c r="H664">
        <v>1</v>
      </c>
      <c r="I664" t="s">
        <v>90</v>
      </c>
      <c r="J664">
        <v>0</v>
      </c>
      <c r="K664">
        <v>2</v>
      </c>
      <c r="L664">
        <v>5</v>
      </c>
      <c r="BG664">
        <v>698</v>
      </c>
      <c r="BI664" t="s">
        <v>365</v>
      </c>
      <c r="BJ664">
        <v>0</v>
      </c>
      <c r="BL664" t="s">
        <v>1448</v>
      </c>
      <c r="BM664" s="4">
        <v>43283.745138888888</v>
      </c>
      <c r="BN664" s="4">
        <v>43283.746840277781</v>
      </c>
      <c r="BO664" s="4">
        <v>43283.746840277781</v>
      </c>
      <c r="BP664" t="s">
        <v>92</v>
      </c>
      <c r="BQ664" t="s">
        <v>93</v>
      </c>
      <c r="BR664" t="s">
        <v>94</v>
      </c>
    </row>
    <row r="665" spans="1:70" x14ac:dyDescent="0.3">
      <c r="A665" t="str">
        <f>"200386B0100"</f>
        <v>200386B0100</v>
      </c>
      <c r="B665" t="s">
        <v>1449</v>
      </c>
      <c r="C665">
        <v>20</v>
      </c>
      <c r="D665" t="s">
        <v>88</v>
      </c>
      <c r="E665">
        <v>52</v>
      </c>
      <c r="F665" t="s">
        <v>1450</v>
      </c>
      <c r="G665">
        <v>386</v>
      </c>
      <c r="H665">
        <v>1</v>
      </c>
      <c r="I665" t="s">
        <v>90</v>
      </c>
      <c r="J665">
        <v>0</v>
      </c>
      <c r="K665">
        <v>2</v>
      </c>
      <c r="L665">
        <v>5</v>
      </c>
      <c r="BG665">
        <v>542</v>
      </c>
      <c r="BI665" t="s">
        <v>122</v>
      </c>
      <c r="BJ665">
        <v>0</v>
      </c>
      <c r="BL665" t="s">
        <v>1451</v>
      </c>
      <c r="BM665" s="4">
        <v>43283.288888888892</v>
      </c>
      <c r="BN665" s="4">
        <v>43283.796249999999</v>
      </c>
      <c r="BO665" s="4">
        <v>43283.796249999999</v>
      </c>
      <c r="BP665" t="s">
        <v>92</v>
      </c>
      <c r="BQ665" t="s">
        <v>93</v>
      </c>
      <c r="BR665" t="s">
        <v>94</v>
      </c>
    </row>
    <row r="666" spans="1:70" x14ac:dyDescent="0.3">
      <c r="A666" t="str">
        <f>"200386C0100"</f>
        <v>200386C0100</v>
      </c>
      <c r="B666" t="s">
        <v>1452</v>
      </c>
      <c r="C666">
        <v>20</v>
      </c>
      <c r="D666" t="s">
        <v>88</v>
      </c>
      <c r="E666">
        <v>52</v>
      </c>
      <c r="F666" t="s">
        <v>1450</v>
      </c>
      <c r="G666">
        <v>386</v>
      </c>
      <c r="H666">
        <v>1</v>
      </c>
      <c r="I666" t="s">
        <v>98</v>
      </c>
      <c r="J666">
        <v>0</v>
      </c>
      <c r="K666">
        <v>2</v>
      </c>
      <c r="L666">
        <v>5</v>
      </c>
      <c r="M666">
        <v>85</v>
      </c>
      <c r="N666">
        <v>477</v>
      </c>
      <c r="O666">
        <v>0</v>
      </c>
      <c r="P666">
        <v>477</v>
      </c>
      <c r="Q666">
        <v>0</v>
      </c>
      <c r="R666">
        <v>13</v>
      </c>
      <c r="S666">
        <v>0</v>
      </c>
      <c r="T666">
        <v>0</v>
      </c>
      <c r="U666">
        <v>0</v>
      </c>
      <c r="V666">
        <v>0</v>
      </c>
      <c r="W666">
        <v>293</v>
      </c>
      <c r="X666">
        <v>1</v>
      </c>
      <c r="Y666">
        <v>4</v>
      </c>
      <c r="Z666">
        <v>1</v>
      </c>
      <c r="AB666">
        <v>167</v>
      </c>
      <c r="AC666" t="s">
        <v>105</v>
      </c>
      <c r="AD666" t="s">
        <v>105</v>
      </c>
      <c r="AE666" t="s">
        <v>105</v>
      </c>
      <c r="AF666" t="s">
        <v>105</v>
      </c>
      <c r="AG666" t="s">
        <v>105</v>
      </c>
      <c r="AH666" t="s">
        <v>105</v>
      </c>
      <c r="AI666" t="s">
        <v>105</v>
      </c>
      <c r="AJ666" t="s">
        <v>105</v>
      </c>
      <c r="AK666" t="s">
        <v>105</v>
      </c>
      <c r="AL666" t="s">
        <v>105</v>
      </c>
      <c r="AM666" t="s">
        <v>105</v>
      </c>
      <c r="AN666" t="s">
        <v>105</v>
      </c>
      <c r="BC666" t="s">
        <v>105</v>
      </c>
      <c r="BD666">
        <v>8</v>
      </c>
      <c r="BE666">
        <v>477</v>
      </c>
      <c r="BF666">
        <v>487</v>
      </c>
      <c r="BG666">
        <v>541</v>
      </c>
      <c r="BI666" t="s">
        <v>106</v>
      </c>
      <c r="BJ666">
        <v>1</v>
      </c>
      <c r="BL666" t="s">
        <v>1453</v>
      </c>
      <c r="BM666" s="4">
        <v>43283.413194444445</v>
      </c>
      <c r="BN666" s="4">
        <v>43283.41815972222</v>
      </c>
      <c r="BO666" s="4">
        <v>43283.41815972222</v>
      </c>
      <c r="BP666" t="s">
        <v>92</v>
      </c>
      <c r="BQ666" t="s">
        <v>93</v>
      </c>
      <c r="BR666" t="s">
        <v>94</v>
      </c>
    </row>
    <row r="667" spans="1:70" x14ac:dyDescent="0.3">
      <c r="A667" t="str">
        <f>"200389B0100"</f>
        <v>200389B0100</v>
      </c>
      <c r="B667" t="s">
        <v>1454</v>
      </c>
      <c r="C667">
        <v>20</v>
      </c>
      <c r="D667" t="s">
        <v>88</v>
      </c>
      <c r="E667">
        <v>55</v>
      </c>
      <c r="F667" t="s">
        <v>1455</v>
      </c>
      <c r="G667">
        <v>389</v>
      </c>
      <c r="H667">
        <v>1</v>
      </c>
      <c r="I667" t="s">
        <v>90</v>
      </c>
      <c r="J667">
        <v>0</v>
      </c>
      <c r="K667">
        <v>2</v>
      </c>
      <c r="L667">
        <v>5</v>
      </c>
      <c r="BG667">
        <v>472</v>
      </c>
      <c r="BI667" t="s">
        <v>122</v>
      </c>
      <c r="BJ667">
        <v>0</v>
      </c>
      <c r="BL667" t="s">
        <v>1456</v>
      </c>
      <c r="BM667" s="4">
        <v>43283.806944444441</v>
      </c>
      <c r="BN667" s="4">
        <v>43283.808495370373</v>
      </c>
      <c r="BO667" s="4">
        <v>43283.808495370373</v>
      </c>
      <c r="BP667" t="s">
        <v>92</v>
      </c>
      <c r="BQ667" t="s">
        <v>93</v>
      </c>
      <c r="BR667" t="s">
        <v>94</v>
      </c>
    </row>
    <row r="668" spans="1:70" x14ac:dyDescent="0.3">
      <c r="A668" t="str">
        <f>"200389C0100"</f>
        <v>200389C0100</v>
      </c>
      <c r="B668" t="s">
        <v>1457</v>
      </c>
      <c r="C668">
        <v>20</v>
      </c>
      <c r="D668" t="s">
        <v>88</v>
      </c>
      <c r="E668">
        <v>55</v>
      </c>
      <c r="F668" t="s">
        <v>1455</v>
      </c>
      <c r="G668">
        <v>389</v>
      </c>
      <c r="H668">
        <v>1</v>
      </c>
      <c r="I668" t="s">
        <v>98</v>
      </c>
      <c r="J668">
        <v>0</v>
      </c>
      <c r="K668">
        <v>2</v>
      </c>
      <c r="L668">
        <v>5</v>
      </c>
      <c r="M668">
        <v>122</v>
      </c>
      <c r="N668" t="s">
        <v>127</v>
      </c>
      <c r="O668">
        <v>3</v>
      </c>
      <c r="P668">
        <v>371</v>
      </c>
      <c r="Q668">
        <v>2</v>
      </c>
      <c r="R668">
        <v>92</v>
      </c>
      <c r="S668">
        <v>1</v>
      </c>
      <c r="T668">
        <v>20</v>
      </c>
      <c r="U668">
        <v>1</v>
      </c>
      <c r="V668">
        <v>0</v>
      </c>
      <c r="W668">
        <v>133</v>
      </c>
      <c r="X668">
        <v>73</v>
      </c>
      <c r="Y668">
        <v>26</v>
      </c>
      <c r="Z668">
        <v>5</v>
      </c>
      <c r="AC668">
        <v>0</v>
      </c>
      <c r="AD668">
        <v>0</v>
      </c>
      <c r="AE668">
        <v>0</v>
      </c>
      <c r="AF668">
        <v>0</v>
      </c>
      <c r="AK668">
        <v>0</v>
      </c>
      <c r="AL668">
        <v>0</v>
      </c>
      <c r="AM668">
        <v>0</v>
      </c>
      <c r="AN668">
        <v>1</v>
      </c>
      <c r="BC668" t="s">
        <v>105</v>
      </c>
      <c r="BD668">
        <v>18</v>
      </c>
      <c r="BE668">
        <v>341</v>
      </c>
      <c r="BF668">
        <v>372</v>
      </c>
      <c r="BG668">
        <v>471</v>
      </c>
      <c r="BI668" t="s">
        <v>106</v>
      </c>
      <c r="BJ668">
        <v>1</v>
      </c>
      <c r="BL668" t="s">
        <v>1458</v>
      </c>
      <c r="BM668" s="4">
        <v>43283.390972222223</v>
      </c>
      <c r="BN668" s="4">
        <v>43283.405497685184</v>
      </c>
      <c r="BO668" s="4">
        <v>43283.405497685184</v>
      </c>
      <c r="BP668" t="s">
        <v>92</v>
      </c>
      <c r="BQ668" t="s">
        <v>93</v>
      </c>
      <c r="BR668" t="s">
        <v>94</v>
      </c>
    </row>
    <row r="669" spans="1:70" x14ac:dyDescent="0.3">
      <c r="A669" t="str">
        <f>"200390B0100"</f>
        <v>200390B0100</v>
      </c>
      <c r="B669" t="s">
        <v>1459</v>
      </c>
      <c r="C669">
        <v>20</v>
      </c>
      <c r="D669" t="s">
        <v>88</v>
      </c>
      <c r="E669">
        <v>55</v>
      </c>
      <c r="F669" t="s">
        <v>1455</v>
      </c>
      <c r="G669">
        <v>390</v>
      </c>
      <c r="H669">
        <v>1</v>
      </c>
      <c r="I669" t="s">
        <v>90</v>
      </c>
      <c r="J669">
        <v>0</v>
      </c>
      <c r="K669">
        <v>1</v>
      </c>
      <c r="L669">
        <v>5</v>
      </c>
      <c r="M669">
        <v>115</v>
      </c>
      <c r="N669">
        <v>258</v>
      </c>
      <c r="O669">
        <v>6</v>
      </c>
      <c r="P669">
        <v>258</v>
      </c>
      <c r="Q669">
        <v>0</v>
      </c>
      <c r="R669">
        <v>52</v>
      </c>
      <c r="S669">
        <v>3</v>
      </c>
      <c r="T669">
        <v>19</v>
      </c>
      <c r="U669">
        <v>2</v>
      </c>
      <c r="V669">
        <v>0</v>
      </c>
      <c r="W669">
        <v>92</v>
      </c>
      <c r="X669">
        <v>36</v>
      </c>
      <c r="Y669">
        <v>29</v>
      </c>
      <c r="Z669">
        <v>4</v>
      </c>
      <c r="AC669">
        <v>0</v>
      </c>
      <c r="AD669">
        <v>0</v>
      </c>
      <c r="AE669">
        <v>0</v>
      </c>
      <c r="AF669">
        <v>1</v>
      </c>
      <c r="AK669">
        <v>0</v>
      </c>
      <c r="AL669">
        <v>0</v>
      </c>
      <c r="AM669">
        <v>0</v>
      </c>
      <c r="AN669">
        <v>1</v>
      </c>
      <c r="BC669">
        <v>0</v>
      </c>
      <c r="BD669">
        <v>18</v>
      </c>
      <c r="BE669">
        <v>257</v>
      </c>
      <c r="BF669">
        <v>257</v>
      </c>
      <c r="BG669">
        <v>352</v>
      </c>
      <c r="BJ669">
        <v>1</v>
      </c>
      <c r="BL669" t="s">
        <v>1460</v>
      </c>
      <c r="BM669" s="4">
        <v>43283.388194444444</v>
      </c>
      <c r="BN669" s="4">
        <v>43283.397453703707</v>
      </c>
      <c r="BO669" s="4">
        <v>43283.397453703707</v>
      </c>
      <c r="BP669" t="s">
        <v>92</v>
      </c>
      <c r="BQ669" t="s">
        <v>93</v>
      </c>
      <c r="BR669" t="s">
        <v>94</v>
      </c>
    </row>
    <row r="670" spans="1:70" x14ac:dyDescent="0.3">
      <c r="A670" t="str">
        <f>"200391B0100"</f>
        <v>200391B0100</v>
      </c>
      <c r="B670" t="s">
        <v>1461</v>
      </c>
      <c r="C670">
        <v>20</v>
      </c>
      <c r="D670" t="s">
        <v>88</v>
      </c>
      <c r="E670">
        <v>55</v>
      </c>
      <c r="F670" t="s">
        <v>1455</v>
      </c>
      <c r="G670">
        <v>391</v>
      </c>
      <c r="H670">
        <v>1</v>
      </c>
      <c r="I670" t="s">
        <v>90</v>
      </c>
      <c r="J670">
        <v>0</v>
      </c>
      <c r="K670">
        <v>2</v>
      </c>
      <c r="L670">
        <v>5</v>
      </c>
      <c r="M670">
        <v>144</v>
      </c>
      <c r="N670">
        <v>393</v>
      </c>
      <c r="O670">
        <v>4</v>
      </c>
      <c r="P670">
        <v>393</v>
      </c>
      <c r="Q670">
        <v>1</v>
      </c>
      <c r="R670">
        <v>83</v>
      </c>
      <c r="S670">
        <v>0</v>
      </c>
      <c r="T670">
        <v>48</v>
      </c>
      <c r="U670">
        <v>1</v>
      </c>
      <c r="V670">
        <v>2</v>
      </c>
      <c r="W670">
        <v>143</v>
      </c>
      <c r="X670">
        <v>66</v>
      </c>
      <c r="Y670">
        <v>22</v>
      </c>
      <c r="Z670">
        <v>5</v>
      </c>
      <c r="AC670">
        <v>0</v>
      </c>
      <c r="AD670">
        <v>0</v>
      </c>
      <c r="AE670">
        <v>0</v>
      </c>
      <c r="AF670">
        <v>0</v>
      </c>
      <c r="AK670">
        <v>0</v>
      </c>
      <c r="AL670">
        <v>0</v>
      </c>
      <c r="AM670">
        <v>0</v>
      </c>
      <c r="AN670">
        <v>0</v>
      </c>
      <c r="BC670">
        <v>0</v>
      </c>
      <c r="BD670">
        <v>22</v>
      </c>
      <c r="BE670">
        <v>393</v>
      </c>
      <c r="BF670">
        <v>393</v>
      </c>
      <c r="BG670">
        <v>515</v>
      </c>
      <c r="BJ670">
        <v>1</v>
      </c>
      <c r="BL670" t="s">
        <v>1462</v>
      </c>
      <c r="BM670" s="4">
        <v>43283.388194444444</v>
      </c>
      <c r="BN670" s="4">
        <v>43283.392384259256</v>
      </c>
      <c r="BO670" s="4">
        <v>43283.392384259256</v>
      </c>
      <c r="BP670" t="s">
        <v>92</v>
      </c>
      <c r="BQ670" t="s">
        <v>93</v>
      </c>
      <c r="BR670" t="s">
        <v>94</v>
      </c>
    </row>
    <row r="671" spans="1:70" x14ac:dyDescent="0.3">
      <c r="A671" t="str">
        <f>"200392B0100"</f>
        <v>200392B0100</v>
      </c>
      <c r="B671" t="s">
        <v>1463</v>
      </c>
      <c r="C671">
        <v>20</v>
      </c>
      <c r="D671" t="s">
        <v>88</v>
      </c>
      <c r="E671">
        <v>55</v>
      </c>
      <c r="F671" t="s">
        <v>1455</v>
      </c>
      <c r="G671">
        <v>392</v>
      </c>
      <c r="H671">
        <v>1</v>
      </c>
      <c r="I671" t="s">
        <v>90</v>
      </c>
      <c r="J671">
        <v>0</v>
      </c>
      <c r="K671">
        <v>2</v>
      </c>
      <c r="L671">
        <v>5</v>
      </c>
      <c r="BG671">
        <v>101</v>
      </c>
      <c r="BI671" t="s">
        <v>122</v>
      </c>
      <c r="BJ671">
        <v>0</v>
      </c>
      <c r="BL671" t="s">
        <v>1464</v>
      </c>
      <c r="BM671" s="4">
        <v>43283.807638888888</v>
      </c>
      <c r="BN671" s="4">
        <v>43283.809259259258</v>
      </c>
      <c r="BO671" s="4">
        <v>43283.809259259258</v>
      </c>
      <c r="BP671" t="s">
        <v>92</v>
      </c>
      <c r="BQ671" t="s">
        <v>93</v>
      </c>
      <c r="BR671" t="s">
        <v>94</v>
      </c>
    </row>
    <row r="672" spans="1:70" x14ac:dyDescent="0.3">
      <c r="A672" t="str">
        <f>"200393B0100"</f>
        <v>200393B0100</v>
      </c>
      <c r="B672" t="s">
        <v>1465</v>
      </c>
      <c r="C672">
        <v>20</v>
      </c>
      <c r="D672" t="s">
        <v>88</v>
      </c>
      <c r="E672">
        <v>55</v>
      </c>
      <c r="F672" t="s">
        <v>1455</v>
      </c>
      <c r="G672">
        <v>393</v>
      </c>
      <c r="H672">
        <v>1</v>
      </c>
      <c r="I672" t="s">
        <v>90</v>
      </c>
      <c r="J672">
        <v>0</v>
      </c>
      <c r="K672">
        <v>2</v>
      </c>
      <c r="L672">
        <v>5</v>
      </c>
      <c r="M672">
        <v>169</v>
      </c>
      <c r="N672">
        <v>199</v>
      </c>
      <c r="O672">
        <v>2</v>
      </c>
      <c r="P672">
        <v>199</v>
      </c>
      <c r="Q672">
        <v>0</v>
      </c>
      <c r="R672">
        <v>81</v>
      </c>
      <c r="S672">
        <v>2</v>
      </c>
      <c r="T672">
        <v>5</v>
      </c>
      <c r="U672">
        <v>0</v>
      </c>
      <c r="V672">
        <v>2</v>
      </c>
      <c r="W672">
        <v>69</v>
      </c>
      <c r="X672">
        <v>20</v>
      </c>
      <c r="Y672">
        <v>10</v>
      </c>
      <c r="Z672">
        <v>0</v>
      </c>
      <c r="AC672">
        <v>0</v>
      </c>
      <c r="AD672">
        <v>0</v>
      </c>
      <c r="AE672">
        <v>0</v>
      </c>
      <c r="AF672">
        <v>0</v>
      </c>
      <c r="AK672">
        <v>0</v>
      </c>
      <c r="AL672">
        <v>1</v>
      </c>
      <c r="AM672">
        <v>0</v>
      </c>
      <c r="AN672">
        <v>0</v>
      </c>
      <c r="BC672">
        <v>0</v>
      </c>
      <c r="BD672">
        <v>9</v>
      </c>
      <c r="BE672">
        <v>199</v>
      </c>
      <c r="BF672">
        <v>199</v>
      </c>
      <c r="BG672">
        <v>346</v>
      </c>
      <c r="BJ672">
        <v>1</v>
      </c>
      <c r="BL672" t="s">
        <v>1466</v>
      </c>
      <c r="BM672" s="4">
        <v>43283.387499999997</v>
      </c>
      <c r="BN672" s="4">
        <v>43283.393541666665</v>
      </c>
      <c r="BO672" s="4">
        <v>43283.393541666665</v>
      </c>
      <c r="BP672" t="s">
        <v>92</v>
      </c>
      <c r="BQ672" t="s">
        <v>93</v>
      </c>
      <c r="BR672" t="s">
        <v>94</v>
      </c>
    </row>
    <row r="673" spans="1:70" x14ac:dyDescent="0.3">
      <c r="A673" t="str">
        <f>"200394B0100"</f>
        <v>200394B0100</v>
      </c>
      <c r="B673" t="s">
        <v>1467</v>
      </c>
      <c r="C673">
        <v>20</v>
      </c>
      <c r="D673" t="s">
        <v>88</v>
      </c>
      <c r="E673">
        <v>55</v>
      </c>
      <c r="F673" t="s">
        <v>1455</v>
      </c>
      <c r="G673">
        <v>394</v>
      </c>
      <c r="H673">
        <v>1</v>
      </c>
      <c r="I673" t="s">
        <v>90</v>
      </c>
      <c r="J673">
        <v>0</v>
      </c>
      <c r="K673">
        <v>2</v>
      </c>
      <c r="L673">
        <v>5</v>
      </c>
      <c r="M673">
        <v>109</v>
      </c>
      <c r="N673">
        <v>241</v>
      </c>
      <c r="O673">
        <v>1</v>
      </c>
      <c r="P673">
        <v>241</v>
      </c>
      <c r="Q673">
        <v>1</v>
      </c>
      <c r="R673">
        <v>63</v>
      </c>
      <c r="S673">
        <v>1</v>
      </c>
      <c r="T673">
        <v>6</v>
      </c>
      <c r="U673">
        <v>1</v>
      </c>
      <c r="V673">
        <v>1</v>
      </c>
      <c r="W673">
        <v>58</v>
      </c>
      <c r="X673">
        <v>67</v>
      </c>
      <c r="Y673">
        <v>16</v>
      </c>
      <c r="Z673">
        <v>1</v>
      </c>
      <c r="AC673">
        <v>0</v>
      </c>
      <c r="AD673">
        <v>0</v>
      </c>
      <c r="AE673">
        <v>0</v>
      </c>
      <c r="AF673">
        <v>0</v>
      </c>
      <c r="AK673">
        <v>1</v>
      </c>
      <c r="AL673">
        <v>0</v>
      </c>
      <c r="AM673">
        <v>0</v>
      </c>
      <c r="AN673">
        <v>2</v>
      </c>
      <c r="BC673">
        <v>0</v>
      </c>
      <c r="BD673">
        <v>23</v>
      </c>
      <c r="BE673">
        <v>241</v>
      </c>
      <c r="BF673">
        <v>241</v>
      </c>
      <c r="BG673">
        <v>328</v>
      </c>
      <c r="BJ673">
        <v>1</v>
      </c>
      <c r="BL673" t="s">
        <v>1468</v>
      </c>
      <c r="BM673" s="4">
        <v>43283.387499999997</v>
      </c>
      <c r="BN673" s="4">
        <v>43283.391157407408</v>
      </c>
      <c r="BO673" s="4">
        <v>43283.391157407408</v>
      </c>
      <c r="BP673" t="s">
        <v>92</v>
      </c>
      <c r="BQ673" t="s">
        <v>93</v>
      </c>
      <c r="BR673" t="s">
        <v>94</v>
      </c>
    </row>
    <row r="674" spans="1:70" x14ac:dyDescent="0.3">
      <c r="A674" t="str">
        <f>"200395B0100"</f>
        <v>200395B0100</v>
      </c>
      <c r="B674" t="s">
        <v>1469</v>
      </c>
      <c r="C674">
        <v>20</v>
      </c>
      <c r="D674" t="s">
        <v>88</v>
      </c>
      <c r="E674">
        <v>55</v>
      </c>
      <c r="F674" t="s">
        <v>1455</v>
      </c>
      <c r="G674">
        <v>395</v>
      </c>
      <c r="H674">
        <v>1</v>
      </c>
      <c r="I674" t="s">
        <v>90</v>
      </c>
      <c r="J674">
        <v>0</v>
      </c>
      <c r="K674">
        <v>2</v>
      </c>
      <c r="L674">
        <v>5</v>
      </c>
      <c r="M674">
        <v>64</v>
      </c>
      <c r="N674">
        <v>114</v>
      </c>
      <c r="O674">
        <v>1</v>
      </c>
      <c r="P674">
        <v>114</v>
      </c>
      <c r="Q674">
        <v>0</v>
      </c>
      <c r="R674">
        <v>41</v>
      </c>
      <c r="S674">
        <v>1</v>
      </c>
      <c r="T674">
        <v>6</v>
      </c>
      <c r="U674">
        <v>1</v>
      </c>
      <c r="V674">
        <v>1</v>
      </c>
      <c r="W674">
        <v>13</v>
      </c>
      <c r="X674">
        <v>33</v>
      </c>
      <c r="Y674">
        <v>5</v>
      </c>
      <c r="Z674">
        <v>1</v>
      </c>
      <c r="AC674">
        <v>0</v>
      </c>
      <c r="AD674">
        <v>0</v>
      </c>
      <c r="AE674">
        <v>0</v>
      </c>
      <c r="AF674">
        <v>0</v>
      </c>
      <c r="AK674">
        <v>0</v>
      </c>
      <c r="AL674">
        <v>1</v>
      </c>
      <c r="AM674">
        <v>0</v>
      </c>
      <c r="AN674">
        <v>0</v>
      </c>
      <c r="BC674">
        <v>0</v>
      </c>
      <c r="BD674">
        <v>11</v>
      </c>
      <c r="BE674">
        <v>114</v>
      </c>
      <c r="BF674">
        <v>114</v>
      </c>
      <c r="BG674">
        <v>156</v>
      </c>
      <c r="BJ674">
        <v>1</v>
      </c>
      <c r="BL674" t="s">
        <v>1470</v>
      </c>
      <c r="BM674" s="4">
        <v>43283.386805555558</v>
      </c>
      <c r="BN674" s="4">
        <v>43283.390983796293</v>
      </c>
      <c r="BO674" s="4">
        <v>43283.390983796293</v>
      </c>
      <c r="BP674" t="s">
        <v>92</v>
      </c>
      <c r="BQ674" t="s">
        <v>93</v>
      </c>
      <c r="BR674" t="s">
        <v>94</v>
      </c>
    </row>
    <row r="675" spans="1:70" x14ac:dyDescent="0.3">
      <c r="A675" t="str">
        <f>"200396B0100"</f>
        <v>200396B0100</v>
      </c>
      <c r="B675" t="s">
        <v>1471</v>
      </c>
      <c r="C675">
        <v>20</v>
      </c>
      <c r="D675" t="s">
        <v>88</v>
      </c>
      <c r="E675">
        <v>56</v>
      </c>
      <c r="F675" t="s">
        <v>1472</v>
      </c>
      <c r="G675">
        <v>396</v>
      </c>
      <c r="H675">
        <v>1</v>
      </c>
      <c r="I675" t="s">
        <v>90</v>
      </c>
      <c r="J675">
        <v>0</v>
      </c>
      <c r="K675">
        <v>2</v>
      </c>
      <c r="L675">
        <v>5</v>
      </c>
      <c r="M675">
        <v>127</v>
      </c>
      <c r="N675">
        <v>748</v>
      </c>
      <c r="O675">
        <v>0</v>
      </c>
      <c r="P675">
        <v>621</v>
      </c>
      <c r="Q675">
        <v>3</v>
      </c>
      <c r="R675">
        <v>224</v>
      </c>
      <c r="S675">
        <v>7</v>
      </c>
      <c r="T675">
        <v>1</v>
      </c>
      <c r="U675">
        <v>2</v>
      </c>
      <c r="V675">
        <v>58</v>
      </c>
      <c r="W675">
        <v>1</v>
      </c>
      <c r="X675">
        <v>0</v>
      </c>
      <c r="Y675">
        <v>283</v>
      </c>
      <c r="Z675">
        <v>1</v>
      </c>
      <c r="AA675">
        <v>1</v>
      </c>
      <c r="AB675">
        <v>18</v>
      </c>
      <c r="AC675">
        <v>1</v>
      </c>
      <c r="AD675">
        <v>0</v>
      </c>
      <c r="AE675">
        <v>0</v>
      </c>
      <c r="AF675">
        <v>2</v>
      </c>
      <c r="AK675">
        <v>2</v>
      </c>
      <c r="AL675">
        <v>1</v>
      </c>
      <c r="AM675">
        <v>0</v>
      </c>
      <c r="AN675">
        <v>0</v>
      </c>
      <c r="AS675">
        <v>4</v>
      </c>
      <c r="AT675">
        <v>2</v>
      </c>
      <c r="AU675">
        <v>0</v>
      </c>
      <c r="AV675">
        <v>0</v>
      </c>
      <c r="BC675">
        <v>0</v>
      </c>
      <c r="BD675">
        <v>10</v>
      </c>
      <c r="BE675">
        <v>621</v>
      </c>
      <c r="BF675">
        <v>621</v>
      </c>
      <c r="BG675">
        <v>726</v>
      </c>
      <c r="BJ675">
        <v>1</v>
      </c>
      <c r="BL675" t="s">
        <v>1473</v>
      </c>
      <c r="BM675" s="4">
        <v>43283.165972222225</v>
      </c>
      <c r="BN675" s="4">
        <v>43283.18346064815</v>
      </c>
      <c r="BO675" s="4">
        <v>43283.18346064815</v>
      </c>
      <c r="BP675" t="s">
        <v>92</v>
      </c>
      <c r="BQ675" t="s">
        <v>93</v>
      </c>
      <c r="BR675" t="s">
        <v>94</v>
      </c>
    </row>
    <row r="676" spans="1:70" x14ac:dyDescent="0.3">
      <c r="A676" t="str">
        <f>"200396E0100"</f>
        <v>200396E0100</v>
      </c>
      <c r="B676" s="2" t="s">
        <v>1474</v>
      </c>
      <c r="C676">
        <v>20</v>
      </c>
      <c r="D676" t="s">
        <v>88</v>
      </c>
      <c r="E676">
        <v>56</v>
      </c>
      <c r="F676" t="s">
        <v>1472</v>
      </c>
      <c r="G676">
        <v>396</v>
      </c>
      <c r="H676">
        <v>1</v>
      </c>
      <c r="I676" t="s">
        <v>156</v>
      </c>
      <c r="J676">
        <v>0</v>
      </c>
      <c r="K676">
        <v>2</v>
      </c>
      <c r="L676">
        <v>5</v>
      </c>
      <c r="BG676">
        <v>331</v>
      </c>
      <c r="BI676" t="s">
        <v>122</v>
      </c>
      <c r="BJ676">
        <v>0</v>
      </c>
      <c r="BL676" t="s">
        <v>1475</v>
      </c>
      <c r="BM676" s="4">
        <v>43283.152083333334</v>
      </c>
      <c r="BN676" s="4">
        <v>43283.653182870374</v>
      </c>
      <c r="BO676" s="4">
        <v>43283.653182870374</v>
      </c>
      <c r="BP676" t="s">
        <v>92</v>
      </c>
      <c r="BQ676" t="s">
        <v>93</v>
      </c>
      <c r="BR676" t="s">
        <v>94</v>
      </c>
    </row>
    <row r="677" spans="1:70" x14ac:dyDescent="0.3">
      <c r="A677" t="str">
        <f>"200397B0100"</f>
        <v>200397B0100</v>
      </c>
      <c r="B677" t="s">
        <v>1476</v>
      </c>
      <c r="C677">
        <v>20</v>
      </c>
      <c r="D677" t="s">
        <v>88</v>
      </c>
      <c r="E677">
        <v>57</v>
      </c>
      <c r="F677" t="s">
        <v>1477</v>
      </c>
      <c r="G677">
        <v>397</v>
      </c>
      <c r="H677">
        <v>1</v>
      </c>
      <c r="I677" t="s">
        <v>90</v>
      </c>
      <c r="J677">
        <v>0</v>
      </c>
      <c r="K677">
        <v>1</v>
      </c>
      <c r="L677">
        <v>5</v>
      </c>
      <c r="M677">
        <v>245</v>
      </c>
      <c r="N677">
        <v>377</v>
      </c>
      <c r="O677">
        <v>1</v>
      </c>
      <c r="P677">
        <v>377</v>
      </c>
      <c r="Q677">
        <v>17</v>
      </c>
      <c r="R677">
        <v>96</v>
      </c>
      <c r="S677">
        <v>5</v>
      </c>
      <c r="T677">
        <v>41</v>
      </c>
      <c r="U677">
        <v>6</v>
      </c>
      <c r="V677">
        <v>4</v>
      </c>
      <c r="W677">
        <v>0</v>
      </c>
      <c r="X677">
        <v>0</v>
      </c>
      <c r="Y677">
        <v>148</v>
      </c>
      <c r="Z677">
        <v>3</v>
      </c>
      <c r="AB677">
        <v>0</v>
      </c>
      <c r="AC677">
        <v>1</v>
      </c>
      <c r="AD677">
        <v>0</v>
      </c>
      <c r="AE677">
        <v>0</v>
      </c>
      <c r="AF677">
        <v>0</v>
      </c>
      <c r="AK677">
        <v>0</v>
      </c>
      <c r="AL677">
        <v>2</v>
      </c>
      <c r="AM677">
        <v>0</v>
      </c>
      <c r="AN677">
        <v>2</v>
      </c>
      <c r="AU677">
        <v>0</v>
      </c>
      <c r="AZ677">
        <v>42</v>
      </c>
      <c r="BC677">
        <v>0</v>
      </c>
      <c r="BD677">
        <v>10</v>
      </c>
      <c r="BE677">
        <v>377</v>
      </c>
      <c r="BF677">
        <v>377</v>
      </c>
      <c r="BG677">
        <v>599</v>
      </c>
      <c r="BJ677">
        <v>1</v>
      </c>
      <c r="BL677" t="s">
        <v>1478</v>
      </c>
      <c r="BM677" s="4">
        <v>43283.339884259258</v>
      </c>
      <c r="BN677" s="4">
        <v>43283.354953703703</v>
      </c>
      <c r="BO677" s="4">
        <v>43283.354953703703</v>
      </c>
      <c r="BP677" t="s">
        <v>92</v>
      </c>
      <c r="BQ677" t="s">
        <v>93</v>
      </c>
      <c r="BR677" t="s">
        <v>94</v>
      </c>
    </row>
    <row r="678" spans="1:70" x14ac:dyDescent="0.3">
      <c r="A678" t="str">
        <f>"200397C0100"</f>
        <v>200397C0100</v>
      </c>
      <c r="B678" t="s">
        <v>1479</v>
      </c>
      <c r="C678">
        <v>20</v>
      </c>
      <c r="D678" t="s">
        <v>88</v>
      </c>
      <c r="E678">
        <v>57</v>
      </c>
      <c r="F678" t="s">
        <v>1477</v>
      </c>
      <c r="G678">
        <v>397</v>
      </c>
      <c r="H678">
        <v>1</v>
      </c>
      <c r="I678" t="s">
        <v>98</v>
      </c>
      <c r="J678">
        <v>0</v>
      </c>
      <c r="K678">
        <v>1</v>
      </c>
      <c r="L678">
        <v>5</v>
      </c>
      <c r="M678">
        <v>248</v>
      </c>
      <c r="N678">
        <v>374</v>
      </c>
      <c r="O678">
        <v>1</v>
      </c>
      <c r="P678">
        <v>374</v>
      </c>
      <c r="Q678">
        <v>16</v>
      </c>
      <c r="R678">
        <v>77</v>
      </c>
      <c r="S678">
        <v>2</v>
      </c>
      <c r="T678">
        <v>28</v>
      </c>
      <c r="U678">
        <v>7</v>
      </c>
      <c r="V678">
        <v>1</v>
      </c>
      <c r="W678">
        <v>0</v>
      </c>
      <c r="X678">
        <v>1</v>
      </c>
      <c r="Y678">
        <v>155</v>
      </c>
      <c r="Z678">
        <v>5</v>
      </c>
      <c r="AB678">
        <v>2</v>
      </c>
      <c r="AC678">
        <v>0</v>
      </c>
      <c r="AD678">
        <v>0</v>
      </c>
      <c r="AE678">
        <v>0</v>
      </c>
      <c r="AF678">
        <v>0</v>
      </c>
      <c r="AK678">
        <v>5</v>
      </c>
      <c r="AL678">
        <v>1</v>
      </c>
      <c r="AM678">
        <v>0</v>
      </c>
      <c r="AN678">
        <v>0</v>
      </c>
      <c r="AU678">
        <v>0</v>
      </c>
      <c r="AZ678">
        <v>0</v>
      </c>
      <c r="BC678">
        <v>53</v>
      </c>
      <c r="BD678">
        <v>20</v>
      </c>
      <c r="BE678">
        <v>373</v>
      </c>
      <c r="BF678">
        <v>373</v>
      </c>
      <c r="BG678">
        <v>599</v>
      </c>
      <c r="BJ678">
        <v>1</v>
      </c>
      <c r="BL678" t="s">
        <v>1480</v>
      </c>
      <c r="BM678" s="4">
        <v>43283.34202546296</v>
      </c>
      <c r="BN678" s="4">
        <v>43283.357766203706</v>
      </c>
      <c r="BO678" s="4">
        <v>43283.357766203706</v>
      </c>
      <c r="BP678" t="s">
        <v>92</v>
      </c>
      <c r="BQ678" t="s">
        <v>93</v>
      </c>
      <c r="BR678" t="s">
        <v>94</v>
      </c>
    </row>
    <row r="679" spans="1:70" x14ac:dyDescent="0.3">
      <c r="A679" t="str">
        <f>"200397C0200"</f>
        <v>200397C0200</v>
      </c>
      <c r="B679" t="s">
        <v>1481</v>
      </c>
      <c r="C679">
        <v>20</v>
      </c>
      <c r="D679" t="s">
        <v>88</v>
      </c>
      <c r="E679">
        <v>57</v>
      </c>
      <c r="F679" t="s">
        <v>1477</v>
      </c>
      <c r="G679">
        <v>397</v>
      </c>
      <c r="H679">
        <v>2</v>
      </c>
      <c r="I679" t="s">
        <v>98</v>
      </c>
      <c r="J679">
        <v>0</v>
      </c>
      <c r="K679">
        <v>1</v>
      </c>
      <c r="L679">
        <v>5</v>
      </c>
      <c r="M679">
        <v>245</v>
      </c>
      <c r="N679">
        <v>376</v>
      </c>
      <c r="O679">
        <v>2</v>
      </c>
      <c r="P679">
        <v>376</v>
      </c>
      <c r="Q679">
        <v>23</v>
      </c>
      <c r="R679">
        <v>89</v>
      </c>
      <c r="S679">
        <v>2</v>
      </c>
      <c r="T679">
        <v>41</v>
      </c>
      <c r="U679">
        <v>3</v>
      </c>
      <c r="V679">
        <v>3</v>
      </c>
      <c r="W679">
        <v>1</v>
      </c>
      <c r="X679" t="s">
        <v>105</v>
      </c>
      <c r="Y679">
        <v>163</v>
      </c>
      <c r="Z679">
        <v>3</v>
      </c>
      <c r="AB679" t="s">
        <v>105</v>
      </c>
      <c r="AC679" t="s">
        <v>105</v>
      </c>
      <c r="AD679" t="s">
        <v>105</v>
      </c>
      <c r="AE679" t="s">
        <v>105</v>
      </c>
      <c r="AF679" t="s">
        <v>105</v>
      </c>
      <c r="AK679">
        <v>2</v>
      </c>
      <c r="AL679" t="s">
        <v>105</v>
      </c>
      <c r="AM679" t="s">
        <v>105</v>
      </c>
      <c r="AN679" t="s">
        <v>105</v>
      </c>
      <c r="AU679" t="s">
        <v>105</v>
      </c>
      <c r="AZ679">
        <v>35</v>
      </c>
      <c r="BC679" t="s">
        <v>105</v>
      </c>
      <c r="BD679">
        <v>11</v>
      </c>
      <c r="BE679">
        <v>376</v>
      </c>
      <c r="BF679">
        <v>376</v>
      </c>
      <c r="BG679">
        <v>598</v>
      </c>
      <c r="BI679" t="s">
        <v>106</v>
      </c>
      <c r="BJ679">
        <v>1</v>
      </c>
      <c r="BL679" t="s">
        <v>1482</v>
      </c>
      <c r="BM679" s="4">
        <v>43283.338275462964</v>
      </c>
      <c r="BN679" s="4">
        <v>43283.354328703703</v>
      </c>
      <c r="BO679" s="4">
        <v>43283.354328703703</v>
      </c>
      <c r="BP679" t="s">
        <v>92</v>
      </c>
      <c r="BQ679" t="s">
        <v>93</v>
      </c>
      <c r="BR679" t="s">
        <v>94</v>
      </c>
    </row>
    <row r="680" spans="1:70" x14ac:dyDescent="0.3">
      <c r="A680" t="str">
        <f>"200398B0100"</f>
        <v>200398B0100</v>
      </c>
      <c r="B680" t="s">
        <v>1483</v>
      </c>
      <c r="C680">
        <v>20</v>
      </c>
      <c r="D680" t="s">
        <v>88</v>
      </c>
      <c r="E680">
        <v>57</v>
      </c>
      <c r="F680" t="s">
        <v>1477</v>
      </c>
      <c r="G680">
        <v>398</v>
      </c>
      <c r="H680">
        <v>1</v>
      </c>
      <c r="I680" t="s">
        <v>90</v>
      </c>
      <c r="J680">
        <v>0</v>
      </c>
      <c r="K680">
        <v>1</v>
      </c>
      <c r="L680">
        <v>5</v>
      </c>
      <c r="M680">
        <v>175</v>
      </c>
      <c r="N680">
        <v>322</v>
      </c>
      <c r="O680">
        <v>0</v>
      </c>
      <c r="P680">
        <v>322</v>
      </c>
      <c r="Q680">
        <v>30</v>
      </c>
      <c r="R680">
        <v>41</v>
      </c>
      <c r="S680">
        <v>1</v>
      </c>
      <c r="T680">
        <v>42</v>
      </c>
      <c r="U680">
        <v>0</v>
      </c>
      <c r="V680">
        <v>2</v>
      </c>
      <c r="W680">
        <v>0</v>
      </c>
      <c r="X680">
        <v>0</v>
      </c>
      <c r="Y680">
        <v>133</v>
      </c>
      <c r="Z680">
        <v>5</v>
      </c>
      <c r="AB680">
        <v>2</v>
      </c>
      <c r="AC680" t="s">
        <v>105</v>
      </c>
      <c r="AD680">
        <v>2</v>
      </c>
      <c r="AE680" t="s">
        <v>105</v>
      </c>
      <c r="AF680" t="s">
        <v>105</v>
      </c>
      <c r="AK680">
        <v>3</v>
      </c>
      <c r="AL680" t="s">
        <v>105</v>
      </c>
      <c r="AM680" t="s">
        <v>105</v>
      </c>
      <c r="AN680" t="s">
        <v>105</v>
      </c>
      <c r="AU680" t="s">
        <v>105</v>
      </c>
      <c r="AZ680">
        <v>56</v>
      </c>
      <c r="BC680" t="s">
        <v>105</v>
      </c>
      <c r="BD680">
        <v>5</v>
      </c>
      <c r="BE680" t="s">
        <v>105</v>
      </c>
      <c r="BF680">
        <v>322</v>
      </c>
      <c r="BG680">
        <v>474</v>
      </c>
      <c r="BI680" t="s">
        <v>106</v>
      </c>
      <c r="BJ680">
        <v>1</v>
      </c>
      <c r="BL680" t="s">
        <v>1484</v>
      </c>
      <c r="BM680" s="4">
        <v>43283.337013888886</v>
      </c>
      <c r="BN680" s="4">
        <v>43283.353298611109</v>
      </c>
      <c r="BO680" s="4">
        <v>43283.353298611109</v>
      </c>
      <c r="BP680" t="s">
        <v>92</v>
      </c>
      <c r="BQ680" t="s">
        <v>93</v>
      </c>
      <c r="BR680" t="s">
        <v>94</v>
      </c>
    </row>
    <row r="681" spans="1:70" x14ac:dyDescent="0.3">
      <c r="A681" t="str">
        <f>"200398C0100"</f>
        <v>200398C0100</v>
      </c>
      <c r="B681" t="s">
        <v>1485</v>
      </c>
      <c r="C681">
        <v>20</v>
      </c>
      <c r="D681" t="s">
        <v>88</v>
      </c>
      <c r="E681">
        <v>57</v>
      </c>
      <c r="F681" t="s">
        <v>1477</v>
      </c>
      <c r="G681">
        <v>398</v>
      </c>
      <c r="H681">
        <v>1</v>
      </c>
      <c r="I681" t="s">
        <v>98</v>
      </c>
      <c r="J681">
        <v>0</v>
      </c>
      <c r="K681">
        <v>1</v>
      </c>
      <c r="L681">
        <v>5</v>
      </c>
      <c r="M681">
        <v>180</v>
      </c>
      <c r="N681">
        <v>316</v>
      </c>
      <c r="O681">
        <v>0</v>
      </c>
      <c r="P681">
        <v>319</v>
      </c>
      <c r="Q681">
        <v>21</v>
      </c>
      <c r="R681">
        <v>52</v>
      </c>
      <c r="S681">
        <v>5</v>
      </c>
      <c r="T681">
        <v>37</v>
      </c>
      <c r="U681">
        <v>4</v>
      </c>
      <c r="V681">
        <v>2</v>
      </c>
      <c r="W681">
        <v>1</v>
      </c>
      <c r="X681">
        <v>1</v>
      </c>
      <c r="Y681">
        <v>144</v>
      </c>
      <c r="Z681">
        <v>0</v>
      </c>
      <c r="AB681">
        <v>0</v>
      </c>
      <c r="AC681">
        <v>2</v>
      </c>
      <c r="AD681">
        <v>0</v>
      </c>
      <c r="AE681">
        <v>0</v>
      </c>
      <c r="AF681">
        <v>0</v>
      </c>
      <c r="AK681">
        <v>0</v>
      </c>
      <c r="AL681">
        <v>0</v>
      </c>
      <c r="AM681">
        <v>0</v>
      </c>
      <c r="AN681">
        <v>1</v>
      </c>
      <c r="AU681">
        <v>0</v>
      </c>
      <c r="AZ681">
        <v>46</v>
      </c>
      <c r="BC681">
        <v>0</v>
      </c>
      <c r="BD681">
        <v>3</v>
      </c>
      <c r="BE681">
        <v>319</v>
      </c>
      <c r="BF681">
        <v>319</v>
      </c>
      <c r="BG681">
        <v>473</v>
      </c>
      <c r="BJ681">
        <v>1</v>
      </c>
      <c r="BL681" t="s">
        <v>1486</v>
      </c>
      <c r="BM681" s="4">
        <v>43283.338692129626</v>
      </c>
      <c r="BN681" s="4">
        <v>43283.355937499997</v>
      </c>
      <c r="BO681" s="4">
        <v>43283.355937499997</v>
      </c>
      <c r="BP681" t="s">
        <v>92</v>
      </c>
      <c r="BQ681" t="s">
        <v>93</v>
      </c>
      <c r="BR681" t="s">
        <v>94</v>
      </c>
    </row>
    <row r="682" spans="1:70" x14ac:dyDescent="0.3">
      <c r="A682" t="str">
        <f>"200399B0100"</f>
        <v>200399B0100</v>
      </c>
      <c r="B682" t="s">
        <v>1487</v>
      </c>
      <c r="C682">
        <v>20</v>
      </c>
      <c r="D682" t="s">
        <v>88</v>
      </c>
      <c r="E682">
        <v>57</v>
      </c>
      <c r="F682" t="s">
        <v>1477</v>
      </c>
      <c r="G682">
        <v>399</v>
      </c>
      <c r="H682">
        <v>1</v>
      </c>
      <c r="I682" t="s">
        <v>90</v>
      </c>
      <c r="J682">
        <v>0</v>
      </c>
      <c r="K682">
        <v>1</v>
      </c>
      <c r="L682">
        <v>5</v>
      </c>
      <c r="BG682">
        <v>669</v>
      </c>
      <c r="BI682" t="s">
        <v>122</v>
      </c>
      <c r="BJ682">
        <v>0</v>
      </c>
      <c r="BL682" t="s">
        <v>1488</v>
      </c>
      <c r="BM682" s="4">
        <v>43283.79142361111</v>
      </c>
      <c r="BN682" s="4">
        <v>43283.797268518516</v>
      </c>
      <c r="BO682" s="4">
        <v>43283.797268518516</v>
      </c>
      <c r="BP682" t="s">
        <v>92</v>
      </c>
      <c r="BQ682" t="s">
        <v>93</v>
      </c>
      <c r="BR682" t="s">
        <v>94</v>
      </c>
    </row>
    <row r="683" spans="1:70" x14ac:dyDescent="0.3">
      <c r="A683" t="str">
        <f>"200399C0100"</f>
        <v>200399C0100</v>
      </c>
      <c r="B683" t="s">
        <v>1489</v>
      </c>
      <c r="C683">
        <v>20</v>
      </c>
      <c r="D683" t="s">
        <v>88</v>
      </c>
      <c r="E683">
        <v>57</v>
      </c>
      <c r="F683" t="s">
        <v>1477</v>
      </c>
      <c r="G683">
        <v>399</v>
      </c>
      <c r="H683">
        <v>1</v>
      </c>
      <c r="I683" t="s">
        <v>98</v>
      </c>
      <c r="J683">
        <v>0</v>
      </c>
      <c r="K683">
        <v>1</v>
      </c>
      <c r="L683">
        <v>5</v>
      </c>
      <c r="M683">
        <v>271</v>
      </c>
      <c r="N683">
        <v>421</v>
      </c>
      <c r="O683">
        <v>10</v>
      </c>
      <c r="P683">
        <v>421</v>
      </c>
      <c r="Q683">
        <v>34</v>
      </c>
      <c r="R683">
        <v>83</v>
      </c>
      <c r="S683">
        <v>4</v>
      </c>
      <c r="T683">
        <v>55</v>
      </c>
      <c r="U683">
        <v>7</v>
      </c>
      <c r="V683">
        <v>1</v>
      </c>
      <c r="W683">
        <v>1</v>
      </c>
      <c r="X683">
        <v>3</v>
      </c>
      <c r="Y683">
        <v>147</v>
      </c>
      <c r="Z683">
        <v>4</v>
      </c>
      <c r="AB683">
        <v>3</v>
      </c>
      <c r="AC683">
        <v>0</v>
      </c>
      <c r="AD683">
        <v>0</v>
      </c>
      <c r="AE683">
        <v>0</v>
      </c>
      <c r="AF683">
        <v>0</v>
      </c>
      <c r="AK683">
        <v>3</v>
      </c>
      <c r="AL683">
        <v>1</v>
      </c>
      <c r="AM683">
        <v>1</v>
      </c>
      <c r="AN683">
        <v>2</v>
      </c>
      <c r="AU683">
        <v>0</v>
      </c>
      <c r="AZ683">
        <v>62</v>
      </c>
      <c r="BC683">
        <v>0</v>
      </c>
      <c r="BD683">
        <v>10</v>
      </c>
      <c r="BE683">
        <v>421</v>
      </c>
      <c r="BF683">
        <v>421</v>
      </c>
      <c r="BG683">
        <v>669</v>
      </c>
      <c r="BJ683">
        <v>1</v>
      </c>
      <c r="BL683" t="s">
        <v>1490</v>
      </c>
      <c r="BM683" s="4">
        <v>43283.341435185182</v>
      </c>
      <c r="BN683" s="4">
        <v>43283.355115740742</v>
      </c>
      <c r="BO683" s="4">
        <v>43283.355115740742</v>
      </c>
      <c r="BP683" t="s">
        <v>92</v>
      </c>
      <c r="BQ683" t="s">
        <v>93</v>
      </c>
      <c r="BR683" t="s">
        <v>94</v>
      </c>
    </row>
    <row r="684" spans="1:70" x14ac:dyDescent="0.3">
      <c r="A684" t="str">
        <f>"200400B0100"</f>
        <v>200400B0100</v>
      </c>
      <c r="B684" t="s">
        <v>1491</v>
      </c>
      <c r="C684">
        <v>20</v>
      </c>
      <c r="D684" t="s">
        <v>88</v>
      </c>
      <c r="E684">
        <v>57</v>
      </c>
      <c r="F684" t="s">
        <v>1477</v>
      </c>
      <c r="G684">
        <v>400</v>
      </c>
      <c r="H684">
        <v>1</v>
      </c>
      <c r="I684" t="s">
        <v>90</v>
      </c>
      <c r="J684">
        <v>0</v>
      </c>
      <c r="K684">
        <v>1</v>
      </c>
      <c r="L684">
        <v>5</v>
      </c>
      <c r="M684">
        <v>316</v>
      </c>
      <c r="N684">
        <v>429</v>
      </c>
      <c r="O684">
        <v>0</v>
      </c>
      <c r="P684">
        <v>429</v>
      </c>
      <c r="Q684">
        <v>20</v>
      </c>
      <c r="R684">
        <v>61</v>
      </c>
      <c r="S684">
        <v>2</v>
      </c>
      <c r="T684">
        <v>69</v>
      </c>
      <c r="U684">
        <v>9</v>
      </c>
      <c r="V684">
        <v>3</v>
      </c>
      <c r="W684">
        <v>3</v>
      </c>
      <c r="X684">
        <v>0</v>
      </c>
      <c r="Y684">
        <v>167</v>
      </c>
      <c r="Z684">
        <v>2</v>
      </c>
      <c r="AB684">
        <v>4</v>
      </c>
      <c r="AC684">
        <v>1</v>
      </c>
      <c r="AD684">
        <v>1</v>
      </c>
      <c r="AE684">
        <v>0</v>
      </c>
      <c r="AF684">
        <v>0</v>
      </c>
      <c r="AK684">
        <v>2</v>
      </c>
      <c r="AL684">
        <v>0</v>
      </c>
      <c r="AM684">
        <v>0</v>
      </c>
      <c r="AN684">
        <v>1</v>
      </c>
      <c r="AU684">
        <v>1</v>
      </c>
      <c r="AZ684">
        <v>72</v>
      </c>
      <c r="BC684">
        <v>0</v>
      </c>
      <c r="BD684">
        <v>11</v>
      </c>
      <c r="BE684">
        <v>429</v>
      </c>
      <c r="BF684">
        <v>429</v>
      </c>
      <c r="BG684">
        <v>722</v>
      </c>
      <c r="BJ684">
        <v>1</v>
      </c>
      <c r="BL684" t="s">
        <v>1492</v>
      </c>
      <c r="BM684" s="4">
        <v>43283.343576388892</v>
      </c>
      <c r="BN684" s="4">
        <v>43283.356608796297</v>
      </c>
      <c r="BO684" s="4">
        <v>43283.356608796297</v>
      </c>
      <c r="BP684" t="s">
        <v>92</v>
      </c>
      <c r="BQ684" t="s">
        <v>93</v>
      </c>
      <c r="BR684" t="s">
        <v>94</v>
      </c>
    </row>
    <row r="685" spans="1:70" x14ac:dyDescent="0.3">
      <c r="A685" t="str">
        <f>"200400C0100"</f>
        <v>200400C0100</v>
      </c>
      <c r="B685" t="s">
        <v>1493</v>
      </c>
      <c r="C685">
        <v>20</v>
      </c>
      <c r="D685" t="s">
        <v>88</v>
      </c>
      <c r="E685">
        <v>57</v>
      </c>
      <c r="F685" t="s">
        <v>1477</v>
      </c>
      <c r="G685">
        <v>400</v>
      </c>
      <c r="H685">
        <v>1</v>
      </c>
      <c r="I685" t="s">
        <v>98</v>
      </c>
      <c r="J685">
        <v>0</v>
      </c>
      <c r="K685">
        <v>1</v>
      </c>
      <c r="L685">
        <v>5</v>
      </c>
      <c r="M685">
        <v>291</v>
      </c>
      <c r="N685">
        <v>453</v>
      </c>
      <c r="O685">
        <v>1</v>
      </c>
      <c r="P685">
        <v>25</v>
      </c>
      <c r="Q685">
        <v>18</v>
      </c>
      <c r="R685">
        <v>62</v>
      </c>
      <c r="S685">
        <v>8</v>
      </c>
      <c r="T685">
        <v>67</v>
      </c>
      <c r="U685">
        <v>12</v>
      </c>
      <c r="V685">
        <v>2</v>
      </c>
      <c r="W685">
        <v>3</v>
      </c>
      <c r="X685">
        <v>2</v>
      </c>
      <c r="Y685">
        <v>150</v>
      </c>
      <c r="Z685">
        <v>7</v>
      </c>
      <c r="AB685">
        <v>0</v>
      </c>
      <c r="AC685">
        <v>0</v>
      </c>
      <c r="AD685">
        <v>1</v>
      </c>
      <c r="AE685">
        <v>0</v>
      </c>
      <c r="AF685">
        <v>0</v>
      </c>
      <c r="AK685">
        <v>8</v>
      </c>
      <c r="AL685">
        <v>0</v>
      </c>
      <c r="AM685">
        <v>0</v>
      </c>
      <c r="AN685">
        <v>2</v>
      </c>
      <c r="AU685">
        <v>0</v>
      </c>
      <c r="AZ685">
        <v>71</v>
      </c>
      <c r="BC685">
        <v>0</v>
      </c>
      <c r="BD685">
        <v>15</v>
      </c>
      <c r="BE685">
        <v>428</v>
      </c>
      <c r="BF685">
        <v>428</v>
      </c>
      <c r="BG685">
        <v>721</v>
      </c>
      <c r="BJ685">
        <v>1</v>
      </c>
      <c r="BL685" t="s">
        <v>1494</v>
      </c>
      <c r="BM685" s="4">
        <v>43283.342962962961</v>
      </c>
      <c r="BN685" s="4">
        <v>43283.356724537036</v>
      </c>
      <c r="BO685" s="4">
        <v>43283.356724537036</v>
      </c>
      <c r="BP685" t="s">
        <v>92</v>
      </c>
      <c r="BQ685" t="s">
        <v>93</v>
      </c>
      <c r="BR685" t="s">
        <v>94</v>
      </c>
    </row>
    <row r="686" spans="1:70" x14ac:dyDescent="0.3">
      <c r="A686" t="str">
        <f>"200400C0200"</f>
        <v>200400C0200</v>
      </c>
      <c r="B686" t="s">
        <v>1495</v>
      </c>
      <c r="C686">
        <v>20</v>
      </c>
      <c r="D686" t="s">
        <v>88</v>
      </c>
      <c r="E686">
        <v>57</v>
      </c>
      <c r="F686" t="s">
        <v>1477</v>
      </c>
      <c r="G686">
        <v>400</v>
      </c>
      <c r="H686">
        <v>2</v>
      </c>
      <c r="I686" t="s">
        <v>98</v>
      </c>
      <c r="J686">
        <v>0</v>
      </c>
      <c r="K686">
        <v>1</v>
      </c>
      <c r="L686">
        <v>5</v>
      </c>
      <c r="M686">
        <v>289</v>
      </c>
      <c r="N686">
        <v>455</v>
      </c>
      <c r="O686">
        <v>4</v>
      </c>
      <c r="P686">
        <v>455</v>
      </c>
      <c r="Q686">
        <v>25</v>
      </c>
      <c r="R686">
        <v>62</v>
      </c>
      <c r="S686">
        <v>10</v>
      </c>
      <c r="T686">
        <v>64</v>
      </c>
      <c r="U686">
        <v>5</v>
      </c>
      <c r="V686">
        <v>2</v>
      </c>
      <c r="W686">
        <v>2</v>
      </c>
      <c r="X686">
        <v>2</v>
      </c>
      <c r="Y686">
        <v>187</v>
      </c>
      <c r="Z686">
        <v>4</v>
      </c>
      <c r="AB686">
        <v>0</v>
      </c>
      <c r="AC686">
        <v>0</v>
      </c>
      <c r="AD686">
        <v>0</v>
      </c>
      <c r="AE686">
        <v>0</v>
      </c>
      <c r="AF686">
        <v>0</v>
      </c>
      <c r="AK686">
        <v>3</v>
      </c>
      <c r="AL686">
        <v>3</v>
      </c>
      <c r="AM686">
        <v>1</v>
      </c>
      <c r="AN686">
        <v>2</v>
      </c>
      <c r="AU686">
        <v>1</v>
      </c>
      <c r="AZ686">
        <v>61</v>
      </c>
      <c r="BC686">
        <v>0</v>
      </c>
      <c r="BD686">
        <v>21</v>
      </c>
      <c r="BE686">
        <v>455</v>
      </c>
      <c r="BF686">
        <v>455</v>
      </c>
      <c r="BG686">
        <v>721</v>
      </c>
      <c r="BJ686">
        <v>1</v>
      </c>
      <c r="BL686" t="s">
        <v>1496</v>
      </c>
      <c r="BM686" s="4">
        <v>43283.342442129629</v>
      </c>
      <c r="BN686" s="4">
        <v>43283.355937499997</v>
      </c>
      <c r="BO686" s="4">
        <v>43283.355937499997</v>
      </c>
      <c r="BP686" t="s">
        <v>92</v>
      </c>
      <c r="BQ686" t="s">
        <v>93</v>
      </c>
      <c r="BR686" t="s">
        <v>94</v>
      </c>
    </row>
    <row r="687" spans="1:70" x14ac:dyDescent="0.3">
      <c r="A687" t="str">
        <f>"200401B0100"</f>
        <v>200401B0100</v>
      </c>
      <c r="B687" t="s">
        <v>1497</v>
      </c>
      <c r="C687">
        <v>20</v>
      </c>
      <c r="D687" t="s">
        <v>88</v>
      </c>
      <c r="E687">
        <v>57</v>
      </c>
      <c r="F687" t="s">
        <v>1477</v>
      </c>
      <c r="G687">
        <v>401</v>
      </c>
      <c r="H687">
        <v>1</v>
      </c>
      <c r="I687" t="s">
        <v>90</v>
      </c>
      <c r="J687">
        <v>0</v>
      </c>
      <c r="K687">
        <v>1</v>
      </c>
      <c r="L687">
        <v>5</v>
      </c>
      <c r="M687">
        <v>197</v>
      </c>
      <c r="N687">
        <v>335</v>
      </c>
      <c r="O687">
        <v>5</v>
      </c>
      <c r="P687">
        <v>335</v>
      </c>
      <c r="Q687">
        <v>23</v>
      </c>
      <c r="R687">
        <v>63</v>
      </c>
      <c r="S687">
        <v>2</v>
      </c>
      <c r="T687">
        <v>50</v>
      </c>
      <c r="U687">
        <v>6</v>
      </c>
      <c r="V687">
        <v>2</v>
      </c>
      <c r="W687">
        <v>0</v>
      </c>
      <c r="X687">
        <v>0</v>
      </c>
      <c r="Y687">
        <v>111</v>
      </c>
      <c r="Z687">
        <v>4</v>
      </c>
      <c r="AB687">
        <v>1</v>
      </c>
      <c r="AC687">
        <v>1</v>
      </c>
      <c r="AD687">
        <v>0</v>
      </c>
      <c r="AE687">
        <v>1</v>
      </c>
      <c r="AF687">
        <v>0</v>
      </c>
      <c r="AK687">
        <v>1</v>
      </c>
      <c r="AL687">
        <v>1</v>
      </c>
      <c r="AM687">
        <v>0</v>
      </c>
      <c r="AN687">
        <v>2</v>
      </c>
      <c r="AU687">
        <v>0</v>
      </c>
      <c r="AZ687">
        <v>55</v>
      </c>
      <c r="BC687">
        <v>0</v>
      </c>
      <c r="BD687">
        <v>12</v>
      </c>
      <c r="BE687">
        <v>335</v>
      </c>
      <c r="BF687">
        <v>335</v>
      </c>
      <c r="BG687">
        <v>510</v>
      </c>
      <c r="BJ687">
        <v>1</v>
      </c>
      <c r="BL687" t="s">
        <v>1498</v>
      </c>
      <c r="BM687" s="4">
        <v>43283.328599537039</v>
      </c>
      <c r="BN687" s="4">
        <v>43283.347511574073</v>
      </c>
      <c r="BO687" s="4">
        <v>43283.347511574073</v>
      </c>
      <c r="BP687" t="s">
        <v>92</v>
      </c>
      <c r="BQ687" t="s">
        <v>93</v>
      </c>
      <c r="BR687" t="s">
        <v>94</v>
      </c>
    </row>
    <row r="688" spans="1:70" x14ac:dyDescent="0.3">
      <c r="A688" t="str">
        <f>"200401C0100"</f>
        <v>200401C0100</v>
      </c>
      <c r="B688" t="s">
        <v>1499</v>
      </c>
      <c r="C688">
        <v>20</v>
      </c>
      <c r="D688" t="s">
        <v>88</v>
      </c>
      <c r="E688">
        <v>57</v>
      </c>
      <c r="F688" t="s">
        <v>1477</v>
      </c>
      <c r="G688">
        <v>401</v>
      </c>
      <c r="H688">
        <v>1</v>
      </c>
      <c r="I688" t="s">
        <v>98</v>
      </c>
      <c r="J688">
        <v>0</v>
      </c>
      <c r="K688">
        <v>1</v>
      </c>
      <c r="L688">
        <v>5</v>
      </c>
      <c r="M688">
        <v>216</v>
      </c>
      <c r="N688">
        <v>316</v>
      </c>
      <c r="O688">
        <v>8</v>
      </c>
      <c r="P688">
        <v>316</v>
      </c>
      <c r="Q688">
        <v>25</v>
      </c>
      <c r="R688">
        <v>49</v>
      </c>
      <c r="S688">
        <v>2</v>
      </c>
      <c r="T688">
        <v>31</v>
      </c>
      <c r="U688">
        <v>7</v>
      </c>
      <c r="V688">
        <v>2</v>
      </c>
      <c r="W688">
        <v>0</v>
      </c>
      <c r="X688">
        <v>0</v>
      </c>
      <c r="Y688">
        <v>131</v>
      </c>
      <c r="Z688">
        <v>3</v>
      </c>
      <c r="AB688">
        <v>0</v>
      </c>
      <c r="AC688">
        <v>0</v>
      </c>
      <c r="AD688">
        <v>0</v>
      </c>
      <c r="AE688">
        <v>0</v>
      </c>
      <c r="AF688">
        <v>0</v>
      </c>
      <c r="AK688">
        <v>0</v>
      </c>
      <c r="AL688">
        <v>1</v>
      </c>
      <c r="AM688">
        <v>0</v>
      </c>
      <c r="AN688">
        <v>1</v>
      </c>
      <c r="AU688">
        <v>0</v>
      </c>
      <c r="AZ688">
        <v>58</v>
      </c>
      <c r="BC688">
        <v>0</v>
      </c>
      <c r="BD688">
        <v>6</v>
      </c>
      <c r="BE688">
        <v>316</v>
      </c>
      <c r="BF688">
        <v>316</v>
      </c>
      <c r="BG688">
        <v>509</v>
      </c>
      <c r="BJ688">
        <v>1</v>
      </c>
      <c r="BL688" t="s">
        <v>1500</v>
      </c>
      <c r="BM688" s="4">
        <v>43283.329594907409</v>
      </c>
      <c r="BN688" s="4">
        <v>43283.350185185183</v>
      </c>
      <c r="BO688" s="4">
        <v>43283.350185185183</v>
      </c>
      <c r="BP688" t="s">
        <v>92</v>
      </c>
      <c r="BQ688" t="s">
        <v>93</v>
      </c>
      <c r="BR688" t="s">
        <v>94</v>
      </c>
    </row>
    <row r="689" spans="1:70" x14ac:dyDescent="0.3">
      <c r="A689" t="str">
        <f>"200402B0100"</f>
        <v>200402B0100</v>
      </c>
      <c r="B689" t="s">
        <v>1501</v>
      </c>
      <c r="C689">
        <v>20</v>
      </c>
      <c r="D689" t="s">
        <v>88</v>
      </c>
      <c r="E689">
        <v>57</v>
      </c>
      <c r="F689" t="s">
        <v>1477</v>
      </c>
      <c r="G689">
        <v>402</v>
      </c>
      <c r="H689">
        <v>1</v>
      </c>
      <c r="I689" t="s">
        <v>90</v>
      </c>
      <c r="J689">
        <v>0</v>
      </c>
      <c r="K689">
        <v>1</v>
      </c>
      <c r="L689">
        <v>5</v>
      </c>
      <c r="BG689">
        <v>466</v>
      </c>
      <c r="BI689" t="s">
        <v>122</v>
      </c>
      <c r="BJ689">
        <v>0</v>
      </c>
      <c r="BL689" t="s">
        <v>1502</v>
      </c>
      <c r="BM689" s="4">
        <v>43283.791076388887</v>
      </c>
      <c r="BN689" s="4">
        <v>43283.797418981485</v>
      </c>
      <c r="BO689" s="4">
        <v>43283.797418981485</v>
      </c>
      <c r="BP689" t="s">
        <v>92</v>
      </c>
      <c r="BQ689" t="s">
        <v>93</v>
      </c>
      <c r="BR689" t="s">
        <v>94</v>
      </c>
    </row>
    <row r="690" spans="1:70" x14ac:dyDescent="0.3">
      <c r="A690" t="str">
        <f>"200402C0100"</f>
        <v>200402C0100</v>
      </c>
      <c r="B690" t="s">
        <v>1503</v>
      </c>
      <c r="C690">
        <v>20</v>
      </c>
      <c r="D690" t="s">
        <v>88</v>
      </c>
      <c r="E690">
        <v>57</v>
      </c>
      <c r="F690" t="s">
        <v>1477</v>
      </c>
      <c r="G690">
        <v>402</v>
      </c>
      <c r="H690">
        <v>1</v>
      </c>
      <c r="I690" t="s">
        <v>98</v>
      </c>
      <c r="J690">
        <v>0</v>
      </c>
      <c r="K690">
        <v>1</v>
      </c>
      <c r="L690">
        <v>5</v>
      </c>
      <c r="M690">
        <v>177</v>
      </c>
      <c r="N690">
        <v>311</v>
      </c>
      <c r="O690">
        <v>10</v>
      </c>
      <c r="P690">
        <v>311</v>
      </c>
      <c r="Q690">
        <v>36</v>
      </c>
      <c r="R690">
        <v>64</v>
      </c>
      <c r="S690">
        <v>2</v>
      </c>
      <c r="T690">
        <v>35</v>
      </c>
      <c r="U690">
        <v>3</v>
      </c>
      <c r="V690">
        <v>1</v>
      </c>
      <c r="W690">
        <v>0</v>
      </c>
      <c r="X690">
        <v>0</v>
      </c>
      <c r="Y690">
        <v>98</v>
      </c>
      <c r="Z690">
        <v>3</v>
      </c>
      <c r="AB690">
        <v>2</v>
      </c>
      <c r="AC690">
        <v>1</v>
      </c>
      <c r="AD690">
        <v>0</v>
      </c>
      <c r="AE690">
        <v>0</v>
      </c>
      <c r="AF690">
        <v>0</v>
      </c>
      <c r="AK690">
        <v>4</v>
      </c>
      <c r="AL690">
        <v>1</v>
      </c>
      <c r="AM690">
        <v>0</v>
      </c>
      <c r="AN690">
        <v>2</v>
      </c>
      <c r="AU690">
        <v>0</v>
      </c>
      <c r="AZ690">
        <v>50</v>
      </c>
      <c r="BC690">
        <v>0</v>
      </c>
      <c r="BD690">
        <v>9</v>
      </c>
      <c r="BE690">
        <v>311</v>
      </c>
      <c r="BF690">
        <v>311</v>
      </c>
      <c r="BG690">
        <v>465</v>
      </c>
      <c r="BJ690">
        <v>1</v>
      </c>
      <c r="BL690" t="s">
        <v>1504</v>
      </c>
      <c r="BM690" s="4">
        <v>43283.328009259261</v>
      </c>
      <c r="BN690" s="4">
        <v>43283.347025462965</v>
      </c>
      <c r="BO690" s="4">
        <v>43283.347025462965</v>
      </c>
      <c r="BP690" t="s">
        <v>92</v>
      </c>
      <c r="BQ690" t="s">
        <v>93</v>
      </c>
      <c r="BR690" t="s">
        <v>94</v>
      </c>
    </row>
    <row r="691" spans="1:70" x14ac:dyDescent="0.3">
      <c r="A691" t="str">
        <f>"200402S0100"</f>
        <v>200402S0100</v>
      </c>
      <c r="B691" t="s">
        <v>1505</v>
      </c>
      <c r="C691">
        <v>20</v>
      </c>
      <c r="D691" t="s">
        <v>88</v>
      </c>
      <c r="E691">
        <v>57</v>
      </c>
      <c r="F691" t="s">
        <v>1477</v>
      </c>
      <c r="G691">
        <v>402</v>
      </c>
      <c r="H691">
        <v>1</v>
      </c>
      <c r="I691" t="s">
        <v>113</v>
      </c>
      <c r="J691">
        <v>0</v>
      </c>
      <c r="K691">
        <v>1</v>
      </c>
      <c r="L691">
        <v>6</v>
      </c>
      <c r="M691" t="s">
        <v>127</v>
      </c>
      <c r="N691">
        <v>17</v>
      </c>
      <c r="O691">
        <v>0</v>
      </c>
      <c r="P691">
        <v>17</v>
      </c>
      <c r="Q691">
        <v>0</v>
      </c>
      <c r="R691">
        <v>4</v>
      </c>
      <c r="S691">
        <v>0</v>
      </c>
      <c r="T691">
        <v>2</v>
      </c>
      <c r="U691">
        <v>0</v>
      </c>
      <c r="V691">
        <v>0</v>
      </c>
      <c r="W691">
        <v>0</v>
      </c>
      <c r="X691">
        <v>0</v>
      </c>
      <c r="Y691">
        <v>7</v>
      </c>
      <c r="Z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K691">
        <v>0</v>
      </c>
      <c r="AL691">
        <v>0</v>
      </c>
      <c r="AM691">
        <v>0</v>
      </c>
      <c r="AN691">
        <v>0</v>
      </c>
      <c r="AU691">
        <v>0</v>
      </c>
      <c r="AZ691">
        <v>4</v>
      </c>
      <c r="BC691">
        <v>0</v>
      </c>
      <c r="BD691">
        <v>0</v>
      </c>
      <c r="BE691">
        <v>17</v>
      </c>
      <c r="BF691">
        <v>17</v>
      </c>
      <c r="BG691">
        <v>0</v>
      </c>
      <c r="BJ691">
        <v>1</v>
      </c>
      <c r="BL691" t="s">
        <v>1506</v>
      </c>
      <c r="BM691" s="4">
        <v>43283.332951388889</v>
      </c>
      <c r="BN691" s="4">
        <v>43283.369120370371</v>
      </c>
      <c r="BO691" s="4">
        <v>43283.369120370371</v>
      </c>
      <c r="BP691" t="s">
        <v>92</v>
      </c>
      <c r="BQ691" t="s">
        <v>93</v>
      </c>
      <c r="BR691" t="s">
        <v>94</v>
      </c>
    </row>
    <row r="692" spans="1:70" x14ac:dyDescent="0.3">
      <c r="A692" t="str">
        <f>"200403B0100"</f>
        <v>200403B0100</v>
      </c>
      <c r="B692" t="s">
        <v>1507</v>
      </c>
      <c r="C692">
        <v>20</v>
      </c>
      <c r="D692" t="s">
        <v>88</v>
      </c>
      <c r="E692">
        <v>57</v>
      </c>
      <c r="F692" t="s">
        <v>1477</v>
      </c>
      <c r="G692">
        <v>403</v>
      </c>
      <c r="H692">
        <v>1</v>
      </c>
      <c r="I692" t="s">
        <v>90</v>
      </c>
      <c r="J692">
        <v>0</v>
      </c>
      <c r="K692">
        <v>1</v>
      </c>
      <c r="L692">
        <v>5</v>
      </c>
      <c r="BG692">
        <v>632</v>
      </c>
      <c r="BI692" t="s">
        <v>122</v>
      </c>
      <c r="BJ692">
        <v>0</v>
      </c>
      <c r="BL692" t="s">
        <v>1508</v>
      </c>
      <c r="BM692" s="4">
        <v>43283.790729166663</v>
      </c>
      <c r="BN692" s="4">
        <v>43283.797048611108</v>
      </c>
      <c r="BO692" s="4">
        <v>43283.797048611108</v>
      </c>
      <c r="BP692" t="s">
        <v>92</v>
      </c>
      <c r="BQ692" t="s">
        <v>93</v>
      </c>
      <c r="BR692" t="s">
        <v>94</v>
      </c>
    </row>
    <row r="693" spans="1:70" x14ac:dyDescent="0.3">
      <c r="A693" t="str">
        <f>"200403C0100"</f>
        <v>200403C0100</v>
      </c>
      <c r="B693" t="s">
        <v>1509</v>
      </c>
      <c r="C693">
        <v>20</v>
      </c>
      <c r="D693" t="s">
        <v>88</v>
      </c>
      <c r="E693">
        <v>57</v>
      </c>
      <c r="F693" t="s">
        <v>1477</v>
      </c>
      <c r="G693">
        <v>403</v>
      </c>
      <c r="H693">
        <v>1</v>
      </c>
      <c r="I693" t="s">
        <v>98</v>
      </c>
      <c r="J693">
        <v>0</v>
      </c>
      <c r="K693">
        <v>1</v>
      </c>
      <c r="L693">
        <v>5</v>
      </c>
      <c r="M693">
        <v>226</v>
      </c>
      <c r="N693">
        <v>430</v>
      </c>
      <c r="O693">
        <v>1</v>
      </c>
      <c r="P693">
        <v>430</v>
      </c>
      <c r="Q693">
        <v>31</v>
      </c>
      <c r="R693">
        <v>66</v>
      </c>
      <c r="S693">
        <v>3</v>
      </c>
      <c r="T693">
        <v>26</v>
      </c>
      <c r="U693">
        <v>6</v>
      </c>
      <c r="V693">
        <v>8</v>
      </c>
      <c r="W693">
        <v>3</v>
      </c>
      <c r="X693" t="s">
        <v>105</v>
      </c>
      <c r="Y693">
        <v>202</v>
      </c>
      <c r="Z693">
        <v>5</v>
      </c>
      <c r="AB693">
        <v>2</v>
      </c>
      <c r="AC693" t="s">
        <v>105</v>
      </c>
      <c r="AD693" t="s">
        <v>105</v>
      </c>
      <c r="AE693" t="s">
        <v>105</v>
      </c>
      <c r="AF693" t="s">
        <v>105</v>
      </c>
      <c r="AK693" t="s">
        <v>105</v>
      </c>
      <c r="AL693" t="s">
        <v>105</v>
      </c>
      <c r="AM693" t="s">
        <v>105</v>
      </c>
      <c r="AN693" t="s">
        <v>105</v>
      </c>
      <c r="AU693" t="s">
        <v>105</v>
      </c>
      <c r="AZ693">
        <v>65</v>
      </c>
      <c r="BC693" t="s">
        <v>105</v>
      </c>
      <c r="BD693">
        <v>12</v>
      </c>
      <c r="BE693">
        <v>429</v>
      </c>
      <c r="BF693">
        <v>429</v>
      </c>
      <c r="BG693">
        <v>632</v>
      </c>
      <c r="BI693" t="s">
        <v>106</v>
      </c>
      <c r="BJ693">
        <v>1</v>
      </c>
      <c r="BL693" t="s">
        <v>1510</v>
      </c>
      <c r="BM693" s="4">
        <v>43283.33390046296</v>
      </c>
      <c r="BN693" s="4">
        <v>43283.351493055554</v>
      </c>
      <c r="BO693" s="4">
        <v>43283.351493055554</v>
      </c>
      <c r="BP693" t="s">
        <v>92</v>
      </c>
      <c r="BQ693" t="s">
        <v>93</v>
      </c>
      <c r="BR693" t="s">
        <v>94</v>
      </c>
    </row>
    <row r="694" spans="1:70" x14ac:dyDescent="0.3">
      <c r="A694" t="str">
        <f>"200404B0100"</f>
        <v>200404B0100</v>
      </c>
      <c r="B694" t="s">
        <v>1511</v>
      </c>
      <c r="C694">
        <v>20</v>
      </c>
      <c r="D694" t="s">
        <v>88</v>
      </c>
      <c r="E694">
        <v>57</v>
      </c>
      <c r="F694" t="s">
        <v>1477</v>
      </c>
      <c r="G694">
        <v>404</v>
      </c>
      <c r="H694">
        <v>1</v>
      </c>
      <c r="I694" t="s">
        <v>90</v>
      </c>
      <c r="J694">
        <v>0</v>
      </c>
      <c r="K694">
        <v>1</v>
      </c>
      <c r="L694">
        <v>5</v>
      </c>
      <c r="M694">
        <v>164</v>
      </c>
      <c r="N694">
        <v>398</v>
      </c>
      <c r="O694">
        <v>5</v>
      </c>
      <c r="P694">
        <v>398</v>
      </c>
      <c r="Q694">
        <v>39</v>
      </c>
      <c r="R694">
        <v>89</v>
      </c>
      <c r="S694">
        <v>1</v>
      </c>
      <c r="T694">
        <v>30</v>
      </c>
      <c r="U694">
        <v>7</v>
      </c>
      <c r="V694">
        <v>2</v>
      </c>
      <c r="W694">
        <v>2</v>
      </c>
      <c r="X694">
        <v>1</v>
      </c>
      <c r="Y694">
        <v>162</v>
      </c>
      <c r="Z694">
        <v>4</v>
      </c>
      <c r="AB694">
        <v>0</v>
      </c>
      <c r="AC694">
        <v>0</v>
      </c>
      <c r="AD694">
        <v>0</v>
      </c>
      <c r="AE694">
        <v>0</v>
      </c>
      <c r="AF694">
        <v>0</v>
      </c>
      <c r="AK694">
        <v>2</v>
      </c>
      <c r="AL694">
        <v>2</v>
      </c>
      <c r="AM694">
        <v>1</v>
      </c>
      <c r="AN694">
        <v>0</v>
      </c>
      <c r="AU694">
        <v>1</v>
      </c>
      <c r="AZ694">
        <v>52</v>
      </c>
      <c r="BC694">
        <v>0</v>
      </c>
      <c r="BD694">
        <v>3</v>
      </c>
      <c r="BE694">
        <v>398</v>
      </c>
      <c r="BF694">
        <v>398</v>
      </c>
      <c r="BG694">
        <v>539</v>
      </c>
      <c r="BJ694">
        <v>1</v>
      </c>
      <c r="BL694" s="2" t="s">
        <v>1512</v>
      </c>
      <c r="BM694" s="4">
        <v>43283.361226851855</v>
      </c>
      <c r="BN694" s="4">
        <v>43283.372002314813</v>
      </c>
      <c r="BO694" s="4">
        <v>43283.372002314813</v>
      </c>
      <c r="BP694" t="s">
        <v>92</v>
      </c>
      <c r="BQ694" t="s">
        <v>93</v>
      </c>
      <c r="BR694" t="s">
        <v>94</v>
      </c>
    </row>
    <row r="695" spans="1:70" x14ac:dyDescent="0.3">
      <c r="A695" t="str">
        <f>"200404C0100"</f>
        <v>200404C0100</v>
      </c>
      <c r="B695" t="s">
        <v>1513</v>
      </c>
      <c r="C695">
        <v>20</v>
      </c>
      <c r="D695" t="s">
        <v>88</v>
      </c>
      <c r="E695">
        <v>57</v>
      </c>
      <c r="F695" t="s">
        <v>1477</v>
      </c>
      <c r="G695">
        <v>404</v>
      </c>
      <c r="H695">
        <v>1</v>
      </c>
      <c r="I695" t="s">
        <v>98</v>
      </c>
      <c r="J695">
        <v>0</v>
      </c>
      <c r="K695">
        <v>1</v>
      </c>
      <c r="L695">
        <v>5</v>
      </c>
      <c r="M695">
        <v>212</v>
      </c>
      <c r="N695">
        <v>350</v>
      </c>
      <c r="O695">
        <v>1</v>
      </c>
      <c r="P695" t="s">
        <v>105</v>
      </c>
      <c r="Q695">
        <v>23</v>
      </c>
      <c r="R695">
        <v>73</v>
      </c>
      <c r="S695">
        <v>4</v>
      </c>
      <c r="T695">
        <v>25</v>
      </c>
      <c r="U695">
        <v>4</v>
      </c>
      <c r="V695">
        <v>1</v>
      </c>
      <c r="W695">
        <v>0</v>
      </c>
      <c r="X695">
        <v>0</v>
      </c>
      <c r="Y695">
        <v>167</v>
      </c>
      <c r="Z695">
        <v>1</v>
      </c>
      <c r="AB695">
        <v>0</v>
      </c>
      <c r="AC695">
        <v>0</v>
      </c>
      <c r="AD695">
        <v>1</v>
      </c>
      <c r="AE695">
        <v>0</v>
      </c>
      <c r="AF695">
        <v>0</v>
      </c>
      <c r="AK695">
        <v>1</v>
      </c>
      <c r="AL695">
        <v>1</v>
      </c>
      <c r="AM695">
        <v>0</v>
      </c>
      <c r="AN695">
        <v>0</v>
      </c>
      <c r="AU695">
        <v>0</v>
      </c>
      <c r="AZ695">
        <v>42</v>
      </c>
      <c r="BC695">
        <v>0</v>
      </c>
      <c r="BD695">
        <v>7</v>
      </c>
      <c r="BE695">
        <v>350</v>
      </c>
      <c r="BF695">
        <v>350</v>
      </c>
      <c r="BG695">
        <v>539</v>
      </c>
      <c r="BJ695">
        <v>1</v>
      </c>
      <c r="BL695" t="s">
        <v>1514</v>
      </c>
      <c r="BM695" s="4">
        <v>43283.360532407409</v>
      </c>
      <c r="BN695" s="4">
        <v>43283.370775462965</v>
      </c>
      <c r="BO695" s="4">
        <v>43283.370775462965</v>
      </c>
      <c r="BP695" t="s">
        <v>92</v>
      </c>
      <c r="BQ695" t="s">
        <v>93</v>
      </c>
      <c r="BR695" t="s">
        <v>94</v>
      </c>
    </row>
    <row r="696" spans="1:70" x14ac:dyDescent="0.3">
      <c r="A696" t="str">
        <f>"200405B0100"</f>
        <v>200405B0100</v>
      </c>
      <c r="B696" t="s">
        <v>1515</v>
      </c>
      <c r="C696">
        <v>20</v>
      </c>
      <c r="D696" t="s">
        <v>88</v>
      </c>
      <c r="E696">
        <v>57</v>
      </c>
      <c r="F696" t="s">
        <v>1477</v>
      </c>
      <c r="G696">
        <v>405</v>
      </c>
      <c r="H696">
        <v>1</v>
      </c>
      <c r="I696" t="s">
        <v>90</v>
      </c>
      <c r="J696">
        <v>0</v>
      </c>
      <c r="K696">
        <v>1</v>
      </c>
      <c r="L696">
        <v>5</v>
      </c>
      <c r="M696">
        <v>190</v>
      </c>
      <c r="N696">
        <v>324</v>
      </c>
      <c r="O696">
        <v>5</v>
      </c>
      <c r="P696">
        <v>324</v>
      </c>
      <c r="Q696">
        <v>27</v>
      </c>
      <c r="R696">
        <v>73</v>
      </c>
      <c r="S696">
        <v>1</v>
      </c>
      <c r="T696">
        <v>20</v>
      </c>
      <c r="U696">
        <v>3</v>
      </c>
      <c r="V696">
        <v>0</v>
      </c>
      <c r="W696">
        <v>0</v>
      </c>
      <c r="X696">
        <v>1</v>
      </c>
      <c r="Y696">
        <v>126</v>
      </c>
      <c r="Z696">
        <v>2</v>
      </c>
      <c r="AB696">
        <v>0</v>
      </c>
      <c r="AC696">
        <v>1</v>
      </c>
      <c r="AD696">
        <v>0</v>
      </c>
      <c r="AE696">
        <v>1</v>
      </c>
      <c r="AF696">
        <v>0</v>
      </c>
      <c r="AK696">
        <v>1</v>
      </c>
      <c r="AL696">
        <v>1</v>
      </c>
      <c r="AM696">
        <v>0</v>
      </c>
      <c r="AN696">
        <v>3</v>
      </c>
      <c r="AU696">
        <v>2</v>
      </c>
      <c r="AZ696">
        <v>59</v>
      </c>
      <c r="BC696">
        <v>0</v>
      </c>
      <c r="BD696">
        <v>3</v>
      </c>
      <c r="BE696">
        <v>324</v>
      </c>
      <c r="BF696">
        <v>324</v>
      </c>
      <c r="BG696">
        <v>492</v>
      </c>
      <c r="BJ696">
        <v>1</v>
      </c>
      <c r="BL696" t="s">
        <v>1516</v>
      </c>
      <c r="BM696" s="4">
        <v>43283.346041666664</v>
      </c>
      <c r="BN696" s="4">
        <v>43283.358530092592</v>
      </c>
      <c r="BO696" s="4">
        <v>43283.358530092592</v>
      </c>
      <c r="BP696" t="s">
        <v>92</v>
      </c>
      <c r="BQ696" t="s">
        <v>93</v>
      </c>
      <c r="BR696" t="s">
        <v>94</v>
      </c>
    </row>
    <row r="697" spans="1:70" x14ac:dyDescent="0.3">
      <c r="A697" t="str">
        <f>"200405C0100"</f>
        <v>200405C0100</v>
      </c>
      <c r="B697" t="s">
        <v>1517</v>
      </c>
      <c r="C697">
        <v>20</v>
      </c>
      <c r="D697" t="s">
        <v>88</v>
      </c>
      <c r="E697">
        <v>57</v>
      </c>
      <c r="F697" t="s">
        <v>1477</v>
      </c>
      <c r="G697">
        <v>405</v>
      </c>
      <c r="H697">
        <v>1</v>
      </c>
      <c r="I697" t="s">
        <v>98</v>
      </c>
      <c r="J697">
        <v>0</v>
      </c>
      <c r="K697">
        <v>1</v>
      </c>
      <c r="L697">
        <v>5</v>
      </c>
      <c r="M697">
        <v>196</v>
      </c>
      <c r="N697">
        <v>318</v>
      </c>
      <c r="O697">
        <v>6</v>
      </c>
      <c r="P697">
        <v>318</v>
      </c>
      <c r="Q697">
        <v>37</v>
      </c>
      <c r="R697">
        <v>71</v>
      </c>
      <c r="S697">
        <v>1</v>
      </c>
      <c r="T697">
        <v>24</v>
      </c>
      <c r="U697">
        <v>5</v>
      </c>
      <c r="V697">
        <v>0</v>
      </c>
      <c r="W697">
        <v>1</v>
      </c>
      <c r="X697">
        <v>2</v>
      </c>
      <c r="Y697">
        <v>114</v>
      </c>
      <c r="Z697">
        <v>2</v>
      </c>
      <c r="AB697">
        <v>1</v>
      </c>
      <c r="AC697">
        <v>0</v>
      </c>
      <c r="AD697">
        <v>0</v>
      </c>
      <c r="AE697">
        <v>0</v>
      </c>
      <c r="AF697">
        <v>0</v>
      </c>
      <c r="AK697">
        <v>0</v>
      </c>
      <c r="AL697">
        <v>2</v>
      </c>
      <c r="AM697">
        <v>0</v>
      </c>
      <c r="AN697">
        <v>1</v>
      </c>
      <c r="AU697">
        <v>2</v>
      </c>
      <c r="AZ697">
        <v>36</v>
      </c>
      <c r="BC697">
        <v>0</v>
      </c>
      <c r="BD697">
        <v>6</v>
      </c>
      <c r="BE697">
        <v>318</v>
      </c>
      <c r="BF697">
        <v>305</v>
      </c>
      <c r="BG697">
        <v>491</v>
      </c>
      <c r="BJ697">
        <v>1</v>
      </c>
      <c r="BL697" t="s">
        <v>1518</v>
      </c>
      <c r="BM697" s="4">
        <v>43283.346782407411</v>
      </c>
      <c r="BN697" s="4">
        <v>43283.358842592592</v>
      </c>
      <c r="BO697" s="4">
        <v>43283.358842592592</v>
      </c>
      <c r="BP697" t="s">
        <v>92</v>
      </c>
      <c r="BQ697" t="s">
        <v>93</v>
      </c>
      <c r="BR697" t="s">
        <v>94</v>
      </c>
    </row>
    <row r="698" spans="1:70" x14ac:dyDescent="0.3">
      <c r="A698" t="str">
        <f>"200406B0100"</f>
        <v>200406B0100</v>
      </c>
      <c r="B698" t="s">
        <v>1519</v>
      </c>
      <c r="C698">
        <v>20</v>
      </c>
      <c r="D698" t="s">
        <v>88</v>
      </c>
      <c r="E698">
        <v>57</v>
      </c>
      <c r="F698" t="s">
        <v>1477</v>
      </c>
      <c r="G698">
        <v>406</v>
      </c>
      <c r="H698">
        <v>1</v>
      </c>
      <c r="I698" t="s">
        <v>90</v>
      </c>
      <c r="J698">
        <v>0</v>
      </c>
      <c r="K698">
        <v>1</v>
      </c>
      <c r="L698">
        <v>5</v>
      </c>
      <c r="M698">
        <v>276</v>
      </c>
      <c r="N698">
        <v>398</v>
      </c>
      <c r="O698">
        <v>1</v>
      </c>
      <c r="P698">
        <v>398</v>
      </c>
      <c r="Q698">
        <v>26</v>
      </c>
      <c r="R698">
        <v>52</v>
      </c>
      <c r="S698">
        <v>3</v>
      </c>
      <c r="T698">
        <v>43</v>
      </c>
      <c r="U698">
        <v>5</v>
      </c>
      <c r="V698">
        <v>2</v>
      </c>
      <c r="W698">
        <v>0</v>
      </c>
      <c r="X698">
        <v>1</v>
      </c>
      <c r="Y698">
        <v>145</v>
      </c>
      <c r="Z698">
        <v>3</v>
      </c>
      <c r="AB698">
        <v>0</v>
      </c>
      <c r="AC698">
        <v>0</v>
      </c>
      <c r="AD698">
        <v>1</v>
      </c>
      <c r="AE698">
        <v>0</v>
      </c>
      <c r="AF698">
        <v>0</v>
      </c>
      <c r="AK698">
        <v>2</v>
      </c>
      <c r="AL698">
        <v>1</v>
      </c>
      <c r="AM698">
        <v>0</v>
      </c>
      <c r="AN698">
        <v>1</v>
      </c>
      <c r="AU698">
        <v>0</v>
      </c>
      <c r="AZ698">
        <v>98</v>
      </c>
      <c r="BC698">
        <v>0</v>
      </c>
      <c r="BD698">
        <v>15</v>
      </c>
      <c r="BE698" t="s">
        <v>105</v>
      </c>
      <c r="BF698">
        <v>398</v>
      </c>
      <c r="BG698">
        <v>651</v>
      </c>
      <c r="BJ698">
        <v>1</v>
      </c>
      <c r="BL698" t="s">
        <v>1520</v>
      </c>
      <c r="BM698" s="4">
        <v>43283.334374999999</v>
      </c>
      <c r="BN698" s="4">
        <v>43283.351979166669</v>
      </c>
      <c r="BO698" s="4">
        <v>43283.351979166669</v>
      </c>
      <c r="BP698" t="s">
        <v>92</v>
      </c>
      <c r="BQ698" t="s">
        <v>93</v>
      </c>
      <c r="BR698" t="s">
        <v>94</v>
      </c>
    </row>
    <row r="699" spans="1:70" x14ac:dyDescent="0.3">
      <c r="A699" t="str">
        <f>"200406C0100"</f>
        <v>200406C0100</v>
      </c>
      <c r="B699" t="s">
        <v>1521</v>
      </c>
      <c r="C699">
        <v>20</v>
      </c>
      <c r="D699" t="s">
        <v>88</v>
      </c>
      <c r="E699">
        <v>57</v>
      </c>
      <c r="F699" t="s">
        <v>1477</v>
      </c>
      <c r="G699">
        <v>406</v>
      </c>
      <c r="H699">
        <v>1</v>
      </c>
      <c r="I699" t="s">
        <v>98</v>
      </c>
      <c r="J699">
        <v>0</v>
      </c>
      <c r="K699">
        <v>1</v>
      </c>
      <c r="L699">
        <v>5</v>
      </c>
      <c r="M699">
        <v>261</v>
      </c>
      <c r="N699">
        <v>412</v>
      </c>
      <c r="O699">
        <v>3</v>
      </c>
      <c r="P699">
        <v>412</v>
      </c>
      <c r="Q699">
        <v>23</v>
      </c>
      <c r="R699">
        <v>51</v>
      </c>
      <c r="S699">
        <v>2</v>
      </c>
      <c r="T699">
        <v>51</v>
      </c>
      <c r="U699">
        <v>5</v>
      </c>
      <c r="V699">
        <v>2</v>
      </c>
      <c r="W699">
        <v>3</v>
      </c>
      <c r="X699">
        <v>1</v>
      </c>
      <c r="Y699">
        <v>164</v>
      </c>
      <c r="Z699">
        <v>2</v>
      </c>
      <c r="AB699" t="s">
        <v>105</v>
      </c>
      <c r="AC699" t="s">
        <v>105</v>
      </c>
      <c r="AD699" t="s">
        <v>105</v>
      </c>
      <c r="AE699" t="s">
        <v>105</v>
      </c>
      <c r="AF699" t="s">
        <v>105</v>
      </c>
      <c r="AK699">
        <v>4</v>
      </c>
      <c r="AL699">
        <v>3</v>
      </c>
      <c r="AM699">
        <v>1</v>
      </c>
      <c r="AN699">
        <v>1</v>
      </c>
      <c r="AU699" t="s">
        <v>105</v>
      </c>
      <c r="AZ699">
        <v>90</v>
      </c>
      <c r="BC699" t="s">
        <v>105</v>
      </c>
      <c r="BD699">
        <v>10</v>
      </c>
      <c r="BE699">
        <v>412</v>
      </c>
      <c r="BF699">
        <v>413</v>
      </c>
      <c r="BG699">
        <v>650</v>
      </c>
      <c r="BI699" t="s">
        <v>106</v>
      </c>
      <c r="BJ699">
        <v>1</v>
      </c>
      <c r="BL699" t="s">
        <v>1522</v>
      </c>
      <c r="BM699" s="4">
        <v>43283.334791666668</v>
      </c>
      <c r="BN699" s="4">
        <v>43283.352233796293</v>
      </c>
      <c r="BO699" s="4">
        <v>43283.352233796293</v>
      </c>
      <c r="BP699" t="s">
        <v>92</v>
      </c>
      <c r="BQ699" t="s">
        <v>93</v>
      </c>
      <c r="BR699" t="s">
        <v>94</v>
      </c>
    </row>
    <row r="700" spans="1:70" x14ac:dyDescent="0.3">
      <c r="A700" t="str">
        <f>"200407B0100"</f>
        <v>200407B0100</v>
      </c>
      <c r="B700" t="s">
        <v>1523</v>
      </c>
      <c r="C700">
        <v>20</v>
      </c>
      <c r="D700" t="s">
        <v>88</v>
      </c>
      <c r="E700">
        <v>57</v>
      </c>
      <c r="F700" t="s">
        <v>1477</v>
      </c>
      <c r="G700">
        <v>407</v>
      </c>
      <c r="H700">
        <v>1</v>
      </c>
      <c r="I700" t="s">
        <v>90</v>
      </c>
      <c r="J700">
        <v>0</v>
      </c>
      <c r="K700">
        <v>1</v>
      </c>
      <c r="L700">
        <v>5</v>
      </c>
      <c r="M700">
        <v>309</v>
      </c>
      <c r="N700">
        <v>405</v>
      </c>
      <c r="O700">
        <v>1</v>
      </c>
      <c r="P700">
        <v>407</v>
      </c>
      <c r="Q700">
        <v>26</v>
      </c>
      <c r="R700">
        <v>102</v>
      </c>
      <c r="S700">
        <v>5</v>
      </c>
      <c r="T700">
        <v>53</v>
      </c>
      <c r="U700">
        <v>6</v>
      </c>
      <c r="V700">
        <v>1</v>
      </c>
      <c r="W700">
        <v>2</v>
      </c>
      <c r="X700">
        <v>1</v>
      </c>
      <c r="Y700">
        <v>128</v>
      </c>
      <c r="Z700">
        <v>3</v>
      </c>
      <c r="AB700">
        <v>1</v>
      </c>
      <c r="AC700">
        <v>0</v>
      </c>
      <c r="AD700">
        <v>0</v>
      </c>
      <c r="AE700">
        <v>0</v>
      </c>
      <c r="AF700">
        <v>0</v>
      </c>
      <c r="AK700">
        <v>2</v>
      </c>
      <c r="AL700">
        <v>2</v>
      </c>
      <c r="AM700">
        <v>0</v>
      </c>
      <c r="AN700">
        <v>0</v>
      </c>
      <c r="AU700">
        <v>0</v>
      </c>
      <c r="AZ700">
        <v>59</v>
      </c>
      <c r="BC700">
        <v>0</v>
      </c>
      <c r="BD700">
        <v>16</v>
      </c>
      <c r="BE700">
        <v>407</v>
      </c>
      <c r="BF700">
        <v>407</v>
      </c>
      <c r="BG700">
        <v>691</v>
      </c>
      <c r="BJ700">
        <v>1</v>
      </c>
      <c r="BL700" t="s">
        <v>1524</v>
      </c>
      <c r="BM700" s="4">
        <v>43283.335243055553</v>
      </c>
      <c r="BN700" s="4">
        <v>43283.36917824074</v>
      </c>
      <c r="BO700" s="4">
        <v>43283.36917824074</v>
      </c>
      <c r="BP700" t="s">
        <v>92</v>
      </c>
      <c r="BQ700" t="s">
        <v>93</v>
      </c>
      <c r="BR700" t="s">
        <v>94</v>
      </c>
    </row>
    <row r="701" spans="1:70" x14ac:dyDescent="0.3">
      <c r="A701" t="str">
        <f>"200407C0100"</f>
        <v>200407C0100</v>
      </c>
      <c r="B701" t="s">
        <v>1525</v>
      </c>
      <c r="C701">
        <v>20</v>
      </c>
      <c r="D701" t="s">
        <v>88</v>
      </c>
      <c r="E701">
        <v>57</v>
      </c>
      <c r="F701" t="s">
        <v>1477</v>
      </c>
      <c r="G701">
        <v>407</v>
      </c>
      <c r="H701">
        <v>1</v>
      </c>
      <c r="I701" t="s">
        <v>98</v>
      </c>
      <c r="J701">
        <v>0</v>
      </c>
      <c r="K701">
        <v>1</v>
      </c>
      <c r="L701">
        <v>5</v>
      </c>
      <c r="M701">
        <v>313</v>
      </c>
      <c r="N701">
        <v>401</v>
      </c>
      <c r="O701">
        <v>0</v>
      </c>
      <c r="P701">
        <v>396</v>
      </c>
      <c r="Q701">
        <v>16</v>
      </c>
      <c r="R701">
        <v>62</v>
      </c>
      <c r="S701">
        <v>3</v>
      </c>
      <c r="T701">
        <v>66</v>
      </c>
      <c r="U701">
        <v>4</v>
      </c>
      <c r="V701">
        <v>0</v>
      </c>
      <c r="W701">
        <v>0</v>
      </c>
      <c r="X701">
        <v>0</v>
      </c>
      <c r="Y701">
        <v>139</v>
      </c>
      <c r="Z701">
        <v>6</v>
      </c>
      <c r="AB701">
        <v>0</v>
      </c>
      <c r="AC701">
        <v>0</v>
      </c>
      <c r="AD701">
        <v>0</v>
      </c>
      <c r="AE701">
        <v>0</v>
      </c>
      <c r="AF701">
        <v>1</v>
      </c>
      <c r="AK701">
        <v>0</v>
      </c>
      <c r="AL701">
        <v>1</v>
      </c>
      <c r="AM701">
        <v>0</v>
      </c>
      <c r="AN701">
        <v>2</v>
      </c>
      <c r="AU701">
        <v>0</v>
      </c>
      <c r="AZ701">
        <v>80</v>
      </c>
      <c r="BC701">
        <v>0</v>
      </c>
      <c r="BD701">
        <v>17</v>
      </c>
      <c r="BE701">
        <v>397</v>
      </c>
      <c r="BF701">
        <v>397</v>
      </c>
      <c r="BG701">
        <v>691</v>
      </c>
      <c r="BJ701">
        <v>1</v>
      </c>
      <c r="BL701" t="s">
        <v>1526</v>
      </c>
      <c r="BM701" s="4">
        <v>43283.329189814816</v>
      </c>
      <c r="BN701" s="4">
        <v>43283.34888888889</v>
      </c>
      <c r="BO701" s="4">
        <v>43283.34888888889</v>
      </c>
      <c r="BP701" t="s">
        <v>92</v>
      </c>
      <c r="BQ701" t="s">
        <v>93</v>
      </c>
      <c r="BR701" t="s">
        <v>94</v>
      </c>
    </row>
    <row r="702" spans="1:70" x14ac:dyDescent="0.3">
      <c r="A702" t="str">
        <f>"200407C0200"</f>
        <v>200407C0200</v>
      </c>
      <c r="B702" t="s">
        <v>1527</v>
      </c>
      <c r="C702">
        <v>20</v>
      </c>
      <c r="D702" t="s">
        <v>88</v>
      </c>
      <c r="E702">
        <v>57</v>
      </c>
      <c r="F702" t="s">
        <v>1477</v>
      </c>
      <c r="G702">
        <v>407</v>
      </c>
      <c r="H702">
        <v>2</v>
      </c>
      <c r="I702" t="s">
        <v>98</v>
      </c>
      <c r="J702">
        <v>0</v>
      </c>
      <c r="K702">
        <v>1</v>
      </c>
      <c r="L702">
        <v>5</v>
      </c>
      <c r="M702">
        <v>325</v>
      </c>
      <c r="N702">
        <v>742</v>
      </c>
      <c r="O702">
        <v>3</v>
      </c>
      <c r="P702">
        <v>0</v>
      </c>
      <c r="Q702">
        <v>32</v>
      </c>
      <c r="R702">
        <v>75</v>
      </c>
      <c r="S702">
        <v>0</v>
      </c>
      <c r="T702">
        <v>61</v>
      </c>
      <c r="U702">
        <v>11</v>
      </c>
      <c r="V702">
        <v>1</v>
      </c>
      <c r="W702">
        <v>0</v>
      </c>
      <c r="X702">
        <v>1</v>
      </c>
      <c r="Y702">
        <v>141</v>
      </c>
      <c r="Z702">
        <v>3</v>
      </c>
      <c r="AB702">
        <v>0</v>
      </c>
      <c r="AC702">
        <v>0</v>
      </c>
      <c r="AD702">
        <v>0</v>
      </c>
      <c r="AE702">
        <v>0</v>
      </c>
      <c r="AF702">
        <v>0</v>
      </c>
      <c r="AK702">
        <v>5</v>
      </c>
      <c r="AL702">
        <v>1</v>
      </c>
      <c r="AM702">
        <v>1</v>
      </c>
      <c r="AN702">
        <v>3</v>
      </c>
      <c r="AU702" t="s">
        <v>105</v>
      </c>
      <c r="AZ702">
        <v>66</v>
      </c>
      <c r="BC702" t="s">
        <v>105</v>
      </c>
      <c r="BD702">
        <v>19</v>
      </c>
      <c r="BE702">
        <v>417</v>
      </c>
      <c r="BF702">
        <v>420</v>
      </c>
      <c r="BG702">
        <v>691</v>
      </c>
      <c r="BI702" t="s">
        <v>106</v>
      </c>
      <c r="BJ702">
        <v>1</v>
      </c>
      <c r="BL702" t="s">
        <v>1528</v>
      </c>
      <c r="BM702" s="4">
        <v>43283.335694444446</v>
      </c>
      <c r="BN702" s="4">
        <v>43283.351736111108</v>
      </c>
      <c r="BO702" s="4">
        <v>43283.351736111108</v>
      </c>
      <c r="BP702" t="s">
        <v>92</v>
      </c>
      <c r="BQ702" t="s">
        <v>93</v>
      </c>
      <c r="BR702" t="s">
        <v>94</v>
      </c>
    </row>
    <row r="703" spans="1:70" x14ac:dyDescent="0.3">
      <c r="A703" t="str">
        <f>"200408B0100"</f>
        <v>200408B0100</v>
      </c>
      <c r="B703" t="s">
        <v>1529</v>
      </c>
      <c r="C703">
        <v>20</v>
      </c>
      <c r="D703" t="s">
        <v>88</v>
      </c>
      <c r="E703">
        <v>57</v>
      </c>
      <c r="F703" t="s">
        <v>1477</v>
      </c>
      <c r="G703">
        <v>408</v>
      </c>
      <c r="H703">
        <v>1</v>
      </c>
      <c r="I703" t="s">
        <v>90</v>
      </c>
      <c r="J703">
        <v>0</v>
      </c>
      <c r="K703">
        <v>1</v>
      </c>
      <c r="L703">
        <v>5</v>
      </c>
      <c r="M703">
        <v>274</v>
      </c>
      <c r="N703">
        <v>368</v>
      </c>
      <c r="O703">
        <v>1</v>
      </c>
      <c r="P703">
        <v>368</v>
      </c>
      <c r="Q703">
        <v>13</v>
      </c>
      <c r="R703">
        <v>61</v>
      </c>
      <c r="S703">
        <v>4</v>
      </c>
      <c r="T703">
        <v>87</v>
      </c>
      <c r="U703">
        <v>5</v>
      </c>
      <c r="V703">
        <v>3</v>
      </c>
      <c r="W703">
        <v>0</v>
      </c>
      <c r="X703">
        <v>3</v>
      </c>
      <c r="Y703">
        <v>132</v>
      </c>
      <c r="Z703">
        <v>5</v>
      </c>
      <c r="AB703">
        <v>0</v>
      </c>
      <c r="AC703">
        <v>1</v>
      </c>
      <c r="AD703">
        <v>0</v>
      </c>
      <c r="AE703">
        <v>0</v>
      </c>
      <c r="AF703">
        <v>0</v>
      </c>
      <c r="AK703">
        <v>0</v>
      </c>
      <c r="AL703">
        <v>2</v>
      </c>
      <c r="AM703">
        <v>0</v>
      </c>
      <c r="AN703">
        <v>1</v>
      </c>
      <c r="AU703">
        <v>0</v>
      </c>
      <c r="AZ703">
        <v>28</v>
      </c>
      <c r="BC703">
        <v>0</v>
      </c>
      <c r="BD703">
        <v>23</v>
      </c>
      <c r="BE703">
        <v>368</v>
      </c>
      <c r="BF703">
        <v>368</v>
      </c>
      <c r="BG703">
        <v>619</v>
      </c>
      <c r="BJ703">
        <v>1</v>
      </c>
      <c r="BL703" t="s">
        <v>1530</v>
      </c>
      <c r="BM703" s="4">
        <v>43283.359583333331</v>
      </c>
      <c r="BN703" s="4">
        <v>43283.370300925926</v>
      </c>
      <c r="BO703" s="4">
        <v>43283.370300925926</v>
      </c>
      <c r="BP703" t="s">
        <v>92</v>
      </c>
      <c r="BQ703" t="s">
        <v>93</v>
      </c>
      <c r="BR703" t="s">
        <v>94</v>
      </c>
    </row>
    <row r="704" spans="1:70" x14ac:dyDescent="0.3">
      <c r="A704" t="str">
        <f>"200408C0100"</f>
        <v>200408C0100</v>
      </c>
      <c r="B704" t="s">
        <v>1531</v>
      </c>
      <c r="C704">
        <v>20</v>
      </c>
      <c r="D704" t="s">
        <v>88</v>
      </c>
      <c r="E704">
        <v>57</v>
      </c>
      <c r="F704" t="s">
        <v>1477</v>
      </c>
      <c r="G704">
        <v>408</v>
      </c>
      <c r="H704">
        <v>1</v>
      </c>
      <c r="I704" t="s">
        <v>98</v>
      </c>
      <c r="J704">
        <v>0</v>
      </c>
      <c r="K704">
        <v>1</v>
      </c>
      <c r="L704">
        <v>5</v>
      </c>
      <c r="M704">
        <v>272</v>
      </c>
      <c r="N704">
        <v>370</v>
      </c>
      <c r="O704">
        <v>2</v>
      </c>
      <c r="P704">
        <v>368</v>
      </c>
      <c r="Q704">
        <v>12</v>
      </c>
      <c r="R704">
        <v>43</v>
      </c>
      <c r="S704">
        <v>7</v>
      </c>
      <c r="T704">
        <v>82</v>
      </c>
      <c r="U704">
        <v>4</v>
      </c>
      <c r="V704">
        <v>4</v>
      </c>
      <c r="W704">
        <v>0</v>
      </c>
      <c r="X704">
        <v>1</v>
      </c>
      <c r="Y704">
        <v>144</v>
      </c>
      <c r="Z704">
        <v>2</v>
      </c>
      <c r="AB704">
        <v>1</v>
      </c>
      <c r="AC704">
        <v>0</v>
      </c>
      <c r="AD704">
        <v>0</v>
      </c>
      <c r="AE704">
        <v>0</v>
      </c>
      <c r="AF704">
        <v>0</v>
      </c>
      <c r="AK704">
        <v>1</v>
      </c>
      <c r="AL704">
        <v>1</v>
      </c>
      <c r="AM704">
        <v>0</v>
      </c>
      <c r="AN704">
        <v>1</v>
      </c>
      <c r="AU704">
        <v>0</v>
      </c>
      <c r="AZ704">
        <v>49</v>
      </c>
      <c r="BC704">
        <v>0</v>
      </c>
      <c r="BD704">
        <v>17</v>
      </c>
      <c r="BE704">
        <v>369</v>
      </c>
      <c r="BF704">
        <v>369</v>
      </c>
      <c r="BG704">
        <v>619</v>
      </c>
      <c r="BJ704">
        <v>1</v>
      </c>
      <c r="BL704" t="s">
        <v>1532</v>
      </c>
      <c r="BM704" s="4">
        <v>43283.362615740742</v>
      </c>
      <c r="BN704" s="4">
        <v>43283.372384259259</v>
      </c>
      <c r="BO704" s="4">
        <v>43283.372384259259</v>
      </c>
      <c r="BP704" t="s">
        <v>92</v>
      </c>
      <c r="BQ704" t="s">
        <v>93</v>
      </c>
      <c r="BR704" t="s">
        <v>94</v>
      </c>
    </row>
    <row r="705" spans="1:70" x14ac:dyDescent="0.3">
      <c r="A705" t="str">
        <f>"200408C0200"</f>
        <v>200408C0200</v>
      </c>
      <c r="B705" t="s">
        <v>1533</v>
      </c>
      <c r="C705">
        <v>20</v>
      </c>
      <c r="D705" t="s">
        <v>88</v>
      </c>
      <c r="E705">
        <v>57</v>
      </c>
      <c r="F705" t="s">
        <v>1477</v>
      </c>
      <c r="G705">
        <v>408</v>
      </c>
      <c r="H705">
        <v>2</v>
      </c>
      <c r="I705" t="s">
        <v>98</v>
      </c>
      <c r="J705">
        <v>0</v>
      </c>
      <c r="K705">
        <v>1</v>
      </c>
      <c r="L705">
        <v>5</v>
      </c>
      <c r="M705">
        <v>251</v>
      </c>
      <c r="N705">
        <v>390</v>
      </c>
      <c r="O705">
        <v>2</v>
      </c>
      <c r="P705">
        <v>390</v>
      </c>
      <c r="Q705">
        <v>15</v>
      </c>
      <c r="R705">
        <v>66</v>
      </c>
      <c r="S705">
        <v>4</v>
      </c>
      <c r="T705">
        <v>66</v>
      </c>
      <c r="U705">
        <v>3</v>
      </c>
      <c r="V705">
        <v>0</v>
      </c>
      <c r="W705">
        <v>1</v>
      </c>
      <c r="X705">
        <v>1</v>
      </c>
      <c r="Y705">
        <v>143</v>
      </c>
      <c r="Z705">
        <v>2</v>
      </c>
      <c r="AB705">
        <v>0</v>
      </c>
      <c r="AC705">
        <v>0</v>
      </c>
      <c r="AD705">
        <v>2</v>
      </c>
      <c r="AE705">
        <v>0</v>
      </c>
      <c r="AF705">
        <v>0</v>
      </c>
      <c r="AK705">
        <v>3</v>
      </c>
      <c r="AL705">
        <v>1</v>
      </c>
      <c r="AM705">
        <v>0</v>
      </c>
      <c r="AN705">
        <v>1</v>
      </c>
      <c r="AU705">
        <v>0</v>
      </c>
      <c r="AZ705">
        <v>55</v>
      </c>
      <c r="BC705">
        <v>0</v>
      </c>
      <c r="BD705">
        <v>24</v>
      </c>
      <c r="BE705">
        <v>391</v>
      </c>
      <c r="BF705">
        <v>387</v>
      </c>
      <c r="BG705">
        <v>618</v>
      </c>
      <c r="BJ705">
        <v>1</v>
      </c>
      <c r="BL705" t="s">
        <v>1534</v>
      </c>
      <c r="BM705" s="4">
        <v>43283.360138888886</v>
      </c>
      <c r="BN705" s="4">
        <v>43283.389456018522</v>
      </c>
      <c r="BO705" s="4">
        <v>43283.389456018522</v>
      </c>
      <c r="BP705" t="s">
        <v>92</v>
      </c>
      <c r="BQ705" t="s">
        <v>93</v>
      </c>
      <c r="BR705" t="s">
        <v>94</v>
      </c>
    </row>
    <row r="706" spans="1:70" x14ac:dyDescent="0.3">
      <c r="A706" t="str">
        <f>"200409B0100"</f>
        <v>200409B0100</v>
      </c>
      <c r="B706" t="s">
        <v>1535</v>
      </c>
      <c r="C706">
        <v>20</v>
      </c>
      <c r="D706" t="s">
        <v>88</v>
      </c>
      <c r="E706">
        <v>57</v>
      </c>
      <c r="F706" t="s">
        <v>1477</v>
      </c>
      <c r="G706">
        <v>409</v>
      </c>
      <c r="H706">
        <v>1</v>
      </c>
      <c r="I706" t="s">
        <v>90</v>
      </c>
      <c r="J706">
        <v>0</v>
      </c>
      <c r="K706">
        <v>1</v>
      </c>
      <c r="L706">
        <v>5</v>
      </c>
      <c r="M706">
        <v>248</v>
      </c>
      <c r="N706">
        <v>442</v>
      </c>
      <c r="O706">
        <v>7</v>
      </c>
      <c r="P706">
        <v>443</v>
      </c>
      <c r="Q706">
        <v>8</v>
      </c>
      <c r="R706">
        <v>27</v>
      </c>
      <c r="S706">
        <v>4</v>
      </c>
      <c r="T706">
        <v>202</v>
      </c>
      <c r="U706">
        <v>12</v>
      </c>
      <c r="V706">
        <v>5</v>
      </c>
      <c r="W706">
        <v>2</v>
      </c>
      <c r="X706">
        <v>11</v>
      </c>
      <c r="Y706">
        <v>103</v>
      </c>
      <c r="Z706">
        <v>3</v>
      </c>
      <c r="AB706" t="s">
        <v>105</v>
      </c>
      <c r="AC706">
        <v>1</v>
      </c>
      <c r="AD706" t="s">
        <v>105</v>
      </c>
      <c r="AE706" t="s">
        <v>105</v>
      </c>
      <c r="AF706" t="s">
        <v>105</v>
      </c>
      <c r="AK706">
        <v>6</v>
      </c>
      <c r="AL706" t="s">
        <v>105</v>
      </c>
      <c r="AM706" t="s">
        <v>105</v>
      </c>
      <c r="AN706" t="s">
        <v>105</v>
      </c>
      <c r="AU706" t="s">
        <v>105</v>
      </c>
      <c r="AZ706">
        <v>24</v>
      </c>
      <c r="BC706" t="s">
        <v>105</v>
      </c>
      <c r="BD706">
        <v>35</v>
      </c>
      <c r="BE706">
        <v>443</v>
      </c>
      <c r="BF706">
        <v>443</v>
      </c>
      <c r="BG706">
        <v>666</v>
      </c>
      <c r="BI706" t="s">
        <v>106</v>
      </c>
      <c r="BJ706">
        <v>1</v>
      </c>
      <c r="BL706" t="s">
        <v>1536</v>
      </c>
      <c r="BM706" s="4">
        <v>43283.364837962959</v>
      </c>
      <c r="BN706" s="4">
        <v>43283.37427083333</v>
      </c>
      <c r="BO706" s="4">
        <v>43283.37427083333</v>
      </c>
      <c r="BP706" t="s">
        <v>92</v>
      </c>
      <c r="BQ706" t="s">
        <v>93</v>
      </c>
      <c r="BR706" t="s">
        <v>94</v>
      </c>
    </row>
    <row r="707" spans="1:70" x14ac:dyDescent="0.3">
      <c r="A707" t="str">
        <f>"200409C0100"</f>
        <v>200409C0100</v>
      </c>
      <c r="B707" t="s">
        <v>1537</v>
      </c>
      <c r="C707">
        <v>20</v>
      </c>
      <c r="D707" t="s">
        <v>88</v>
      </c>
      <c r="E707">
        <v>57</v>
      </c>
      <c r="F707" t="s">
        <v>1477</v>
      </c>
      <c r="G707">
        <v>409</v>
      </c>
      <c r="H707">
        <v>1</v>
      </c>
      <c r="I707" t="s">
        <v>98</v>
      </c>
      <c r="J707">
        <v>0</v>
      </c>
      <c r="K707">
        <v>1</v>
      </c>
      <c r="L707">
        <v>5</v>
      </c>
      <c r="M707">
        <v>245</v>
      </c>
      <c r="N707">
        <v>444</v>
      </c>
      <c r="O707">
        <v>5</v>
      </c>
      <c r="P707">
        <v>444</v>
      </c>
      <c r="Q707">
        <v>9</v>
      </c>
      <c r="R707">
        <v>21</v>
      </c>
      <c r="S707">
        <v>4</v>
      </c>
      <c r="T707">
        <v>237</v>
      </c>
      <c r="U707">
        <v>1</v>
      </c>
      <c r="V707">
        <v>3</v>
      </c>
      <c r="W707">
        <v>1</v>
      </c>
      <c r="X707">
        <v>6</v>
      </c>
      <c r="Y707">
        <v>112</v>
      </c>
      <c r="Z707">
        <v>3</v>
      </c>
      <c r="AB707">
        <v>4</v>
      </c>
      <c r="AC707">
        <v>0</v>
      </c>
      <c r="AD707">
        <v>0</v>
      </c>
      <c r="AE707">
        <v>0</v>
      </c>
      <c r="AF707">
        <v>0</v>
      </c>
      <c r="AK707">
        <v>3</v>
      </c>
      <c r="AL707">
        <v>1</v>
      </c>
      <c r="AM707">
        <v>0</v>
      </c>
      <c r="AN707">
        <v>0</v>
      </c>
      <c r="AU707">
        <v>0</v>
      </c>
      <c r="AZ707" t="s">
        <v>127</v>
      </c>
      <c r="BC707" t="s">
        <v>127</v>
      </c>
      <c r="BD707">
        <v>19</v>
      </c>
      <c r="BE707" t="s">
        <v>105</v>
      </c>
      <c r="BF707">
        <v>424</v>
      </c>
      <c r="BG707">
        <v>666</v>
      </c>
      <c r="BI707" t="s">
        <v>106</v>
      </c>
      <c r="BJ707">
        <v>1</v>
      </c>
      <c r="BL707" t="s">
        <v>1538</v>
      </c>
      <c r="BM707" s="4">
        <v>43283.36445601852</v>
      </c>
      <c r="BN707" s="4">
        <v>43283.39230324074</v>
      </c>
      <c r="BO707" s="4">
        <v>43283.39230324074</v>
      </c>
      <c r="BP707" t="s">
        <v>92</v>
      </c>
      <c r="BQ707" t="s">
        <v>93</v>
      </c>
      <c r="BR707" t="s">
        <v>94</v>
      </c>
    </row>
    <row r="708" spans="1:70" x14ac:dyDescent="0.3">
      <c r="A708" t="str">
        <f>"200409E0100"</f>
        <v>200409E0100</v>
      </c>
      <c r="B708" s="2" t="s">
        <v>1539</v>
      </c>
      <c r="C708">
        <v>20</v>
      </c>
      <c r="D708" t="s">
        <v>88</v>
      </c>
      <c r="E708">
        <v>57</v>
      </c>
      <c r="F708" t="s">
        <v>1477</v>
      </c>
      <c r="G708">
        <v>409</v>
      </c>
      <c r="H708">
        <v>1</v>
      </c>
      <c r="I708" t="s">
        <v>156</v>
      </c>
      <c r="J708">
        <v>0</v>
      </c>
      <c r="K708">
        <v>2</v>
      </c>
      <c r="L708">
        <v>5</v>
      </c>
      <c r="M708">
        <v>157</v>
      </c>
      <c r="N708">
        <v>229</v>
      </c>
      <c r="O708">
        <v>4</v>
      </c>
      <c r="P708">
        <v>229</v>
      </c>
      <c r="Q708">
        <v>8</v>
      </c>
      <c r="R708">
        <v>52</v>
      </c>
      <c r="S708">
        <v>7</v>
      </c>
      <c r="T708">
        <v>68</v>
      </c>
      <c r="U708">
        <v>5</v>
      </c>
      <c r="V708">
        <v>0</v>
      </c>
      <c r="W708">
        <v>2</v>
      </c>
      <c r="X708">
        <v>2</v>
      </c>
      <c r="Y708">
        <v>55</v>
      </c>
      <c r="Z708">
        <v>5</v>
      </c>
      <c r="AB708">
        <v>6</v>
      </c>
      <c r="AC708">
        <v>0</v>
      </c>
      <c r="AD708">
        <v>0</v>
      </c>
      <c r="AE708">
        <v>0</v>
      </c>
      <c r="AF708">
        <v>0</v>
      </c>
      <c r="AK708">
        <v>4</v>
      </c>
      <c r="AL708">
        <v>1</v>
      </c>
      <c r="AM708">
        <v>0</v>
      </c>
      <c r="AN708">
        <v>0</v>
      </c>
      <c r="AU708">
        <v>0</v>
      </c>
      <c r="AZ708">
        <v>0</v>
      </c>
      <c r="BC708">
        <v>0</v>
      </c>
      <c r="BD708">
        <v>14</v>
      </c>
      <c r="BE708">
        <v>229</v>
      </c>
      <c r="BF708">
        <v>229</v>
      </c>
      <c r="BG708">
        <v>363</v>
      </c>
      <c r="BJ708">
        <v>1</v>
      </c>
      <c r="BL708" s="2" t="s">
        <v>1540</v>
      </c>
      <c r="BM708" s="4">
        <v>43283.365590277775</v>
      </c>
      <c r="BN708" s="4">
        <v>43283.376215277778</v>
      </c>
      <c r="BO708" s="4">
        <v>43283.376215277778</v>
      </c>
      <c r="BP708" t="s">
        <v>92</v>
      </c>
      <c r="BQ708" t="s">
        <v>93</v>
      </c>
      <c r="BR708" t="s">
        <v>94</v>
      </c>
    </row>
    <row r="709" spans="1:70" x14ac:dyDescent="0.3">
      <c r="A709" t="str">
        <f>"200410B0100"</f>
        <v>200410B0100</v>
      </c>
      <c r="B709" t="s">
        <v>1541</v>
      </c>
      <c r="C709">
        <v>20</v>
      </c>
      <c r="D709" t="s">
        <v>88</v>
      </c>
      <c r="E709">
        <v>57</v>
      </c>
      <c r="F709" t="s">
        <v>1477</v>
      </c>
      <c r="G709">
        <v>410</v>
      </c>
      <c r="H709">
        <v>1</v>
      </c>
      <c r="I709" t="s">
        <v>90</v>
      </c>
      <c r="J709">
        <v>0</v>
      </c>
      <c r="K709">
        <v>1</v>
      </c>
      <c r="L709">
        <v>5</v>
      </c>
      <c r="M709">
        <v>250</v>
      </c>
      <c r="N709">
        <v>382</v>
      </c>
      <c r="O709">
        <v>1</v>
      </c>
      <c r="P709">
        <v>382</v>
      </c>
      <c r="Q709">
        <v>8</v>
      </c>
      <c r="R709">
        <v>50</v>
      </c>
      <c r="S709">
        <v>8</v>
      </c>
      <c r="T709">
        <v>98</v>
      </c>
      <c r="U709">
        <v>11</v>
      </c>
      <c r="V709">
        <v>4</v>
      </c>
      <c r="W709">
        <v>0</v>
      </c>
      <c r="X709">
        <v>1</v>
      </c>
      <c r="Y709">
        <v>142</v>
      </c>
      <c r="Z709">
        <v>10</v>
      </c>
      <c r="AB709">
        <v>3</v>
      </c>
      <c r="AC709" t="s">
        <v>105</v>
      </c>
      <c r="AD709" t="s">
        <v>105</v>
      </c>
      <c r="AE709" t="s">
        <v>105</v>
      </c>
      <c r="AF709">
        <v>1</v>
      </c>
      <c r="AK709" t="s">
        <v>105</v>
      </c>
      <c r="AL709">
        <v>13</v>
      </c>
      <c r="AM709">
        <v>1</v>
      </c>
      <c r="AN709" t="s">
        <v>105</v>
      </c>
      <c r="AU709" t="s">
        <v>105</v>
      </c>
      <c r="AZ709">
        <v>16</v>
      </c>
      <c r="BC709" t="s">
        <v>105</v>
      </c>
      <c r="BD709">
        <v>24</v>
      </c>
      <c r="BE709">
        <v>383</v>
      </c>
      <c r="BF709">
        <v>390</v>
      </c>
      <c r="BG709">
        <v>610</v>
      </c>
      <c r="BI709" t="s">
        <v>106</v>
      </c>
      <c r="BJ709">
        <v>1</v>
      </c>
      <c r="BL709" t="s">
        <v>1542</v>
      </c>
      <c r="BM709" s="4">
        <v>43283.363611111112</v>
      </c>
      <c r="BN709" s="4">
        <v>43283.373576388891</v>
      </c>
      <c r="BO709" s="4">
        <v>43283.373576388891</v>
      </c>
      <c r="BP709" t="s">
        <v>92</v>
      </c>
      <c r="BQ709" t="s">
        <v>93</v>
      </c>
      <c r="BR709" t="s">
        <v>94</v>
      </c>
    </row>
    <row r="710" spans="1:70" x14ac:dyDescent="0.3">
      <c r="A710" t="str">
        <f>"200410C0100"</f>
        <v>200410C0100</v>
      </c>
      <c r="B710" t="s">
        <v>1543</v>
      </c>
      <c r="C710">
        <v>20</v>
      </c>
      <c r="D710" t="s">
        <v>88</v>
      </c>
      <c r="E710">
        <v>57</v>
      </c>
      <c r="F710" t="s">
        <v>1477</v>
      </c>
      <c r="G710">
        <v>410</v>
      </c>
      <c r="H710">
        <v>1</v>
      </c>
      <c r="I710" t="s">
        <v>98</v>
      </c>
      <c r="J710">
        <v>0</v>
      </c>
      <c r="K710">
        <v>1</v>
      </c>
      <c r="L710">
        <v>5</v>
      </c>
      <c r="M710">
        <v>260</v>
      </c>
      <c r="N710">
        <v>373</v>
      </c>
      <c r="O710">
        <v>0</v>
      </c>
      <c r="P710">
        <v>375</v>
      </c>
      <c r="Q710">
        <v>11</v>
      </c>
      <c r="R710">
        <v>41</v>
      </c>
      <c r="S710">
        <v>3</v>
      </c>
      <c r="T710">
        <v>108</v>
      </c>
      <c r="U710">
        <v>10</v>
      </c>
      <c r="V710">
        <v>3</v>
      </c>
      <c r="W710">
        <v>0</v>
      </c>
      <c r="X710">
        <v>1</v>
      </c>
      <c r="Y710">
        <v>163</v>
      </c>
      <c r="Z710">
        <v>4</v>
      </c>
      <c r="AB710">
        <v>0</v>
      </c>
      <c r="AC710">
        <v>0</v>
      </c>
      <c r="AD710">
        <v>0</v>
      </c>
      <c r="AE710">
        <v>0</v>
      </c>
      <c r="AF710">
        <v>0</v>
      </c>
      <c r="AK710">
        <v>1</v>
      </c>
      <c r="AL710">
        <v>0</v>
      </c>
      <c r="AM710">
        <v>1</v>
      </c>
      <c r="AN710">
        <v>0</v>
      </c>
      <c r="AU710">
        <v>0</v>
      </c>
      <c r="AZ710">
        <v>14</v>
      </c>
      <c r="BC710">
        <v>0</v>
      </c>
      <c r="BD710">
        <v>15</v>
      </c>
      <c r="BE710">
        <v>375</v>
      </c>
      <c r="BF710">
        <v>375</v>
      </c>
      <c r="BG710">
        <v>610</v>
      </c>
      <c r="BJ710">
        <v>1</v>
      </c>
      <c r="BL710" t="s">
        <v>1544</v>
      </c>
      <c r="BM710" s="4">
        <v>43283.365995370368</v>
      </c>
      <c r="BN710" s="4">
        <v>43283.374837962961</v>
      </c>
      <c r="BO710" s="4">
        <v>43283.374837962961</v>
      </c>
      <c r="BP710" t="s">
        <v>92</v>
      </c>
      <c r="BQ710" t="s">
        <v>93</v>
      </c>
      <c r="BR710" t="s">
        <v>94</v>
      </c>
    </row>
    <row r="711" spans="1:70" x14ac:dyDescent="0.3">
      <c r="A711" t="str">
        <f>"200411B0100"</f>
        <v>200411B0100</v>
      </c>
      <c r="B711" t="s">
        <v>1545</v>
      </c>
      <c r="C711">
        <v>20</v>
      </c>
      <c r="D711" t="s">
        <v>88</v>
      </c>
      <c r="E711">
        <v>57</v>
      </c>
      <c r="F711" t="s">
        <v>1477</v>
      </c>
      <c r="G711">
        <v>411</v>
      </c>
      <c r="H711">
        <v>1</v>
      </c>
      <c r="I711" t="s">
        <v>90</v>
      </c>
      <c r="J711">
        <v>0</v>
      </c>
      <c r="K711">
        <v>2</v>
      </c>
      <c r="L711">
        <v>5</v>
      </c>
      <c r="M711">
        <v>187</v>
      </c>
      <c r="N711">
        <v>277</v>
      </c>
      <c r="O711">
        <v>0</v>
      </c>
      <c r="P711">
        <v>277</v>
      </c>
      <c r="Q711">
        <v>6</v>
      </c>
      <c r="R711">
        <v>28</v>
      </c>
      <c r="S711">
        <v>4</v>
      </c>
      <c r="T711">
        <v>53</v>
      </c>
      <c r="U711">
        <v>4</v>
      </c>
      <c r="V711">
        <v>1</v>
      </c>
      <c r="W711">
        <v>5</v>
      </c>
      <c r="X711">
        <v>2</v>
      </c>
      <c r="Y711">
        <v>113</v>
      </c>
      <c r="Z711">
        <v>2</v>
      </c>
      <c r="AB711">
        <v>0</v>
      </c>
      <c r="AC711">
        <v>0</v>
      </c>
      <c r="AD711">
        <v>0</v>
      </c>
      <c r="AE711">
        <v>0</v>
      </c>
      <c r="AF711">
        <v>0</v>
      </c>
      <c r="AK711">
        <v>1</v>
      </c>
      <c r="AL711">
        <v>0</v>
      </c>
      <c r="AM711">
        <v>0</v>
      </c>
      <c r="AN711">
        <v>1</v>
      </c>
      <c r="AU711">
        <v>0</v>
      </c>
      <c r="AZ711">
        <v>39</v>
      </c>
      <c r="BC711">
        <v>0</v>
      </c>
      <c r="BD711">
        <v>18</v>
      </c>
      <c r="BE711">
        <v>277</v>
      </c>
      <c r="BF711">
        <v>277</v>
      </c>
      <c r="BG711">
        <v>441</v>
      </c>
      <c r="BJ711">
        <v>1</v>
      </c>
      <c r="BL711" t="s">
        <v>1546</v>
      </c>
      <c r="BM711" s="4">
        <v>43283.364050925928</v>
      </c>
      <c r="BN711" s="4">
        <v>43283.374560185184</v>
      </c>
      <c r="BO711" s="4">
        <v>43283.374560185184</v>
      </c>
      <c r="BP711" t="s">
        <v>92</v>
      </c>
      <c r="BQ711" t="s">
        <v>93</v>
      </c>
      <c r="BR711" t="s">
        <v>94</v>
      </c>
    </row>
    <row r="712" spans="1:70" x14ac:dyDescent="0.3">
      <c r="A712" t="str">
        <f>"200411C0100"</f>
        <v>200411C0100</v>
      </c>
      <c r="B712" t="s">
        <v>1547</v>
      </c>
      <c r="C712">
        <v>20</v>
      </c>
      <c r="D712" t="s">
        <v>88</v>
      </c>
      <c r="E712">
        <v>57</v>
      </c>
      <c r="F712" t="s">
        <v>1477</v>
      </c>
      <c r="G712">
        <v>411</v>
      </c>
      <c r="H712">
        <v>1</v>
      </c>
      <c r="I712" t="s">
        <v>98</v>
      </c>
      <c r="J712">
        <v>0</v>
      </c>
      <c r="K712">
        <v>1</v>
      </c>
      <c r="L712">
        <v>5</v>
      </c>
      <c r="M712">
        <v>189</v>
      </c>
      <c r="N712">
        <v>275</v>
      </c>
      <c r="O712">
        <v>0</v>
      </c>
      <c r="P712">
        <v>275</v>
      </c>
      <c r="Q712">
        <v>3</v>
      </c>
      <c r="R712">
        <v>16</v>
      </c>
      <c r="S712">
        <v>1</v>
      </c>
      <c r="T712">
        <v>70</v>
      </c>
      <c r="U712">
        <v>9</v>
      </c>
      <c r="V712">
        <v>4</v>
      </c>
      <c r="W712">
        <v>2</v>
      </c>
      <c r="X712">
        <v>4</v>
      </c>
      <c r="Y712">
        <v>102</v>
      </c>
      <c r="Z712">
        <v>2</v>
      </c>
      <c r="AB712">
        <v>0</v>
      </c>
      <c r="AC712">
        <v>2</v>
      </c>
      <c r="AD712">
        <v>0</v>
      </c>
      <c r="AE712">
        <v>0</v>
      </c>
      <c r="AF712">
        <v>0</v>
      </c>
      <c r="AK712">
        <v>8</v>
      </c>
      <c r="AL712">
        <v>2</v>
      </c>
      <c r="AM712">
        <v>0</v>
      </c>
      <c r="AN712">
        <v>1</v>
      </c>
      <c r="AU712">
        <v>0</v>
      </c>
      <c r="AZ712">
        <v>40</v>
      </c>
      <c r="BC712">
        <v>0</v>
      </c>
      <c r="BD712">
        <v>9</v>
      </c>
      <c r="BE712">
        <v>275</v>
      </c>
      <c r="BF712">
        <v>275</v>
      </c>
      <c r="BG712">
        <v>441</v>
      </c>
      <c r="BJ712">
        <v>1</v>
      </c>
      <c r="BL712" t="s">
        <v>1548</v>
      </c>
      <c r="BM712" s="4">
        <v>43283.365219907406</v>
      </c>
      <c r="BN712" s="4">
        <v>43283.374756944446</v>
      </c>
      <c r="BO712" s="4">
        <v>43283.374756944446</v>
      </c>
      <c r="BP712" t="s">
        <v>92</v>
      </c>
      <c r="BQ712" t="s">
        <v>93</v>
      </c>
      <c r="BR712" t="s">
        <v>94</v>
      </c>
    </row>
    <row r="713" spans="1:70" x14ac:dyDescent="0.3">
      <c r="A713" t="str">
        <f>"200412B0100"</f>
        <v>200412B0100</v>
      </c>
      <c r="B713" t="s">
        <v>1549</v>
      </c>
      <c r="C713">
        <v>20</v>
      </c>
      <c r="D713" t="s">
        <v>88</v>
      </c>
      <c r="E713">
        <v>57</v>
      </c>
      <c r="F713" t="s">
        <v>1477</v>
      </c>
      <c r="G713">
        <v>412</v>
      </c>
      <c r="H713">
        <v>1</v>
      </c>
      <c r="I713" t="s">
        <v>90</v>
      </c>
      <c r="J713">
        <v>0</v>
      </c>
      <c r="K713">
        <v>2</v>
      </c>
      <c r="L713">
        <v>5</v>
      </c>
      <c r="M713">
        <v>195</v>
      </c>
      <c r="N713">
        <v>243</v>
      </c>
      <c r="O713">
        <v>2</v>
      </c>
      <c r="P713">
        <v>243</v>
      </c>
      <c r="Q713">
        <v>16</v>
      </c>
      <c r="R713">
        <v>30</v>
      </c>
      <c r="S713">
        <v>4</v>
      </c>
      <c r="T713">
        <v>36</v>
      </c>
      <c r="U713">
        <v>5</v>
      </c>
      <c r="V713">
        <v>4</v>
      </c>
      <c r="W713">
        <v>29</v>
      </c>
      <c r="X713">
        <v>1</v>
      </c>
      <c r="Y713">
        <v>96</v>
      </c>
      <c r="Z713">
        <v>2</v>
      </c>
      <c r="AB713" t="s">
        <v>105</v>
      </c>
      <c r="AC713">
        <v>3</v>
      </c>
      <c r="AD713">
        <v>0</v>
      </c>
      <c r="AE713">
        <v>0</v>
      </c>
      <c r="AF713">
        <v>0</v>
      </c>
      <c r="AK713">
        <v>1</v>
      </c>
      <c r="AL713">
        <v>1</v>
      </c>
      <c r="AM713">
        <v>1</v>
      </c>
      <c r="AN713">
        <v>1</v>
      </c>
      <c r="AU713">
        <v>0</v>
      </c>
      <c r="AZ713">
        <v>1</v>
      </c>
      <c r="BC713">
        <v>1</v>
      </c>
      <c r="BD713">
        <v>12</v>
      </c>
      <c r="BE713">
        <v>243</v>
      </c>
      <c r="BF713">
        <v>244</v>
      </c>
      <c r="BG713">
        <v>415</v>
      </c>
      <c r="BI713" t="s">
        <v>106</v>
      </c>
      <c r="BJ713">
        <v>1</v>
      </c>
      <c r="BL713" t="s">
        <v>1550</v>
      </c>
      <c r="BM713" s="4">
        <v>43283.46503472222</v>
      </c>
      <c r="BN713" s="4">
        <v>43283.468287037038</v>
      </c>
      <c r="BO713" s="4">
        <v>43283.468287037038</v>
      </c>
      <c r="BP713" t="s">
        <v>92</v>
      </c>
      <c r="BQ713" t="s">
        <v>93</v>
      </c>
      <c r="BR713" t="s">
        <v>94</v>
      </c>
    </row>
    <row r="714" spans="1:70" x14ac:dyDescent="0.3">
      <c r="A714" t="str">
        <f>"200412C0100"</f>
        <v>200412C0100</v>
      </c>
      <c r="B714" t="s">
        <v>1551</v>
      </c>
      <c r="C714">
        <v>20</v>
      </c>
      <c r="D714" t="s">
        <v>88</v>
      </c>
      <c r="E714">
        <v>57</v>
      </c>
      <c r="F714" t="s">
        <v>1477</v>
      </c>
      <c r="G714">
        <v>412</v>
      </c>
      <c r="H714">
        <v>1</v>
      </c>
      <c r="I714" t="s">
        <v>98</v>
      </c>
      <c r="J714">
        <v>0</v>
      </c>
      <c r="K714">
        <v>2</v>
      </c>
      <c r="L714">
        <v>5</v>
      </c>
      <c r="M714" t="s">
        <v>127</v>
      </c>
      <c r="N714" t="s">
        <v>127</v>
      </c>
      <c r="O714" t="s">
        <v>127</v>
      </c>
      <c r="P714" t="s">
        <v>105</v>
      </c>
      <c r="Q714">
        <v>14</v>
      </c>
      <c r="R714">
        <v>46</v>
      </c>
      <c r="S714">
        <v>3</v>
      </c>
      <c r="T714">
        <v>49</v>
      </c>
      <c r="U714">
        <v>2</v>
      </c>
      <c r="V714">
        <v>6</v>
      </c>
      <c r="W714">
        <v>1</v>
      </c>
      <c r="X714">
        <v>17</v>
      </c>
      <c r="Y714">
        <v>99</v>
      </c>
      <c r="Z714">
        <v>4</v>
      </c>
      <c r="AB714">
        <v>2</v>
      </c>
      <c r="AC714">
        <v>2</v>
      </c>
      <c r="AD714">
        <v>1</v>
      </c>
      <c r="AE714">
        <v>1</v>
      </c>
      <c r="AF714" t="s">
        <v>105</v>
      </c>
      <c r="AK714">
        <v>1</v>
      </c>
      <c r="AL714" t="s">
        <v>105</v>
      </c>
      <c r="AM714" t="s">
        <v>105</v>
      </c>
      <c r="AN714" t="s">
        <v>105</v>
      </c>
      <c r="AU714" t="s">
        <v>105</v>
      </c>
      <c r="AZ714" t="s">
        <v>105</v>
      </c>
      <c r="BC714" t="s">
        <v>105</v>
      </c>
      <c r="BD714">
        <v>11</v>
      </c>
      <c r="BE714">
        <v>264</v>
      </c>
      <c r="BF714">
        <v>259</v>
      </c>
      <c r="BG714">
        <v>414</v>
      </c>
      <c r="BI714" t="s">
        <v>106</v>
      </c>
      <c r="BJ714">
        <v>1</v>
      </c>
      <c r="BL714" t="s">
        <v>1552</v>
      </c>
      <c r="BM714" s="4">
        <v>43283.465740740743</v>
      </c>
      <c r="BN714" s="4">
        <v>43283.483865740738</v>
      </c>
      <c r="BO714" s="4">
        <v>43283.483865740738</v>
      </c>
      <c r="BP714" t="s">
        <v>92</v>
      </c>
      <c r="BQ714" t="s">
        <v>93</v>
      </c>
      <c r="BR714" t="s">
        <v>94</v>
      </c>
    </row>
    <row r="715" spans="1:70" x14ac:dyDescent="0.3">
      <c r="A715" t="str">
        <f>"200412E0100"</f>
        <v>200412E0100</v>
      </c>
      <c r="B715" s="2" t="s">
        <v>1553</v>
      </c>
      <c r="C715">
        <v>20</v>
      </c>
      <c r="D715" t="s">
        <v>88</v>
      </c>
      <c r="E715">
        <v>57</v>
      </c>
      <c r="F715" t="s">
        <v>1477</v>
      </c>
      <c r="G715">
        <v>412</v>
      </c>
      <c r="H715">
        <v>1</v>
      </c>
      <c r="I715" t="s">
        <v>156</v>
      </c>
      <c r="J715">
        <v>0</v>
      </c>
      <c r="K715">
        <v>2</v>
      </c>
      <c r="L715">
        <v>5</v>
      </c>
      <c r="M715">
        <v>117</v>
      </c>
      <c r="N715">
        <v>189</v>
      </c>
      <c r="O715">
        <v>1</v>
      </c>
      <c r="P715" t="s">
        <v>105</v>
      </c>
      <c r="Q715">
        <v>8</v>
      </c>
      <c r="R715">
        <v>27</v>
      </c>
      <c r="S715">
        <v>1</v>
      </c>
      <c r="T715">
        <v>98</v>
      </c>
      <c r="U715">
        <v>2</v>
      </c>
      <c r="V715">
        <v>6</v>
      </c>
      <c r="W715" t="s">
        <v>105</v>
      </c>
      <c r="X715" t="s">
        <v>105</v>
      </c>
      <c r="Y715">
        <v>26</v>
      </c>
      <c r="Z715">
        <v>1</v>
      </c>
      <c r="AB715" t="s">
        <v>105</v>
      </c>
      <c r="AC715" t="s">
        <v>105</v>
      </c>
      <c r="AD715" t="s">
        <v>105</v>
      </c>
      <c r="AE715" t="s">
        <v>105</v>
      </c>
      <c r="AF715" t="s">
        <v>105</v>
      </c>
      <c r="AK715" t="s">
        <v>105</v>
      </c>
      <c r="AL715" t="s">
        <v>105</v>
      </c>
      <c r="AM715" t="s">
        <v>105</v>
      </c>
      <c r="AN715" t="s">
        <v>105</v>
      </c>
      <c r="AU715" t="s">
        <v>105</v>
      </c>
      <c r="AZ715">
        <v>6</v>
      </c>
      <c r="BC715" t="s">
        <v>105</v>
      </c>
      <c r="BD715">
        <v>13</v>
      </c>
      <c r="BE715">
        <v>189</v>
      </c>
      <c r="BF715">
        <v>188</v>
      </c>
      <c r="BG715">
        <v>283</v>
      </c>
      <c r="BI715" t="s">
        <v>106</v>
      </c>
      <c r="BJ715">
        <v>1</v>
      </c>
      <c r="BL715" t="s">
        <v>1554</v>
      </c>
      <c r="BM715" s="4">
        <v>43283.466643518521</v>
      </c>
      <c r="BN715" s="4">
        <v>43283.473935185182</v>
      </c>
      <c r="BO715" s="4">
        <v>43283.473935185182</v>
      </c>
      <c r="BP715" t="s">
        <v>92</v>
      </c>
      <c r="BQ715" t="s">
        <v>93</v>
      </c>
      <c r="BR715" t="s">
        <v>94</v>
      </c>
    </row>
    <row r="716" spans="1:70" x14ac:dyDescent="0.3">
      <c r="A716" t="str">
        <f>"200413B0100"</f>
        <v>200413B0100</v>
      </c>
      <c r="B716" t="s">
        <v>1555</v>
      </c>
      <c r="C716">
        <v>20</v>
      </c>
      <c r="D716" t="s">
        <v>88</v>
      </c>
      <c r="E716">
        <v>57</v>
      </c>
      <c r="F716" t="s">
        <v>1477</v>
      </c>
      <c r="G716">
        <v>413</v>
      </c>
      <c r="H716">
        <v>1</v>
      </c>
      <c r="I716" t="s">
        <v>90</v>
      </c>
      <c r="J716">
        <v>0</v>
      </c>
      <c r="K716">
        <v>2</v>
      </c>
      <c r="L716">
        <v>5</v>
      </c>
      <c r="M716">
        <v>169</v>
      </c>
      <c r="N716">
        <v>317</v>
      </c>
      <c r="O716">
        <v>4</v>
      </c>
      <c r="P716">
        <v>317</v>
      </c>
      <c r="Q716">
        <v>21</v>
      </c>
      <c r="R716">
        <v>55</v>
      </c>
      <c r="S716">
        <v>8</v>
      </c>
      <c r="T716">
        <v>49</v>
      </c>
      <c r="U716">
        <v>8</v>
      </c>
      <c r="V716">
        <v>3</v>
      </c>
      <c r="W716">
        <v>0</v>
      </c>
      <c r="X716">
        <v>5</v>
      </c>
      <c r="Y716">
        <v>123</v>
      </c>
      <c r="Z716">
        <v>5</v>
      </c>
      <c r="AB716">
        <v>0</v>
      </c>
      <c r="AC716">
        <v>1</v>
      </c>
      <c r="AD716">
        <v>0</v>
      </c>
      <c r="AE716">
        <v>2</v>
      </c>
      <c r="AF716">
        <v>0</v>
      </c>
      <c r="AK716">
        <v>4</v>
      </c>
      <c r="AL716">
        <v>0</v>
      </c>
      <c r="AM716">
        <v>0</v>
      </c>
      <c r="AN716">
        <v>0</v>
      </c>
      <c r="AU716">
        <v>0</v>
      </c>
      <c r="AZ716">
        <v>21</v>
      </c>
      <c r="BC716">
        <v>21</v>
      </c>
      <c r="BD716">
        <v>12</v>
      </c>
      <c r="BE716">
        <v>317</v>
      </c>
      <c r="BF716">
        <v>338</v>
      </c>
      <c r="BG716">
        <v>463</v>
      </c>
      <c r="BJ716">
        <v>1</v>
      </c>
      <c r="BL716" t="s">
        <v>1556</v>
      </c>
      <c r="BM716" s="4">
        <v>43283.467488425929</v>
      </c>
      <c r="BN716" s="4">
        <v>43283.471631944441</v>
      </c>
      <c r="BO716" s="4">
        <v>43283.471631944441</v>
      </c>
      <c r="BP716" t="s">
        <v>92</v>
      </c>
      <c r="BQ716" t="s">
        <v>93</v>
      </c>
      <c r="BR716" t="s">
        <v>94</v>
      </c>
    </row>
    <row r="717" spans="1:70" x14ac:dyDescent="0.3">
      <c r="A717" t="str">
        <f>"200414B0100"</f>
        <v>200414B0100</v>
      </c>
      <c r="B717" t="s">
        <v>1557</v>
      </c>
      <c r="C717">
        <v>20</v>
      </c>
      <c r="D717" t="s">
        <v>88</v>
      </c>
      <c r="E717">
        <v>57</v>
      </c>
      <c r="F717" t="s">
        <v>1477</v>
      </c>
      <c r="G717">
        <v>414</v>
      </c>
      <c r="H717">
        <v>1</v>
      </c>
      <c r="I717" t="s">
        <v>90</v>
      </c>
      <c r="J717">
        <v>0</v>
      </c>
      <c r="K717">
        <v>2</v>
      </c>
      <c r="L717">
        <v>5</v>
      </c>
      <c r="M717">
        <v>175</v>
      </c>
      <c r="N717">
        <v>247</v>
      </c>
      <c r="O717">
        <v>1</v>
      </c>
      <c r="P717">
        <v>247</v>
      </c>
      <c r="Q717">
        <v>15</v>
      </c>
      <c r="R717">
        <v>6</v>
      </c>
      <c r="S717">
        <v>5</v>
      </c>
      <c r="T717">
        <v>68</v>
      </c>
      <c r="U717">
        <v>9</v>
      </c>
      <c r="V717">
        <v>5</v>
      </c>
      <c r="W717">
        <v>2</v>
      </c>
      <c r="X717">
        <v>3</v>
      </c>
      <c r="Y717">
        <v>86</v>
      </c>
      <c r="Z717">
        <v>5</v>
      </c>
      <c r="AB717">
        <v>1</v>
      </c>
      <c r="AC717">
        <v>0</v>
      </c>
      <c r="AD717">
        <v>0</v>
      </c>
      <c r="AE717">
        <v>1</v>
      </c>
      <c r="AF717">
        <v>0</v>
      </c>
      <c r="AK717">
        <v>0</v>
      </c>
      <c r="AL717">
        <v>0</v>
      </c>
      <c r="AM717">
        <v>0</v>
      </c>
      <c r="AN717">
        <v>1</v>
      </c>
      <c r="AU717">
        <v>0</v>
      </c>
      <c r="AZ717">
        <v>27</v>
      </c>
      <c r="BC717">
        <v>0</v>
      </c>
      <c r="BD717">
        <v>13</v>
      </c>
      <c r="BE717">
        <v>247</v>
      </c>
      <c r="BF717">
        <v>247</v>
      </c>
      <c r="BG717">
        <v>399</v>
      </c>
      <c r="BJ717">
        <v>1</v>
      </c>
      <c r="BL717" t="s">
        <v>1558</v>
      </c>
      <c r="BM717" s="4">
        <v>43283.331064814818</v>
      </c>
      <c r="BN717" s="4">
        <v>43283.349918981483</v>
      </c>
      <c r="BO717" s="4">
        <v>43283.349918981483</v>
      </c>
      <c r="BP717" t="s">
        <v>92</v>
      </c>
      <c r="BQ717" t="s">
        <v>93</v>
      </c>
      <c r="BR717" t="s">
        <v>94</v>
      </c>
    </row>
    <row r="718" spans="1:70" x14ac:dyDescent="0.3">
      <c r="A718" t="str">
        <f>"200414C0100"</f>
        <v>200414C0100</v>
      </c>
      <c r="B718" t="s">
        <v>1559</v>
      </c>
      <c r="C718">
        <v>20</v>
      </c>
      <c r="D718" t="s">
        <v>88</v>
      </c>
      <c r="E718">
        <v>57</v>
      </c>
      <c r="F718" t="s">
        <v>1477</v>
      </c>
      <c r="G718">
        <v>414</v>
      </c>
      <c r="H718">
        <v>1</v>
      </c>
      <c r="I718" t="s">
        <v>98</v>
      </c>
      <c r="J718">
        <v>0</v>
      </c>
      <c r="K718">
        <v>2</v>
      </c>
      <c r="L718">
        <v>5</v>
      </c>
      <c r="M718">
        <v>175</v>
      </c>
      <c r="N718">
        <v>246</v>
      </c>
      <c r="O718">
        <v>2</v>
      </c>
      <c r="P718">
        <v>246</v>
      </c>
      <c r="Q718">
        <v>13</v>
      </c>
      <c r="R718">
        <v>6</v>
      </c>
      <c r="S718">
        <v>3</v>
      </c>
      <c r="T718">
        <v>93</v>
      </c>
      <c r="U718">
        <v>12</v>
      </c>
      <c r="V718">
        <v>4</v>
      </c>
      <c r="W718">
        <v>1</v>
      </c>
      <c r="X718">
        <v>4</v>
      </c>
      <c r="Y718">
        <v>78</v>
      </c>
      <c r="Z718">
        <v>3</v>
      </c>
      <c r="AB718">
        <v>0</v>
      </c>
      <c r="AC718">
        <v>0</v>
      </c>
      <c r="AD718">
        <v>0</v>
      </c>
      <c r="AE718">
        <v>0</v>
      </c>
      <c r="AF718">
        <v>0</v>
      </c>
      <c r="AK718">
        <v>1</v>
      </c>
      <c r="AL718">
        <v>1</v>
      </c>
      <c r="AM718">
        <v>0</v>
      </c>
      <c r="AN718">
        <v>0</v>
      </c>
      <c r="AU718">
        <v>0</v>
      </c>
      <c r="AZ718">
        <v>11</v>
      </c>
      <c r="BC718">
        <v>0</v>
      </c>
      <c r="BD718">
        <v>16</v>
      </c>
      <c r="BE718">
        <v>246</v>
      </c>
      <c r="BF718">
        <v>246</v>
      </c>
      <c r="BG718">
        <v>398</v>
      </c>
      <c r="BJ718">
        <v>1</v>
      </c>
      <c r="BL718" t="s">
        <v>1560</v>
      </c>
      <c r="BM718" s="4">
        <v>43283.330520833333</v>
      </c>
      <c r="BN718" s="4">
        <v>43283.352361111109</v>
      </c>
      <c r="BO718" s="4">
        <v>43283.352361111109</v>
      </c>
      <c r="BP718" t="s">
        <v>92</v>
      </c>
      <c r="BQ718" t="s">
        <v>93</v>
      </c>
      <c r="BR718" t="s">
        <v>94</v>
      </c>
    </row>
    <row r="719" spans="1:70" x14ac:dyDescent="0.3">
      <c r="A719" t="str">
        <f>"200414E0100"</f>
        <v>200414E0100</v>
      </c>
      <c r="B719" s="2" t="s">
        <v>1561</v>
      </c>
      <c r="C719">
        <v>20</v>
      </c>
      <c r="D719" t="s">
        <v>88</v>
      </c>
      <c r="E719">
        <v>57</v>
      </c>
      <c r="F719" t="s">
        <v>1477</v>
      </c>
      <c r="G719">
        <v>414</v>
      </c>
      <c r="H719">
        <v>1</v>
      </c>
      <c r="I719" t="s">
        <v>156</v>
      </c>
      <c r="J719">
        <v>0</v>
      </c>
      <c r="K719">
        <v>2</v>
      </c>
      <c r="L719">
        <v>5</v>
      </c>
      <c r="M719">
        <v>65</v>
      </c>
      <c r="N719">
        <v>87</v>
      </c>
      <c r="O719">
        <v>1</v>
      </c>
      <c r="P719">
        <v>87</v>
      </c>
      <c r="Q719">
        <v>3</v>
      </c>
      <c r="R719">
        <v>25</v>
      </c>
      <c r="S719">
        <v>2</v>
      </c>
      <c r="T719">
        <v>20</v>
      </c>
      <c r="U719">
        <v>0</v>
      </c>
      <c r="V719">
        <v>0</v>
      </c>
      <c r="W719">
        <v>0</v>
      </c>
      <c r="X719">
        <v>0</v>
      </c>
      <c r="Y719">
        <v>35</v>
      </c>
      <c r="Z719">
        <v>1</v>
      </c>
      <c r="AB719">
        <v>0</v>
      </c>
      <c r="AC719">
        <v>0</v>
      </c>
      <c r="AD719">
        <v>0</v>
      </c>
      <c r="AE719">
        <v>0</v>
      </c>
      <c r="AF719">
        <v>0</v>
      </c>
      <c r="AK719">
        <v>0</v>
      </c>
      <c r="AL719">
        <v>0</v>
      </c>
      <c r="AM719">
        <v>0</v>
      </c>
      <c r="AN719">
        <v>0</v>
      </c>
      <c r="AU719">
        <v>0</v>
      </c>
      <c r="AZ719">
        <v>0</v>
      </c>
      <c r="BC719">
        <v>0</v>
      </c>
      <c r="BD719">
        <v>1</v>
      </c>
      <c r="BE719">
        <v>87</v>
      </c>
      <c r="BF719">
        <v>87</v>
      </c>
      <c r="BG719">
        <v>129</v>
      </c>
      <c r="BJ719">
        <v>1</v>
      </c>
      <c r="BL719" t="s">
        <v>1562</v>
      </c>
      <c r="BM719" s="4">
        <v>43283.331666666665</v>
      </c>
      <c r="BN719" s="4">
        <v>43283.349062499998</v>
      </c>
      <c r="BO719" s="4">
        <v>43283.349062499998</v>
      </c>
      <c r="BP719" t="s">
        <v>92</v>
      </c>
      <c r="BQ719" t="s">
        <v>93</v>
      </c>
      <c r="BR719" t="s">
        <v>94</v>
      </c>
    </row>
    <row r="720" spans="1:70" x14ac:dyDescent="0.3">
      <c r="A720" t="str">
        <f>"200415B0100"</f>
        <v>200415B0100</v>
      </c>
      <c r="B720" t="s">
        <v>1563</v>
      </c>
      <c r="C720">
        <v>20</v>
      </c>
      <c r="D720" t="s">
        <v>88</v>
      </c>
      <c r="E720">
        <v>57</v>
      </c>
      <c r="F720" t="s">
        <v>1477</v>
      </c>
      <c r="G720">
        <v>415</v>
      </c>
      <c r="H720">
        <v>1</v>
      </c>
      <c r="I720" t="s">
        <v>90</v>
      </c>
      <c r="J720">
        <v>0</v>
      </c>
      <c r="K720">
        <v>2</v>
      </c>
      <c r="L720">
        <v>5</v>
      </c>
      <c r="M720">
        <v>248</v>
      </c>
      <c r="N720">
        <v>355</v>
      </c>
      <c r="O720">
        <v>1</v>
      </c>
      <c r="P720">
        <v>355</v>
      </c>
      <c r="Q720">
        <v>18</v>
      </c>
      <c r="R720">
        <v>53</v>
      </c>
      <c r="S720">
        <v>3</v>
      </c>
      <c r="T720">
        <v>101</v>
      </c>
      <c r="U720">
        <v>9</v>
      </c>
      <c r="V720">
        <v>5</v>
      </c>
      <c r="W720">
        <v>2</v>
      </c>
      <c r="X720">
        <v>0</v>
      </c>
      <c r="Y720">
        <v>135</v>
      </c>
      <c r="Z720">
        <v>5</v>
      </c>
      <c r="AB720">
        <v>0</v>
      </c>
      <c r="AC720">
        <v>0</v>
      </c>
      <c r="AD720">
        <v>0</v>
      </c>
      <c r="AE720">
        <v>0</v>
      </c>
      <c r="AF720">
        <v>0</v>
      </c>
      <c r="AK720">
        <v>0</v>
      </c>
      <c r="AL720">
        <v>1</v>
      </c>
      <c r="AM720">
        <v>0</v>
      </c>
      <c r="AN720">
        <v>1</v>
      </c>
      <c r="AU720">
        <v>0</v>
      </c>
      <c r="AZ720">
        <v>10</v>
      </c>
      <c r="BC720">
        <v>0</v>
      </c>
      <c r="BD720">
        <v>12</v>
      </c>
      <c r="BE720">
        <v>355</v>
      </c>
      <c r="BF720">
        <v>355</v>
      </c>
      <c r="BG720">
        <v>580</v>
      </c>
      <c r="BJ720">
        <v>1</v>
      </c>
      <c r="BL720" t="s">
        <v>1564</v>
      </c>
      <c r="BM720" s="4">
        <v>43283.332118055558</v>
      </c>
      <c r="BN720" s="4">
        <v>43283.350682870368</v>
      </c>
      <c r="BO720" s="4">
        <v>43283.350682870368</v>
      </c>
      <c r="BP720" t="s">
        <v>92</v>
      </c>
      <c r="BQ720" t="s">
        <v>93</v>
      </c>
      <c r="BR720" t="s">
        <v>94</v>
      </c>
    </row>
    <row r="721" spans="1:70" x14ac:dyDescent="0.3">
      <c r="A721" t="str">
        <f>"200415C0100"</f>
        <v>200415C0100</v>
      </c>
      <c r="B721" t="s">
        <v>1565</v>
      </c>
      <c r="C721">
        <v>20</v>
      </c>
      <c r="D721" t="s">
        <v>88</v>
      </c>
      <c r="E721">
        <v>57</v>
      </c>
      <c r="F721" t="s">
        <v>1477</v>
      </c>
      <c r="G721">
        <v>415</v>
      </c>
      <c r="H721">
        <v>1</v>
      </c>
      <c r="I721" t="s">
        <v>98</v>
      </c>
      <c r="J721">
        <v>0</v>
      </c>
      <c r="K721">
        <v>2</v>
      </c>
      <c r="L721">
        <v>5</v>
      </c>
      <c r="M721">
        <v>283</v>
      </c>
      <c r="N721">
        <v>327</v>
      </c>
      <c r="O721">
        <v>0</v>
      </c>
      <c r="P721" t="s">
        <v>105</v>
      </c>
      <c r="Q721">
        <v>16</v>
      </c>
      <c r="R721">
        <v>52</v>
      </c>
      <c r="S721">
        <v>0</v>
      </c>
      <c r="T721">
        <v>88</v>
      </c>
      <c r="U721">
        <v>13</v>
      </c>
      <c r="V721">
        <v>5</v>
      </c>
      <c r="W721">
        <v>1</v>
      </c>
      <c r="X721">
        <v>4</v>
      </c>
      <c r="Y721">
        <v>108</v>
      </c>
      <c r="Z721">
        <v>1</v>
      </c>
      <c r="AB721">
        <v>1</v>
      </c>
      <c r="AC721">
        <v>1</v>
      </c>
      <c r="AD721">
        <v>0</v>
      </c>
      <c r="AE721">
        <v>0</v>
      </c>
      <c r="AF721">
        <v>0</v>
      </c>
      <c r="AK721">
        <v>2</v>
      </c>
      <c r="AL721">
        <v>3</v>
      </c>
      <c r="AM721">
        <v>0</v>
      </c>
      <c r="AN721">
        <v>0</v>
      </c>
      <c r="AU721">
        <v>0</v>
      </c>
      <c r="AZ721">
        <v>15</v>
      </c>
      <c r="BC721">
        <v>0</v>
      </c>
      <c r="BD721">
        <v>16</v>
      </c>
      <c r="BE721">
        <v>326</v>
      </c>
      <c r="BF721">
        <v>326</v>
      </c>
      <c r="BG721">
        <v>580</v>
      </c>
      <c r="BJ721">
        <v>1</v>
      </c>
      <c r="BL721" s="2" t="s">
        <v>1566</v>
      </c>
      <c r="BM721" s="4">
        <v>43283.333495370367</v>
      </c>
      <c r="BN721" s="4">
        <v>43283.350694444445</v>
      </c>
      <c r="BO721" s="4">
        <v>43283.350694444445</v>
      </c>
      <c r="BP721" t="s">
        <v>92</v>
      </c>
      <c r="BQ721" t="s">
        <v>93</v>
      </c>
      <c r="BR721" t="s">
        <v>94</v>
      </c>
    </row>
    <row r="722" spans="1:70" x14ac:dyDescent="0.3">
      <c r="A722" t="str">
        <f>"200415C0200"</f>
        <v>200415C0200</v>
      </c>
      <c r="B722" t="s">
        <v>1567</v>
      </c>
      <c r="C722">
        <v>20</v>
      </c>
      <c r="D722" t="s">
        <v>88</v>
      </c>
      <c r="E722">
        <v>57</v>
      </c>
      <c r="F722" t="s">
        <v>1477</v>
      </c>
      <c r="G722">
        <v>415</v>
      </c>
      <c r="H722">
        <v>2</v>
      </c>
      <c r="I722" t="s">
        <v>98</v>
      </c>
      <c r="J722">
        <v>0</v>
      </c>
      <c r="K722">
        <v>2</v>
      </c>
      <c r="L722">
        <v>5</v>
      </c>
      <c r="M722" t="s">
        <v>127</v>
      </c>
      <c r="N722" t="s">
        <v>127</v>
      </c>
      <c r="O722" t="s">
        <v>127</v>
      </c>
      <c r="P722" t="s">
        <v>127</v>
      </c>
      <c r="Q722">
        <v>20</v>
      </c>
      <c r="R722">
        <v>63</v>
      </c>
      <c r="S722">
        <v>5</v>
      </c>
      <c r="T722">
        <v>92</v>
      </c>
      <c r="U722">
        <v>12</v>
      </c>
      <c r="V722">
        <v>3</v>
      </c>
      <c r="W722">
        <v>0</v>
      </c>
      <c r="X722">
        <v>1</v>
      </c>
      <c r="Y722">
        <v>123</v>
      </c>
      <c r="Z722">
        <v>2</v>
      </c>
      <c r="AB722">
        <v>0</v>
      </c>
      <c r="AC722">
        <v>1</v>
      </c>
      <c r="AD722">
        <v>0</v>
      </c>
      <c r="AE722">
        <v>0</v>
      </c>
      <c r="AF722">
        <v>1</v>
      </c>
      <c r="AK722">
        <v>1</v>
      </c>
      <c r="AL722">
        <v>0</v>
      </c>
      <c r="AM722">
        <v>0</v>
      </c>
      <c r="AN722">
        <v>0</v>
      </c>
      <c r="AU722">
        <v>0</v>
      </c>
      <c r="AZ722">
        <v>10</v>
      </c>
      <c r="BC722">
        <v>2</v>
      </c>
      <c r="BD722">
        <v>17</v>
      </c>
      <c r="BE722">
        <v>359</v>
      </c>
      <c r="BF722">
        <v>353</v>
      </c>
      <c r="BG722">
        <v>579</v>
      </c>
      <c r="BJ722">
        <v>1</v>
      </c>
      <c r="BL722" t="s">
        <v>1568</v>
      </c>
      <c r="BM722" s="4">
        <v>43283.332546296297</v>
      </c>
      <c r="BN722" s="4">
        <v>43283.353506944448</v>
      </c>
      <c r="BO722" s="4">
        <v>43283.353506944448</v>
      </c>
      <c r="BP722" t="s">
        <v>92</v>
      </c>
      <c r="BQ722" t="s">
        <v>93</v>
      </c>
      <c r="BR722" t="s">
        <v>94</v>
      </c>
    </row>
    <row r="723" spans="1:70" x14ac:dyDescent="0.3">
      <c r="A723" t="str">
        <f>"200416B0100"</f>
        <v>200416B0100</v>
      </c>
      <c r="B723" t="s">
        <v>1569</v>
      </c>
      <c r="C723">
        <v>20</v>
      </c>
      <c r="D723" t="s">
        <v>88</v>
      </c>
      <c r="E723">
        <v>57</v>
      </c>
      <c r="F723" t="s">
        <v>1477</v>
      </c>
      <c r="G723">
        <v>416</v>
      </c>
      <c r="H723">
        <v>1</v>
      </c>
      <c r="I723" t="s">
        <v>90</v>
      </c>
      <c r="J723">
        <v>0</v>
      </c>
      <c r="K723">
        <v>2</v>
      </c>
      <c r="L723">
        <v>5</v>
      </c>
      <c r="M723">
        <v>135</v>
      </c>
      <c r="N723">
        <v>310</v>
      </c>
      <c r="O723">
        <v>1</v>
      </c>
      <c r="P723">
        <v>310</v>
      </c>
      <c r="Q723">
        <v>2</v>
      </c>
      <c r="R723">
        <v>9</v>
      </c>
      <c r="S723">
        <v>0</v>
      </c>
      <c r="T723">
        <v>154</v>
      </c>
      <c r="U723">
        <v>1</v>
      </c>
      <c r="V723">
        <v>4</v>
      </c>
      <c r="W723">
        <v>0</v>
      </c>
      <c r="X723">
        <v>2</v>
      </c>
      <c r="Y723">
        <v>19</v>
      </c>
      <c r="Z723">
        <v>2</v>
      </c>
      <c r="AB723">
        <v>1</v>
      </c>
      <c r="AC723">
        <v>0</v>
      </c>
      <c r="AD723">
        <v>0</v>
      </c>
      <c r="AE723">
        <v>0</v>
      </c>
      <c r="AF723">
        <v>0</v>
      </c>
      <c r="AK723">
        <v>3</v>
      </c>
      <c r="AL723">
        <v>1</v>
      </c>
      <c r="AM723">
        <v>0</v>
      </c>
      <c r="AN723">
        <v>0</v>
      </c>
      <c r="AU723">
        <v>0</v>
      </c>
      <c r="AZ723">
        <v>78</v>
      </c>
      <c r="BC723">
        <v>0</v>
      </c>
      <c r="BD723">
        <v>34</v>
      </c>
      <c r="BE723">
        <v>310</v>
      </c>
      <c r="BF723">
        <v>310</v>
      </c>
      <c r="BG723">
        <v>422</v>
      </c>
      <c r="BJ723">
        <v>1</v>
      </c>
      <c r="BL723" t="s">
        <v>1570</v>
      </c>
      <c r="BM723" s="4">
        <v>43283.666504629633</v>
      </c>
      <c r="BN723" s="4">
        <v>43283.669571759259</v>
      </c>
      <c r="BO723" s="4">
        <v>43283.669571759259</v>
      </c>
      <c r="BP723" t="s">
        <v>92</v>
      </c>
      <c r="BQ723" t="s">
        <v>93</v>
      </c>
      <c r="BR723" t="s">
        <v>94</v>
      </c>
    </row>
    <row r="724" spans="1:70" x14ac:dyDescent="0.3">
      <c r="A724" t="str">
        <f>"200416E0100"</f>
        <v>200416E0100</v>
      </c>
      <c r="B724" s="2" t="s">
        <v>1571</v>
      </c>
      <c r="C724">
        <v>20</v>
      </c>
      <c r="D724" t="s">
        <v>88</v>
      </c>
      <c r="E724">
        <v>57</v>
      </c>
      <c r="F724" t="s">
        <v>1477</v>
      </c>
      <c r="G724">
        <v>416</v>
      </c>
      <c r="H724">
        <v>1</v>
      </c>
      <c r="I724" t="s">
        <v>156</v>
      </c>
      <c r="J724">
        <v>0</v>
      </c>
      <c r="K724">
        <v>2</v>
      </c>
      <c r="L724">
        <v>5</v>
      </c>
      <c r="M724">
        <v>72</v>
      </c>
      <c r="N724">
        <v>126</v>
      </c>
      <c r="O724">
        <v>4</v>
      </c>
      <c r="P724">
        <v>126</v>
      </c>
      <c r="Q724">
        <v>19</v>
      </c>
      <c r="R724">
        <v>11</v>
      </c>
      <c r="S724">
        <v>0</v>
      </c>
      <c r="T724">
        <v>34</v>
      </c>
      <c r="U724">
        <v>3</v>
      </c>
      <c r="V724">
        <v>3</v>
      </c>
      <c r="W724">
        <v>4</v>
      </c>
      <c r="X724">
        <v>3</v>
      </c>
      <c r="Y724">
        <v>29</v>
      </c>
      <c r="Z724">
        <v>3</v>
      </c>
      <c r="AB724">
        <v>0</v>
      </c>
      <c r="AC724">
        <v>0</v>
      </c>
      <c r="AD724">
        <v>1</v>
      </c>
      <c r="AE724">
        <v>0</v>
      </c>
      <c r="AF724">
        <v>0</v>
      </c>
      <c r="AK724">
        <v>0</v>
      </c>
      <c r="AL724">
        <v>0</v>
      </c>
      <c r="AM724">
        <v>0</v>
      </c>
      <c r="AN724">
        <v>0</v>
      </c>
      <c r="AU724">
        <v>0</v>
      </c>
      <c r="AZ724">
        <v>13</v>
      </c>
      <c r="BC724">
        <v>0</v>
      </c>
      <c r="BD724">
        <v>3</v>
      </c>
      <c r="BE724">
        <v>126</v>
      </c>
      <c r="BF724">
        <v>126</v>
      </c>
      <c r="BG724">
        <v>175</v>
      </c>
      <c r="BJ724">
        <v>1</v>
      </c>
      <c r="BL724" s="2" t="s">
        <v>1572</v>
      </c>
      <c r="BM724" s="4">
        <v>43283.337407407409</v>
      </c>
      <c r="BN724" s="4">
        <v>43283.357175925928</v>
      </c>
      <c r="BO724" s="4">
        <v>43283.357175925928</v>
      </c>
      <c r="BP724" t="s">
        <v>92</v>
      </c>
      <c r="BQ724" t="s">
        <v>93</v>
      </c>
      <c r="BR724" t="s">
        <v>94</v>
      </c>
    </row>
    <row r="725" spans="1:70" x14ac:dyDescent="0.3">
      <c r="A725" t="str">
        <f>"200417B0100"</f>
        <v>200417B0100</v>
      </c>
      <c r="B725" t="s">
        <v>1573</v>
      </c>
      <c r="C725">
        <v>20</v>
      </c>
      <c r="D725" t="s">
        <v>88</v>
      </c>
      <c r="E725">
        <v>57</v>
      </c>
      <c r="F725" t="s">
        <v>1477</v>
      </c>
      <c r="G725">
        <v>417</v>
      </c>
      <c r="H725">
        <v>1</v>
      </c>
      <c r="I725" t="s">
        <v>90</v>
      </c>
      <c r="J725">
        <v>0</v>
      </c>
      <c r="K725">
        <v>2</v>
      </c>
      <c r="L725">
        <v>5</v>
      </c>
      <c r="M725">
        <v>229</v>
      </c>
      <c r="N725">
        <v>588</v>
      </c>
      <c r="O725">
        <v>0</v>
      </c>
      <c r="P725">
        <v>359</v>
      </c>
      <c r="Q725">
        <v>22</v>
      </c>
      <c r="R725">
        <v>81</v>
      </c>
      <c r="S725">
        <v>8</v>
      </c>
      <c r="T725">
        <v>54</v>
      </c>
      <c r="U725">
        <v>6</v>
      </c>
      <c r="V725">
        <v>4</v>
      </c>
      <c r="W725">
        <v>1</v>
      </c>
      <c r="X725">
        <v>2</v>
      </c>
      <c r="Y725">
        <v>112</v>
      </c>
      <c r="Z725">
        <v>5</v>
      </c>
      <c r="AB725">
        <v>1</v>
      </c>
      <c r="AC725">
        <v>0</v>
      </c>
      <c r="AD725">
        <v>0</v>
      </c>
      <c r="AE725">
        <v>0</v>
      </c>
      <c r="AF725">
        <v>0</v>
      </c>
      <c r="AK725">
        <v>1</v>
      </c>
      <c r="AL725">
        <v>1</v>
      </c>
      <c r="AM725">
        <v>0</v>
      </c>
      <c r="AN725">
        <v>0</v>
      </c>
      <c r="AU725">
        <v>0</v>
      </c>
      <c r="AZ725">
        <v>30</v>
      </c>
      <c r="BC725">
        <v>0</v>
      </c>
      <c r="BD725">
        <v>31</v>
      </c>
      <c r="BE725" t="s">
        <v>105</v>
      </c>
      <c r="BF725">
        <v>359</v>
      </c>
      <c r="BG725">
        <v>565</v>
      </c>
      <c r="BJ725">
        <v>1</v>
      </c>
      <c r="BL725" t="s">
        <v>1574</v>
      </c>
      <c r="BM725" s="4">
        <v>43283.345127314817</v>
      </c>
      <c r="BN725" s="4">
        <v>43283.358159722222</v>
      </c>
      <c r="BO725" s="4">
        <v>43283.358159722222</v>
      </c>
      <c r="BP725" t="s">
        <v>92</v>
      </c>
      <c r="BQ725" t="s">
        <v>93</v>
      </c>
      <c r="BR725" t="s">
        <v>94</v>
      </c>
    </row>
    <row r="726" spans="1:70" x14ac:dyDescent="0.3">
      <c r="A726" t="str">
        <f>"200417E0100"</f>
        <v>200417E0100</v>
      </c>
      <c r="B726" s="2" t="s">
        <v>1575</v>
      </c>
      <c r="C726">
        <v>20</v>
      </c>
      <c r="D726" t="s">
        <v>88</v>
      </c>
      <c r="E726">
        <v>57</v>
      </c>
      <c r="F726" t="s">
        <v>1477</v>
      </c>
      <c r="G726">
        <v>417</v>
      </c>
      <c r="H726">
        <v>1</v>
      </c>
      <c r="I726" t="s">
        <v>156</v>
      </c>
      <c r="J726">
        <v>0</v>
      </c>
      <c r="K726">
        <v>2</v>
      </c>
      <c r="L726">
        <v>5</v>
      </c>
      <c r="M726">
        <v>78</v>
      </c>
      <c r="N726">
        <v>120</v>
      </c>
      <c r="O726">
        <v>2</v>
      </c>
      <c r="P726">
        <v>109</v>
      </c>
      <c r="Q726">
        <v>3</v>
      </c>
      <c r="R726">
        <v>15</v>
      </c>
      <c r="S726">
        <v>1</v>
      </c>
      <c r="T726">
        <v>10</v>
      </c>
      <c r="U726">
        <v>2</v>
      </c>
      <c r="V726">
        <v>1</v>
      </c>
      <c r="W726">
        <v>0</v>
      </c>
      <c r="X726">
        <v>1</v>
      </c>
      <c r="Y726">
        <v>43</v>
      </c>
      <c r="Z726">
        <v>3</v>
      </c>
      <c r="AB726">
        <v>0</v>
      </c>
      <c r="AC726">
        <v>0</v>
      </c>
      <c r="AD726">
        <v>0</v>
      </c>
      <c r="AE726">
        <v>0</v>
      </c>
      <c r="AF726">
        <v>0</v>
      </c>
      <c r="AK726">
        <v>3</v>
      </c>
      <c r="AL726">
        <v>2</v>
      </c>
      <c r="AM726">
        <v>0</v>
      </c>
      <c r="AN726">
        <v>2</v>
      </c>
      <c r="AU726">
        <v>0</v>
      </c>
      <c r="AZ726">
        <v>14</v>
      </c>
      <c r="BC726">
        <v>0</v>
      </c>
      <c r="BD726">
        <v>9</v>
      </c>
      <c r="BE726">
        <v>109</v>
      </c>
      <c r="BF726">
        <v>109</v>
      </c>
      <c r="BG726">
        <v>164</v>
      </c>
      <c r="BJ726">
        <v>1</v>
      </c>
      <c r="BL726" t="s">
        <v>1576</v>
      </c>
      <c r="BM726" s="4">
        <v>43283.345601851855</v>
      </c>
      <c r="BN726" s="4">
        <v>43283.357905092591</v>
      </c>
      <c r="BO726" s="4">
        <v>43283.357905092591</v>
      </c>
      <c r="BP726" t="s">
        <v>92</v>
      </c>
      <c r="BQ726" t="s">
        <v>93</v>
      </c>
      <c r="BR726" t="s">
        <v>94</v>
      </c>
    </row>
    <row r="727" spans="1:70" x14ac:dyDescent="0.3">
      <c r="A727" t="str">
        <f>"200418B0100"</f>
        <v>200418B0100</v>
      </c>
      <c r="B727" t="s">
        <v>1577</v>
      </c>
      <c r="C727">
        <v>20</v>
      </c>
      <c r="D727" t="s">
        <v>88</v>
      </c>
      <c r="E727">
        <v>57</v>
      </c>
      <c r="F727" t="s">
        <v>1477</v>
      </c>
      <c r="G727">
        <v>418</v>
      </c>
      <c r="H727">
        <v>1</v>
      </c>
      <c r="I727" t="s">
        <v>90</v>
      </c>
      <c r="J727">
        <v>0</v>
      </c>
      <c r="K727">
        <v>2</v>
      </c>
      <c r="L727">
        <v>5</v>
      </c>
      <c r="BG727">
        <v>307</v>
      </c>
      <c r="BI727" t="s">
        <v>122</v>
      </c>
      <c r="BJ727">
        <v>0</v>
      </c>
      <c r="BL727" t="s">
        <v>1578</v>
      </c>
      <c r="BM727" s="4">
        <v>43283.790358796294</v>
      </c>
      <c r="BN727" s="4">
        <v>43283.796666666669</v>
      </c>
      <c r="BO727" s="4">
        <v>43283.796666666669</v>
      </c>
      <c r="BP727" t="s">
        <v>92</v>
      </c>
      <c r="BQ727" t="s">
        <v>93</v>
      </c>
      <c r="BR727" t="s">
        <v>94</v>
      </c>
    </row>
    <row r="728" spans="1:70" x14ac:dyDescent="0.3">
      <c r="A728" t="str">
        <f>"200419B0100"</f>
        <v>200419B0100</v>
      </c>
      <c r="B728" t="s">
        <v>1579</v>
      </c>
      <c r="C728">
        <v>20</v>
      </c>
      <c r="D728" t="s">
        <v>88</v>
      </c>
      <c r="E728">
        <v>57</v>
      </c>
      <c r="F728" t="s">
        <v>1477</v>
      </c>
      <c r="G728">
        <v>419</v>
      </c>
      <c r="H728">
        <v>1</v>
      </c>
      <c r="I728" t="s">
        <v>90</v>
      </c>
      <c r="J728">
        <v>0</v>
      </c>
      <c r="K728">
        <v>2</v>
      </c>
      <c r="L728">
        <v>5</v>
      </c>
      <c r="BG728">
        <v>348</v>
      </c>
      <c r="BI728" t="s">
        <v>122</v>
      </c>
      <c r="BJ728">
        <v>0</v>
      </c>
      <c r="BL728" t="s">
        <v>1580</v>
      </c>
      <c r="BM728" s="4">
        <v>43283.789918981478</v>
      </c>
      <c r="BN728" s="4">
        <v>43283.796493055554</v>
      </c>
      <c r="BO728" s="4">
        <v>43283.796493055554</v>
      </c>
      <c r="BP728" t="s">
        <v>92</v>
      </c>
      <c r="BQ728" t="s">
        <v>93</v>
      </c>
      <c r="BR728" t="s">
        <v>94</v>
      </c>
    </row>
    <row r="729" spans="1:70" x14ac:dyDescent="0.3">
      <c r="A729" t="str">
        <f>"200419E0100"</f>
        <v>200419E0100</v>
      </c>
      <c r="B729" s="2" t="s">
        <v>1581</v>
      </c>
      <c r="C729">
        <v>20</v>
      </c>
      <c r="D729" t="s">
        <v>88</v>
      </c>
      <c r="E729">
        <v>57</v>
      </c>
      <c r="F729" t="s">
        <v>1477</v>
      </c>
      <c r="G729">
        <v>419</v>
      </c>
      <c r="H729">
        <v>1</v>
      </c>
      <c r="I729" t="s">
        <v>156</v>
      </c>
      <c r="J729">
        <v>0</v>
      </c>
      <c r="K729">
        <v>2</v>
      </c>
      <c r="L729">
        <v>5</v>
      </c>
      <c r="M729">
        <v>106</v>
      </c>
      <c r="N729">
        <v>135</v>
      </c>
      <c r="O729">
        <v>2</v>
      </c>
      <c r="P729">
        <v>135</v>
      </c>
      <c r="Q729">
        <v>25</v>
      </c>
      <c r="R729">
        <v>12</v>
      </c>
      <c r="S729">
        <v>3</v>
      </c>
      <c r="T729">
        <v>34</v>
      </c>
      <c r="U729">
        <v>2</v>
      </c>
      <c r="V729">
        <v>0</v>
      </c>
      <c r="W729">
        <v>0</v>
      </c>
      <c r="X729">
        <v>2</v>
      </c>
      <c r="Y729">
        <v>38</v>
      </c>
      <c r="Z729">
        <v>2</v>
      </c>
      <c r="AB729">
        <v>0</v>
      </c>
      <c r="AC729">
        <v>0</v>
      </c>
      <c r="AD729">
        <v>0</v>
      </c>
      <c r="AE729">
        <v>0</v>
      </c>
      <c r="AF729">
        <v>0</v>
      </c>
      <c r="AK729">
        <v>1</v>
      </c>
      <c r="AL729">
        <v>2</v>
      </c>
      <c r="AM729">
        <v>0</v>
      </c>
      <c r="AN729">
        <v>0</v>
      </c>
      <c r="AU729">
        <v>0</v>
      </c>
      <c r="AZ729">
        <v>5</v>
      </c>
      <c r="BC729">
        <v>0</v>
      </c>
      <c r="BD729">
        <v>9</v>
      </c>
      <c r="BE729">
        <v>135</v>
      </c>
      <c r="BF729">
        <v>135</v>
      </c>
      <c r="BG729">
        <v>218</v>
      </c>
      <c r="BJ729">
        <v>1</v>
      </c>
      <c r="BL729" t="s">
        <v>1582</v>
      </c>
      <c r="BM729" s="4">
        <v>43283.357465277775</v>
      </c>
      <c r="BN729" s="4">
        <v>43283.367928240739</v>
      </c>
      <c r="BO729" s="4">
        <v>43283.367928240739</v>
      </c>
      <c r="BP729" t="s">
        <v>92</v>
      </c>
      <c r="BQ729" t="s">
        <v>93</v>
      </c>
      <c r="BR729" t="s">
        <v>94</v>
      </c>
    </row>
    <row r="730" spans="1:70" x14ac:dyDescent="0.3">
      <c r="A730" t="str">
        <f>"200420B0100"</f>
        <v>200420B0100</v>
      </c>
      <c r="B730" t="s">
        <v>1583</v>
      </c>
      <c r="C730">
        <v>20</v>
      </c>
      <c r="D730" t="s">
        <v>88</v>
      </c>
      <c r="E730">
        <v>57</v>
      </c>
      <c r="F730" t="s">
        <v>1477</v>
      </c>
      <c r="G730">
        <v>420</v>
      </c>
      <c r="H730">
        <v>1</v>
      </c>
      <c r="I730" t="s">
        <v>90</v>
      </c>
      <c r="J730">
        <v>0</v>
      </c>
      <c r="K730">
        <v>2</v>
      </c>
      <c r="L730">
        <v>5</v>
      </c>
      <c r="M730">
        <v>293</v>
      </c>
      <c r="N730">
        <v>389</v>
      </c>
      <c r="O730">
        <v>0</v>
      </c>
      <c r="P730">
        <v>389</v>
      </c>
      <c r="Q730">
        <v>30</v>
      </c>
      <c r="R730">
        <v>38</v>
      </c>
      <c r="S730">
        <v>3</v>
      </c>
      <c r="T730">
        <v>74</v>
      </c>
      <c r="U730">
        <v>7</v>
      </c>
      <c r="V730">
        <v>6</v>
      </c>
      <c r="W730">
        <v>2</v>
      </c>
      <c r="X730">
        <v>1</v>
      </c>
      <c r="Y730">
        <v>157</v>
      </c>
      <c r="Z730">
        <v>1</v>
      </c>
      <c r="AB730">
        <v>2</v>
      </c>
      <c r="AC730">
        <v>1</v>
      </c>
      <c r="AD730">
        <v>0</v>
      </c>
      <c r="AE730">
        <v>0</v>
      </c>
      <c r="AF730">
        <v>0</v>
      </c>
      <c r="AK730">
        <v>1</v>
      </c>
      <c r="AL730">
        <v>0</v>
      </c>
      <c r="AM730">
        <v>1</v>
      </c>
      <c r="AN730">
        <v>2</v>
      </c>
      <c r="AU730">
        <v>0</v>
      </c>
      <c r="AZ730">
        <v>43</v>
      </c>
      <c r="BC730">
        <v>0</v>
      </c>
      <c r="BD730">
        <v>20</v>
      </c>
      <c r="BE730">
        <v>389</v>
      </c>
      <c r="BF730">
        <v>389</v>
      </c>
      <c r="BG730">
        <v>677</v>
      </c>
      <c r="BJ730">
        <v>1</v>
      </c>
      <c r="BL730" t="s">
        <v>1584</v>
      </c>
      <c r="BM730" s="4">
        <v>43283.358726851853</v>
      </c>
      <c r="BN730" s="4">
        <v>43283.370775462965</v>
      </c>
      <c r="BO730" s="4">
        <v>43283.370775462965</v>
      </c>
      <c r="BP730" t="s">
        <v>92</v>
      </c>
      <c r="BQ730" t="s">
        <v>93</v>
      </c>
      <c r="BR730" t="s">
        <v>94</v>
      </c>
    </row>
    <row r="731" spans="1:70" x14ac:dyDescent="0.3">
      <c r="A731" t="str">
        <f>"200420C0100"</f>
        <v>200420C0100</v>
      </c>
      <c r="B731" t="s">
        <v>1585</v>
      </c>
      <c r="C731">
        <v>20</v>
      </c>
      <c r="D731" t="s">
        <v>88</v>
      </c>
      <c r="E731">
        <v>57</v>
      </c>
      <c r="F731" t="s">
        <v>1477</v>
      </c>
      <c r="G731">
        <v>420</v>
      </c>
      <c r="H731">
        <v>1</v>
      </c>
      <c r="I731" t="s">
        <v>98</v>
      </c>
      <c r="J731">
        <v>0</v>
      </c>
      <c r="K731">
        <v>2</v>
      </c>
      <c r="L731">
        <v>5</v>
      </c>
      <c r="M731">
        <v>283</v>
      </c>
      <c r="N731">
        <v>417</v>
      </c>
      <c r="O731">
        <v>0</v>
      </c>
      <c r="P731">
        <v>416</v>
      </c>
      <c r="Q731">
        <v>31</v>
      </c>
      <c r="R731">
        <v>50</v>
      </c>
      <c r="S731">
        <v>5</v>
      </c>
      <c r="T731">
        <v>83</v>
      </c>
      <c r="U731">
        <v>16</v>
      </c>
      <c r="V731">
        <v>4</v>
      </c>
      <c r="W731">
        <v>0</v>
      </c>
      <c r="X731">
        <v>2</v>
      </c>
      <c r="Y731">
        <v>162</v>
      </c>
      <c r="Z731">
        <v>4</v>
      </c>
      <c r="AB731">
        <v>2</v>
      </c>
      <c r="AC731">
        <v>2</v>
      </c>
      <c r="AD731">
        <v>0</v>
      </c>
      <c r="AE731">
        <v>0</v>
      </c>
      <c r="AF731">
        <v>0</v>
      </c>
      <c r="AK731">
        <v>1</v>
      </c>
      <c r="AL731">
        <v>1</v>
      </c>
      <c r="AM731">
        <v>0</v>
      </c>
      <c r="AN731">
        <v>1</v>
      </c>
      <c r="AU731">
        <v>0</v>
      </c>
      <c r="AZ731">
        <v>35</v>
      </c>
      <c r="BC731">
        <v>0</v>
      </c>
      <c r="BD731">
        <v>17</v>
      </c>
      <c r="BE731">
        <v>416</v>
      </c>
      <c r="BF731">
        <v>416</v>
      </c>
      <c r="BG731">
        <v>677</v>
      </c>
      <c r="BJ731">
        <v>1</v>
      </c>
      <c r="BL731" t="s">
        <v>1586</v>
      </c>
      <c r="BM731" s="4">
        <v>43283.347881944443</v>
      </c>
      <c r="BN731" s="4">
        <v>43283.359571759262</v>
      </c>
      <c r="BO731" s="4">
        <v>43283.359571759262</v>
      </c>
      <c r="BP731" t="s">
        <v>92</v>
      </c>
      <c r="BQ731" t="s">
        <v>93</v>
      </c>
      <c r="BR731" t="s">
        <v>94</v>
      </c>
    </row>
    <row r="732" spans="1:70" x14ac:dyDescent="0.3">
      <c r="A732" t="str">
        <f>"200420C0200"</f>
        <v>200420C0200</v>
      </c>
      <c r="B732" t="s">
        <v>1587</v>
      </c>
      <c r="C732">
        <v>20</v>
      </c>
      <c r="D732" t="s">
        <v>88</v>
      </c>
      <c r="E732">
        <v>57</v>
      </c>
      <c r="F732" t="s">
        <v>1477</v>
      </c>
      <c r="G732">
        <v>420</v>
      </c>
      <c r="H732">
        <v>2</v>
      </c>
      <c r="I732" t="s">
        <v>98</v>
      </c>
      <c r="J732">
        <v>0</v>
      </c>
      <c r="K732">
        <v>2</v>
      </c>
      <c r="L732">
        <v>5</v>
      </c>
      <c r="M732">
        <v>298</v>
      </c>
      <c r="N732">
        <v>402</v>
      </c>
      <c r="O732">
        <v>0</v>
      </c>
      <c r="P732">
        <v>402</v>
      </c>
      <c r="Q732">
        <v>33</v>
      </c>
      <c r="R732">
        <v>62</v>
      </c>
      <c r="S732">
        <v>5</v>
      </c>
      <c r="T732">
        <v>66</v>
      </c>
      <c r="U732">
        <v>8</v>
      </c>
      <c r="V732">
        <v>3</v>
      </c>
      <c r="W732">
        <v>2</v>
      </c>
      <c r="X732">
        <v>3</v>
      </c>
      <c r="Y732">
        <v>153</v>
      </c>
      <c r="Z732">
        <v>2</v>
      </c>
      <c r="AB732">
        <v>2</v>
      </c>
      <c r="AC732">
        <v>0</v>
      </c>
      <c r="AD732">
        <v>0</v>
      </c>
      <c r="AE732">
        <v>0</v>
      </c>
      <c r="AF732">
        <v>0</v>
      </c>
      <c r="AK732">
        <v>3</v>
      </c>
      <c r="AL732">
        <v>1</v>
      </c>
      <c r="AM732">
        <v>0</v>
      </c>
      <c r="AN732">
        <v>1</v>
      </c>
      <c r="AU732">
        <v>0</v>
      </c>
      <c r="AZ732">
        <v>45</v>
      </c>
      <c r="BC732">
        <v>0</v>
      </c>
      <c r="BD732">
        <v>13</v>
      </c>
      <c r="BE732">
        <v>402</v>
      </c>
      <c r="BF732">
        <v>402</v>
      </c>
      <c r="BG732">
        <v>677</v>
      </c>
      <c r="BJ732">
        <v>1</v>
      </c>
      <c r="BL732" t="s">
        <v>1588</v>
      </c>
      <c r="BM732" s="4">
        <v>43283.359155092592</v>
      </c>
      <c r="BN732" s="4">
        <v>43283.370833333334</v>
      </c>
      <c r="BO732" s="4">
        <v>43283.370833333334</v>
      </c>
      <c r="BP732" t="s">
        <v>92</v>
      </c>
      <c r="BQ732" t="s">
        <v>93</v>
      </c>
      <c r="BR732" t="s">
        <v>94</v>
      </c>
    </row>
    <row r="733" spans="1:70" x14ac:dyDescent="0.3">
      <c r="A733" t="str">
        <f>"200420E0100"</f>
        <v>200420E0100</v>
      </c>
      <c r="B733" s="2" t="s">
        <v>1589</v>
      </c>
      <c r="C733">
        <v>20</v>
      </c>
      <c r="D733" t="s">
        <v>88</v>
      </c>
      <c r="E733">
        <v>57</v>
      </c>
      <c r="F733" t="s">
        <v>1477</v>
      </c>
      <c r="G733">
        <v>420</v>
      </c>
      <c r="H733">
        <v>1</v>
      </c>
      <c r="I733" t="s">
        <v>156</v>
      </c>
      <c r="J733">
        <v>0</v>
      </c>
      <c r="K733">
        <v>2</v>
      </c>
      <c r="L733">
        <v>5</v>
      </c>
      <c r="M733">
        <v>70</v>
      </c>
      <c r="N733">
        <v>103</v>
      </c>
      <c r="O733">
        <v>6</v>
      </c>
      <c r="P733">
        <v>103</v>
      </c>
      <c r="Q733">
        <v>27</v>
      </c>
      <c r="R733">
        <v>17</v>
      </c>
      <c r="S733">
        <v>0</v>
      </c>
      <c r="T733">
        <v>16</v>
      </c>
      <c r="U733">
        <v>1</v>
      </c>
      <c r="V733">
        <v>0</v>
      </c>
      <c r="W733">
        <v>0</v>
      </c>
      <c r="X733">
        <v>1</v>
      </c>
      <c r="Y733">
        <v>31</v>
      </c>
      <c r="Z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K733">
        <v>1</v>
      </c>
      <c r="AL733">
        <v>0</v>
      </c>
      <c r="AM733">
        <v>0</v>
      </c>
      <c r="AN733">
        <v>0</v>
      </c>
      <c r="AU733">
        <v>0</v>
      </c>
      <c r="AZ733">
        <v>6</v>
      </c>
      <c r="BC733">
        <v>0</v>
      </c>
      <c r="BD733">
        <v>3</v>
      </c>
      <c r="BE733">
        <v>103</v>
      </c>
      <c r="BF733">
        <v>103</v>
      </c>
      <c r="BG733">
        <v>150</v>
      </c>
      <c r="BJ733">
        <v>1</v>
      </c>
      <c r="BL733" t="s">
        <v>1590</v>
      </c>
      <c r="BM733" s="4">
        <v>43283.337824074071</v>
      </c>
      <c r="BN733" s="4">
        <v>43283.354016203702</v>
      </c>
      <c r="BO733" s="4">
        <v>43283.354016203702</v>
      </c>
      <c r="BP733" t="s">
        <v>92</v>
      </c>
      <c r="BQ733" t="s">
        <v>93</v>
      </c>
      <c r="BR733" t="s">
        <v>94</v>
      </c>
    </row>
    <row r="734" spans="1:70" x14ac:dyDescent="0.3">
      <c r="A734" t="str">
        <f>"200421B0100"</f>
        <v>200421B0100</v>
      </c>
      <c r="B734" t="s">
        <v>1591</v>
      </c>
      <c r="C734">
        <v>20</v>
      </c>
      <c r="D734" t="s">
        <v>88</v>
      </c>
      <c r="E734">
        <v>57</v>
      </c>
      <c r="F734" t="s">
        <v>1477</v>
      </c>
      <c r="G734">
        <v>421</v>
      </c>
      <c r="H734">
        <v>1</v>
      </c>
      <c r="I734" t="s">
        <v>90</v>
      </c>
      <c r="J734">
        <v>0</v>
      </c>
      <c r="K734">
        <v>2</v>
      </c>
      <c r="L734">
        <v>5</v>
      </c>
      <c r="M734">
        <v>55</v>
      </c>
      <c r="N734">
        <v>110</v>
      </c>
      <c r="O734">
        <v>8</v>
      </c>
      <c r="P734">
        <v>110</v>
      </c>
      <c r="Q734">
        <v>1</v>
      </c>
      <c r="R734">
        <v>19</v>
      </c>
      <c r="S734">
        <v>1</v>
      </c>
      <c r="T734">
        <v>24</v>
      </c>
      <c r="U734">
        <v>2</v>
      </c>
      <c r="V734">
        <v>1</v>
      </c>
      <c r="W734">
        <v>0</v>
      </c>
      <c r="X734">
        <v>0</v>
      </c>
      <c r="Y734">
        <v>41</v>
      </c>
      <c r="Z734">
        <v>2</v>
      </c>
      <c r="AB734">
        <v>1</v>
      </c>
      <c r="AC734">
        <v>0</v>
      </c>
      <c r="AD734">
        <v>0</v>
      </c>
      <c r="AE734">
        <v>0</v>
      </c>
      <c r="AF734">
        <v>0</v>
      </c>
      <c r="AK734">
        <v>1</v>
      </c>
      <c r="AL734">
        <v>0</v>
      </c>
      <c r="AM734">
        <v>0</v>
      </c>
      <c r="AN734">
        <v>1</v>
      </c>
      <c r="AU734">
        <v>0</v>
      </c>
      <c r="AZ734">
        <v>14</v>
      </c>
      <c r="BC734">
        <v>0</v>
      </c>
      <c r="BD734">
        <v>2</v>
      </c>
      <c r="BE734">
        <v>110</v>
      </c>
      <c r="BF734">
        <v>110</v>
      </c>
      <c r="BG734">
        <v>142</v>
      </c>
      <c r="BJ734">
        <v>1</v>
      </c>
      <c r="BL734" t="s">
        <v>1592</v>
      </c>
      <c r="BM734" s="4">
        <v>43283.36309027778</v>
      </c>
      <c r="BN734" s="4">
        <v>43283.372743055559</v>
      </c>
      <c r="BO734" s="4">
        <v>43283.372743055559</v>
      </c>
      <c r="BP734" t="s">
        <v>92</v>
      </c>
      <c r="BQ734" t="s">
        <v>93</v>
      </c>
      <c r="BR734" t="s">
        <v>94</v>
      </c>
    </row>
    <row r="735" spans="1:70" x14ac:dyDescent="0.3">
      <c r="A735" t="str">
        <f>"200432B0100"</f>
        <v>200432B0100</v>
      </c>
      <c r="B735" t="s">
        <v>1593</v>
      </c>
      <c r="C735">
        <v>20</v>
      </c>
      <c r="D735" t="s">
        <v>88</v>
      </c>
      <c r="E735">
        <v>59</v>
      </c>
      <c r="F735" t="s">
        <v>1594</v>
      </c>
      <c r="G735">
        <v>432</v>
      </c>
      <c r="H735">
        <v>1</v>
      </c>
      <c r="I735" t="s">
        <v>90</v>
      </c>
      <c r="J735">
        <v>0</v>
      </c>
      <c r="K735">
        <v>2</v>
      </c>
      <c r="L735">
        <v>5</v>
      </c>
      <c r="M735">
        <v>210</v>
      </c>
      <c r="N735">
        <v>382</v>
      </c>
      <c r="O735">
        <v>7</v>
      </c>
      <c r="P735">
        <v>382</v>
      </c>
      <c r="Q735">
        <v>30</v>
      </c>
      <c r="R735">
        <v>106</v>
      </c>
      <c r="S735">
        <v>3</v>
      </c>
      <c r="T735">
        <v>2</v>
      </c>
      <c r="U735">
        <v>2</v>
      </c>
      <c r="V735">
        <v>2</v>
      </c>
      <c r="W735">
        <v>96</v>
      </c>
      <c r="X735">
        <v>65</v>
      </c>
      <c r="Y735">
        <v>56</v>
      </c>
      <c r="Z735">
        <v>2</v>
      </c>
      <c r="AA735">
        <v>2</v>
      </c>
      <c r="AC735">
        <v>0</v>
      </c>
      <c r="AD735">
        <v>2</v>
      </c>
      <c r="AE735">
        <v>0</v>
      </c>
      <c r="AF735">
        <v>0</v>
      </c>
      <c r="AK735">
        <v>2</v>
      </c>
      <c r="AL735">
        <v>0</v>
      </c>
      <c r="AM735">
        <v>0</v>
      </c>
      <c r="AN735">
        <v>2</v>
      </c>
      <c r="AT735">
        <v>1</v>
      </c>
      <c r="BC735">
        <v>0</v>
      </c>
      <c r="BD735">
        <v>11</v>
      </c>
      <c r="BE735">
        <v>382</v>
      </c>
      <c r="BF735">
        <v>384</v>
      </c>
      <c r="BG735">
        <v>570</v>
      </c>
      <c r="BJ735">
        <v>1</v>
      </c>
      <c r="BL735" t="s">
        <v>1595</v>
      </c>
      <c r="BM735" s="4">
        <v>43283.309027777781</v>
      </c>
      <c r="BN735" s="4">
        <v>43283.33965277778</v>
      </c>
      <c r="BO735" s="4">
        <v>43283.33965277778</v>
      </c>
      <c r="BP735" t="s">
        <v>92</v>
      </c>
      <c r="BQ735" t="s">
        <v>93</v>
      </c>
      <c r="BR735" t="s">
        <v>94</v>
      </c>
    </row>
    <row r="736" spans="1:70" x14ac:dyDescent="0.3">
      <c r="A736" t="str">
        <f>"200432C0100"</f>
        <v>200432C0100</v>
      </c>
      <c r="B736" t="s">
        <v>1596</v>
      </c>
      <c r="C736">
        <v>20</v>
      </c>
      <c r="D736" t="s">
        <v>88</v>
      </c>
      <c r="E736">
        <v>59</v>
      </c>
      <c r="F736" t="s">
        <v>1594</v>
      </c>
      <c r="G736">
        <v>432</v>
      </c>
      <c r="H736">
        <v>1</v>
      </c>
      <c r="I736" t="s">
        <v>98</v>
      </c>
      <c r="J736">
        <v>0</v>
      </c>
      <c r="K736">
        <v>2</v>
      </c>
      <c r="L736">
        <v>5</v>
      </c>
      <c r="M736">
        <v>199</v>
      </c>
      <c r="N736">
        <v>389</v>
      </c>
      <c r="O736">
        <v>7</v>
      </c>
      <c r="P736">
        <v>389</v>
      </c>
      <c r="Q736">
        <v>36</v>
      </c>
      <c r="R736">
        <v>112</v>
      </c>
      <c r="S736">
        <v>4</v>
      </c>
      <c r="T736">
        <v>3</v>
      </c>
      <c r="U736">
        <v>3</v>
      </c>
      <c r="V736">
        <v>0</v>
      </c>
      <c r="W736">
        <v>75</v>
      </c>
      <c r="X736">
        <v>69</v>
      </c>
      <c r="Y736">
        <v>66</v>
      </c>
      <c r="Z736">
        <v>4</v>
      </c>
      <c r="AA736">
        <v>1</v>
      </c>
      <c r="AC736">
        <v>2</v>
      </c>
      <c r="AD736">
        <v>0</v>
      </c>
      <c r="AE736">
        <v>0</v>
      </c>
      <c r="AF736">
        <v>0</v>
      </c>
      <c r="AK736">
        <v>1</v>
      </c>
      <c r="AL736">
        <v>0</v>
      </c>
      <c r="AM736">
        <v>0</v>
      </c>
      <c r="AN736">
        <v>1</v>
      </c>
      <c r="AT736">
        <v>4</v>
      </c>
      <c r="BC736">
        <v>0</v>
      </c>
      <c r="BD736">
        <v>8</v>
      </c>
      <c r="BE736" t="s">
        <v>105</v>
      </c>
      <c r="BF736">
        <v>389</v>
      </c>
      <c r="BG736">
        <v>570</v>
      </c>
      <c r="BJ736">
        <v>1</v>
      </c>
      <c r="BL736" t="s">
        <v>1597</v>
      </c>
      <c r="BM736" s="4">
        <v>43283.309027777781</v>
      </c>
      <c r="BN736" s="4">
        <v>43283.336423611108</v>
      </c>
      <c r="BO736" s="4">
        <v>43283.336423611108</v>
      </c>
      <c r="BP736" t="s">
        <v>92</v>
      </c>
      <c r="BQ736" t="s">
        <v>93</v>
      </c>
      <c r="BR736" t="s">
        <v>94</v>
      </c>
    </row>
    <row r="737" spans="1:70" x14ac:dyDescent="0.3">
      <c r="A737" t="str">
        <f>"200432C0200"</f>
        <v>200432C0200</v>
      </c>
      <c r="B737" t="s">
        <v>1598</v>
      </c>
      <c r="C737">
        <v>20</v>
      </c>
      <c r="D737" t="s">
        <v>88</v>
      </c>
      <c r="E737">
        <v>59</v>
      </c>
      <c r="F737" t="s">
        <v>1594</v>
      </c>
      <c r="G737">
        <v>432</v>
      </c>
      <c r="H737">
        <v>2</v>
      </c>
      <c r="I737" t="s">
        <v>98</v>
      </c>
      <c r="J737">
        <v>0</v>
      </c>
      <c r="K737">
        <v>2</v>
      </c>
      <c r="L737">
        <v>5</v>
      </c>
      <c r="M737">
        <v>215</v>
      </c>
      <c r="N737">
        <v>375</v>
      </c>
      <c r="O737">
        <v>5</v>
      </c>
      <c r="P737" t="s">
        <v>105</v>
      </c>
      <c r="Q737">
        <v>18</v>
      </c>
      <c r="R737">
        <v>107</v>
      </c>
      <c r="S737">
        <v>2</v>
      </c>
      <c r="T737">
        <v>2</v>
      </c>
      <c r="U737">
        <v>0</v>
      </c>
      <c r="V737">
        <v>1</v>
      </c>
      <c r="W737">
        <v>98</v>
      </c>
      <c r="X737">
        <v>60</v>
      </c>
      <c r="Y737">
        <v>52</v>
      </c>
      <c r="Z737">
        <v>6</v>
      </c>
      <c r="AA737">
        <v>1</v>
      </c>
      <c r="AC737">
        <v>0</v>
      </c>
      <c r="AD737">
        <v>1</v>
      </c>
      <c r="AE737">
        <v>0</v>
      </c>
      <c r="AF737">
        <v>0</v>
      </c>
      <c r="AK737">
        <v>1</v>
      </c>
      <c r="AL737">
        <v>0</v>
      </c>
      <c r="AM737">
        <v>0</v>
      </c>
      <c r="AN737">
        <v>1</v>
      </c>
      <c r="AT737">
        <v>2</v>
      </c>
      <c r="BC737">
        <v>0</v>
      </c>
      <c r="BD737">
        <v>18</v>
      </c>
      <c r="BE737">
        <v>375</v>
      </c>
      <c r="BF737">
        <v>370</v>
      </c>
      <c r="BG737">
        <v>570</v>
      </c>
      <c r="BJ737">
        <v>1</v>
      </c>
      <c r="BL737" t="s">
        <v>1599</v>
      </c>
      <c r="BM737" s="4">
        <v>43283.30972222222</v>
      </c>
      <c r="BN737" s="4">
        <v>43283.335509259261</v>
      </c>
      <c r="BO737" s="4">
        <v>43283.335509259261</v>
      </c>
      <c r="BP737" t="s">
        <v>92</v>
      </c>
      <c r="BQ737" t="s">
        <v>93</v>
      </c>
      <c r="BR737" t="s">
        <v>94</v>
      </c>
    </row>
    <row r="738" spans="1:70" x14ac:dyDescent="0.3">
      <c r="A738" t="str">
        <f>"200432E0100"</f>
        <v>200432E0100</v>
      </c>
      <c r="B738" s="2" t="s">
        <v>1600</v>
      </c>
      <c r="C738">
        <v>20</v>
      </c>
      <c r="D738" t="s">
        <v>88</v>
      </c>
      <c r="E738">
        <v>59</v>
      </c>
      <c r="F738" t="s">
        <v>1594</v>
      </c>
      <c r="G738">
        <v>432</v>
      </c>
      <c r="H738">
        <v>1</v>
      </c>
      <c r="I738" t="s">
        <v>156</v>
      </c>
      <c r="J738">
        <v>0</v>
      </c>
      <c r="K738">
        <v>2</v>
      </c>
      <c r="L738">
        <v>5</v>
      </c>
      <c r="M738">
        <v>118</v>
      </c>
      <c r="N738">
        <v>264</v>
      </c>
      <c r="O738">
        <v>8</v>
      </c>
      <c r="P738">
        <v>146</v>
      </c>
      <c r="Q738">
        <v>9</v>
      </c>
      <c r="R738">
        <v>56</v>
      </c>
      <c r="S738">
        <v>0</v>
      </c>
      <c r="T738">
        <v>0</v>
      </c>
      <c r="U738">
        <v>9</v>
      </c>
      <c r="V738">
        <v>0</v>
      </c>
      <c r="W738">
        <v>33</v>
      </c>
      <c r="X738">
        <v>9</v>
      </c>
      <c r="Y738">
        <v>13</v>
      </c>
      <c r="Z738">
        <v>2</v>
      </c>
      <c r="AA738">
        <v>0</v>
      </c>
      <c r="AC738">
        <v>0</v>
      </c>
      <c r="AD738">
        <v>1</v>
      </c>
      <c r="AE738">
        <v>0</v>
      </c>
      <c r="AF738">
        <v>0</v>
      </c>
      <c r="AK738">
        <v>1</v>
      </c>
      <c r="AL738">
        <v>0</v>
      </c>
      <c r="AM738">
        <v>0</v>
      </c>
      <c r="AN738">
        <v>0</v>
      </c>
      <c r="AT738" t="s">
        <v>105</v>
      </c>
      <c r="BC738" t="s">
        <v>105</v>
      </c>
      <c r="BD738">
        <v>13</v>
      </c>
      <c r="BE738">
        <v>146</v>
      </c>
      <c r="BF738">
        <v>146</v>
      </c>
      <c r="BG738">
        <v>242</v>
      </c>
      <c r="BI738" t="s">
        <v>106</v>
      </c>
      <c r="BJ738">
        <v>1</v>
      </c>
      <c r="BL738" t="s">
        <v>1601</v>
      </c>
      <c r="BM738" s="4">
        <v>43283.306250000001</v>
      </c>
      <c r="BN738" s="4">
        <v>43283.331736111111</v>
      </c>
      <c r="BO738" s="4">
        <v>43283.331736111111</v>
      </c>
      <c r="BP738" t="s">
        <v>92</v>
      </c>
      <c r="BQ738" t="s">
        <v>93</v>
      </c>
      <c r="BR738" t="s">
        <v>94</v>
      </c>
    </row>
    <row r="739" spans="1:70" x14ac:dyDescent="0.3">
      <c r="A739" t="str">
        <f>"200432S0100"</f>
        <v>200432S0100</v>
      </c>
      <c r="B739" t="s">
        <v>1602</v>
      </c>
      <c r="C739">
        <v>20</v>
      </c>
      <c r="D739" t="s">
        <v>88</v>
      </c>
      <c r="E739">
        <v>59</v>
      </c>
      <c r="F739" t="s">
        <v>1594</v>
      </c>
      <c r="G739">
        <v>432</v>
      </c>
      <c r="H739">
        <v>1</v>
      </c>
      <c r="I739" t="s">
        <v>113</v>
      </c>
      <c r="J739">
        <v>0</v>
      </c>
      <c r="K739">
        <v>2</v>
      </c>
      <c r="L739">
        <v>6</v>
      </c>
      <c r="M739">
        <v>755</v>
      </c>
      <c r="N739">
        <v>17</v>
      </c>
      <c r="O739">
        <v>0</v>
      </c>
      <c r="P739">
        <v>17</v>
      </c>
      <c r="Q739">
        <v>0</v>
      </c>
      <c r="R739">
        <v>7</v>
      </c>
      <c r="S739">
        <v>0</v>
      </c>
      <c r="T739">
        <v>0</v>
      </c>
      <c r="U739">
        <v>0</v>
      </c>
      <c r="V739">
        <v>1</v>
      </c>
      <c r="W739">
        <v>4</v>
      </c>
      <c r="X739">
        <v>2</v>
      </c>
      <c r="Y739">
        <v>1</v>
      </c>
      <c r="Z739">
        <v>0</v>
      </c>
      <c r="AA739">
        <v>0</v>
      </c>
      <c r="AC739">
        <v>0</v>
      </c>
      <c r="AD739">
        <v>0</v>
      </c>
      <c r="AE739">
        <v>0</v>
      </c>
      <c r="AF739">
        <v>0</v>
      </c>
      <c r="AK739">
        <v>0</v>
      </c>
      <c r="AL739">
        <v>0</v>
      </c>
      <c r="AM739">
        <v>0</v>
      </c>
      <c r="AN739">
        <v>0</v>
      </c>
      <c r="AT739">
        <v>0</v>
      </c>
      <c r="BC739">
        <v>0</v>
      </c>
      <c r="BD739">
        <v>2</v>
      </c>
      <c r="BE739">
        <v>17</v>
      </c>
      <c r="BF739">
        <v>17</v>
      </c>
      <c r="BG739">
        <v>0</v>
      </c>
      <c r="BJ739">
        <v>1</v>
      </c>
      <c r="BL739" t="s">
        <v>1603</v>
      </c>
      <c r="BM739" s="4">
        <v>43283.30972222222</v>
      </c>
      <c r="BN739" s="4">
        <v>43283.33452546296</v>
      </c>
      <c r="BO739" s="4">
        <v>43283.33452546296</v>
      </c>
      <c r="BP739" t="s">
        <v>92</v>
      </c>
      <c r="BQ739" t="s">
        <v>93</v>
      </c>
      <c r="BR739" t="s">
        <v>94</v>
      </c>
    </row>
    <row r="740" spans="1:70" x14ac:dyDescent="0.3">
      <c r="A740" t="str">
        <f>"200433B0100"</f>
        <v>200433B0100</v>
      </c>
      <c r="B740" t="s">
        <v>1604</v>
      </c>
      <c r="C740">
        <v>20</v>
      </c>
      <c r="D740" t="s">
        <v>88</v>
      </c>
      <c r="E740">
        <v>59</v>
      </c>
      <c r="F740" t="s">
        <v>1594</v>
      </c>
      <c r="G740">
        <v>433</v>
      </c>
      <c r="H740">
        <v>1</v>
      </c>
      <c r="I740" t="s">
        <v>90</v>
      </c>
      <c r="J740">
        <v>0</v>
      </c>
      <c r="K740">
        <v>2</v>
      </c>
      <c r="L740">
        <v>5</v>
      </c>
      <c r="M740">
        <v>256</v>
      </c>
      <c r="N740">
        <v>487</v>
      </c>
      <c r="O740">
        <v>9</v>
      </c>
      <c r="P740">
        <v>487</v>
      </c>
      <c r="Q740">
        <v>21</v>
      </c>
      <c r="R740">
        <v>100</v>
      </c>
      <c r="S740">
        <v>2</v>
      </c>
      <c r="T740">
        <v>1</v>
      </c>
      <c r="U740">
        <v>11</v>
      </c>
      <c r="V740">
        <v>1</v>
      </c>
      <c r="W740">
        <v>119</v>
      </c>
      <c r="X740">
        <v>129</v>
      </c>
      <c r="Y740">
        <v>66</v>
      </c>
      <c r="Z740">
        <v>9</v>
      </c>
      <c r="AA740">
        <v>1</v>
      </c>
      <c r="AC740">
        <v>2</v>
      </c>
      <c r="AD740">
        <v>2</v>
      </c>
      <c r="AE740" t="s">
        <v>105</v>
      </c>
      <c r="AF740" t="s">
        <v>105</v>
      </c>
      <c r="AK740" t="s">
        <v>105</v>
      </c>
      <c r="AL740" t="s">
        <v>105</v>
      </c>
      <c r="AM740" t="s">
        <v>105</v>
      </c>
      <c r="AN740" t="s">
        <v>105</v>
      </c>
      <c r="AT740">
        <v>1</v>
      </c>
      <c r="BC740">
        <v>21</v>
      </c>
      <c r="BD740">
        <v>21</v>
      </c>
      <c r="BE740" t="s">
        <v>105</v>
      </c>
      <c r="BF740">
        <v>507</v>
      </c>
      <c r="BG740">
        <v>721</v>
      </c>
      <c r="BI740" t="s">
        <v>106</v>
      </c>
      <c r="BJ740">
        <v>1</v>
      </c>
      <c r="BL740" t="s">
        <v>1605</v>
      </c>
      <c r="BM740" s="4">
        <v>43283.364583333336</v>
      </c>
      <c r="BN740" s="4">
        <v>43283.374201388891</v>
      </c>
      <c r="BO740" s="4">
        <v>43283.374201388891</v>
      </c>
      <c r="BP740" t="s">
        <v>92</v>
      </c>
      <c r="BQ740" t="s">
        <v>93</v>
      </c>
      <c r="BR740" t="s">
        <v>94</v>
      </c>
    </row>
    <row r="741" spans="1:70" x14ac:dyDescent="0.3">
      <c r="A741" t="str">
        <f>"200433C0100"</f>
        <v>200433C0100</v>
      </c>
      <c r="B741" t="s">
        <v>1606</v>
      </c>
      <c r="C741">
        <v>20</v>
      </c>
      <c r="D741" t="s">
        <v>88</v>
      </c>
      <c r="E741">
        <v>59</v>
      </c>
      <c r="F741" t="s">
        <v>1594</v>
      </c>
      <c r="G741">
        <v>433</v>
      </c>
      <c r="H741">
        <v>1</v>
      </c>
      <c r="I741" t="s">
        <v>98</v>
      </c>
      <c r="J741">
        <v>0</v>
      </c>
      <c r="K741">
        <v>2</v>
      </c>
      <c r="L741">
        <v>5</v>
      </c>
      <c r="M741">
        <v>270</v>
      </c>
      <c r="N741">
        <v>473</v>
      </c>
      <c r="O741">
        <v>6</v>
      </c>
      <c r="P741">
        <v>473</v>
      </c>
      <c r="Q741">
        <v>43</v>
      </c>
      <c r="R741">
        <v>115</v>
      </c>
      <c r="S741">
        <v>1</v>
      </c>
      <c r="T741">
        <v>3</v>
      </c>
      <c r="U741">
        <v>5</v>
      </c>
      <c r="V741">
        <v>0</v>
      </c>
      <c r="W741">
        <v>109</v>
      </c>
      <c r="X741">
        <v>100</v>
      </c>
      <c r="Y741">
        <v>62</v>
      </c>
      <c r="Z741">
        <v>2</v>
      </c>
      <c r="AA741">
        <v>2</v>
      </c>
      <c r="AC741">
        <v>1</v>
      </c>
      <c r="AD741">
        <v>2</v>
      </c>
      <c r="AE741">
        <v>0</v>
      </c>
      <c r="AF741">
        <v>0</v>
      </c>
      <c r="AK741">
        <v>3</v>
      </c>
      <c r="AL741">
        <v>0</v>
      </c>
      <c r="AM741">
        <v>0</v>
      </c>
      <c r="AN741">
        <v>0</v>
      </c>
      <c r="AT741">
        <v>1</v>
      </c>
      <c r="BC741">
        <v>0</v>
      </c>
      <c r="BD741">
        <v>25</v>
      </c>
      <c r="BE741">
        <v>473</v>
      </c>
      <c r="BF741">
        <v>474</v>
      </c>
      <c r="BG741">
        <v>721</v>
      </c>
      <c r="BJ741">
        <v>1</v>
      </c>
      <c r="BL741" t="s">
        <v>1607</v>
      </c>
      <c r="BM741" s="4">
        <v>43283.364583333336</v>
      </c>
      <c r="BN741" s="4">
        <v>43283.374988425923</v>
      </c>
      <c r="BO741" s="4">
        <v>43283.374988425923</v>
      </c>
      <c r="BP741" t="s">
        <v>92</v>
      </c>
      <c r="BQ741" t="s">
        <v>93</v>
      </c>
      <c r="BR741" t="s">
        <v>94</v>
      </c>
    </row>
    <row r="742" spans="1:70" x14ac:dyDescent="0.3">
      <c r="A742" t="str">
        <f>"200433C0200"</f>
        <v>200433C0200</v>
      </c>
      <c r="B742" t="s">
        <v>1608</v>
      </c>
      <c r="C742">
        <v>20</v>
      </c>
      <c r="D742" t="s">
        <v>88</v>
      </c>
      <c r="E742">
        <v>59</v>
      </c>
      <c r="F742" t="s">
        <v>1594</v>
      </c>
      <c r="G742">
        <v>433</v>
      </c>
      <c r="H742">
        <v>2</v>
      </c>
      <c r="I742" t="s">
        <v>98</v>
      </c>
      <c r="J742">
        <v>0</v>
      </c>
      <c r="K742">
        <v>2</v>
      </c>
      <c r="L742">
        <v>5</v>
      </c>
      <c r="M742">
        <v>255</v>
      </c>
      <c r="N742">
        <v>488</v>
      </c>
      <c r="O742">
        <v>4</v>
      </c>
      <c r="P742">
        <v>488</v>
      </c>
      <c r="Q742">
        <v>37</v>
      </c>
      <c r="R742">
        <v>122</v>
      </c>
      <c r="S742">
        <v>2</v>
      </c>
      <c r="T742">
        <v>3</v>
      </c>
      <c r="U742">
        <v>4</v>
      </c>
      <c r="V742">
        <v>3</v>
      </c>
      <c r="W742">
        <v>109</v>
      </c>
      <c r="X742">
        <v>100</v>
      </c>
      <c r="Y742">
        <v>71</v>
      </c>
      <c r="Z742">
        <v>6</v>
      </c>
      <c r="AA742">
        <v>4</v>
      </c>
      <c r="AC742">
        <v>0</v>
      </c>
      <c r="AD742">
        <v>0</v>
      </c>
      <c r="AE742">
        <v>0</v>
      </c>
      <c r="AF742">
        <v>0</v>
      </c>
      <c r="AK742">
        <v>4</v>
      </c>
      <c r="AL742">
        <v>0</v>
      </c>
      <c r="AM742">
        <v>0</v>
      </c>
      <c r="AN742">
        <v>3</v>
      </c>
      <c r="AT742">
        <v>2</v>
      </c>
      <c r="BC742">
        <v>1</v>
      </c>
      <c r="BD742">
        <v>17</v>
      </c>
      <c r="BE742">
        <v>488</v>
      </c>
      <c r="BF742">
        <v>488</v>
      </c>
      <c r="BG742">
        <v>721</v>
      </c>
      <c r="BJ742">
        <v>1</v>
      </c>
      <c r="BL742" t="s">
        <v>1609</v>
      </c>
      <c r="BM742" s="4">
        <v>43283.365277777775</v>
      </c>
      <c r="BN742" s="4">
        <v>43283.376585648148</v>
      </c>
      <c r="BO742" s="4">
        <v>43283.376585648148</v>
      </c>
      <c r="BP742" t="s">
        <v>92</v>
      </c>
      <c r="BQ742" t="s">
        <v>93</v>
      </c>
      <c r="BR742" t="s">
        <v>94</v>
      </c>
    </row>
    <row r="743" spans="1:70" x14ac:dyDescent="0.3">
      <c r="A743" t="str">
        <f>"200433C0300"</f>
        <v>200433C0300</v>
      </c>
      <c r="B743" t="s">
        <v>1610</v>
      </c>
      <c r="C743">
        <v>20</v>
      </c>
      <c r="D743" t="s">
        <v>88</v>
      </c>
      <c r="E743">
        <v>59</v>
      </c>
      <c r="F743" t="s">
        <v>1594</v>
      </c>
      <c r="G743">
        <v>433</v>
      </c>
      <c r="H743">
        <v>3</v>
      </c>
      <c r="I743" t="s">
        <v>98</v>
      </c>
      <c r="J743">
        <v>0</v>
      </c>
      <c r="K743">
        <v>2</v>
      </c>
      <c r="L743">
        <v>5</v>
      </c>
      <c r="M743">
        <v>254</v>
      </c>
      <c r="N743">
        <v>489</v>
      </c>
      <c r="O743">
        <v>8</v>
      </c>
      <c r="P743">
        <v>490</v>
      </c>
      <c r="Q743">
        <v>39</v>
      </c>
      <c r="R743">
        <v>86</v>
      </c>
      <c r="S743">
        <v>2</v>
      </c>
      <c r="T743">
        <v>3</v>
      </c>
      <c r="U743">
        <v>8</v>
      </c>
      <c r="V743">
        <v>6</v>
      </c>
      <c r="W743">
        <v>128</v>
      </c>
      <c r="X743">
        <v>106</v>
      </c>
      <c r="Y743">
        <v>83</v>
      </c>
      <c r="Z743">
        <v>9</v>
      </c>
      <c r="AA743">
        <v>0</v>
      </c>
      <c r="AC743">
        <v>0</v>
      </c>
      <c r="AD743">
        <v>0</v>
      </c>
      <c r="AE743">
        <v>0</v>
      </c>
      <c r="AF743">
        <v>0</v>
      </c>
      <c r="AK743">
        <v>4</v>
      </c>
      <c r="AL743">
        <v>0</v>
      </c>
      <c r="AM743">
        <v>0</v>
      </c>
      <c r="AN743">
        <v>2</v>
      </c>
      <c r="AT743">
        <v>0</v>
      </c>
      <c r="BC743">
        <v>0</v>
      </c>
      <c r="BD743">
        <v>14</v>
      </c>
      <c r="BE743">
        <v>490</v>
      </c>
      <c r="BF743">
        <v>490</v>
      </c>
      <c r="BG743">
        <v>721</v>
      </c>
      <c r="BJ743">
        <v>1</v>
      </c>
      <c r="BL743" t="s">
        <v>1611</v>
      </c>
      <c r="BM743" s="4">
        <v>43283.365277777775</v>
      </c>
      <c r="BN743" s="4">
        <v>43283.382349537038</v>
      </c>
      <c r="BO743" s="4">
        <v>43283.382349537038</v>
      </c>
      <c r="BP743" t="s">
        <v>92</v>
      </c>
      <c r="BQ743" t="s">
        <v>93</v>
      </c>
      <c r="BR743" t="s">
        <v>94</v>
      </c>
    </row>
    <row r="744" spans="1:70" x14ac:dyDescent="0.3">
      <c r="A744" t="str">
        <f>"200433C0400"</f>
        <v>200433C0400</v>
      </c>
      <c r="B744" t="s">
        <v>1612</v>
      </c>
      <c r="C744">
        <v>20</v>
      </c>
      <c r="D744" t="s">
        <v>88</v>
      </c>
      <c r="E744">
        <v>59</v>
      </c>
      <c r="F744" t="s">
        <v>1594</v>
      </c>
      <c r="G744">
        <v>433</v>
      </c>
      <c r="H744">
        <v>4</v>
      </c>
      <c r="I744" t="s">
        <v>98</v>
      </c>
      <c r="J744">
        <v>0</v>
      </c>
      <c r="K744">
        <v>2</v>
      </c>
      <c r="L744">
        <v>5</v>
      </c>
      <c r="M744">
        <v>278</v>
      </c>
      <c r="N744">
        <v>464</v>
      </c>
      <c r="O744">
        <v>10</v>
      </c>
      <c r="P744">
        <v>465</v>
      </c>
      <c r="Q744">
        <v>36</v>
      </c>
      <c r="R744">
        <v>98</v>
      </c>
      <c r="S744">
        <v>1</v>
      </c>
      <c r="T744">
        <v>3</v>
      </c>
      <c r="U744">
        <v>4</v>
      </c>
      <c r="V744">
        <v>4</v>
      </c>
      <c r="W744">
        <v>103</v>
      </c>
      <c r="X744">
        <v>109</v>
      </c>
      <c r="Y744">
        <v>68</v>
      </c>
      <c r="Z744">
        <v>6</v>
      </c>
      <c r="AA744">
        <v>3</v>
      </c>
      <c r="AC744">
        <v>1</v>
      </c>
      <c r="AD744">
        <v>0</v>
      </c>
      <c r="AE744">
        <v>0</v>
      </c>
      <c r="AF744">
        <v>0</v>
      </c>
      <c r="AK744">
        <v>4</v>
      </c>
      <c r="AL744">
        <v>0</v>
      </c>
      <c r="AM744">
        <v>0</v>
      </c>
      <c r="AN744">
        <v>0</v>
      </c>
      <c r="AT744">
        <v>0</v>
      </c>
      <c r="BC744">
        <v>0</v>
      </c>
      <c r="BD744">
        <v>25</v>
      </c>
      <c r="BE744">
        <v>465</v>
      </c>
      <c r="BF744">
        <v>465</v>
      </c>
      <c r="BG744">
        <v>721</v>
      </c>
      <c r="BJ744">
        <v>1</v>
      </c>
      <c r="BL744" t="s">
        <v>1613</v>
      </c>
      <c r="BM744" s="4">
        <v>43283.365972222222</v>
      </c>
      <c r="BN744" s="4">
        <v>43283.376250000001</v>
      </c>
      <c r="BO744" s="4">
        <v>43283.376250000001</v>
      </c>
      <c r="BP744" t="s">
        <v>92</v>
      </c>
      <c r="BQ744" t="s">
        <v>93</v>
      </c>
      <c r="BR744" t="s">
        <v>94</v>
      </c>
    </row>
    <row r="745" spans="1:70" x14ac:dyDescent="0.3">
      <c r="A745" t="str">
        <f>"200434B0100"</f>
        <v>200434B0100</v>
      </c>
      <c r="B745" t="s">
        <v>1614</v>
      </c>
      <c r="C745">
        <v>20</v>
      </c>
      <c r="D745" t="s">
        <v>88</v>
      </c>
      <c r="E745">
        <v>59</v>
      </c>
      <c r="F745" t="s">
        <v>1594</v>
      </c>
      <c r="G745">
        <v>434</v>
      </c>
      <c r="H745">
        <v>1</v>
      </c>
      <c r="I745" t="s">
        <v>90</v>
      </c>
      <c r="J745">
        <v>0</v>
      </c>
      <c r="K745">
        <v>2</v>
      </c>
      <c r="L745">
        <v>5</v>
      </c>
      <c r="M745">
        <v>185</v>
      </c>
      <c r="N745">
        <v>365</v>
      </c>
      <c r="O745">
        <v>8</v>
      </c>
      <c r="P745">
        <v>365</v>
      </c>
      <c r="Q745">
        <v>38</v>
      </c>
      <c r="R745">
        <v>73</v>
      </c>
      <c r="S745">
        <v>1</v>
      </c>
      <c r="T745">
        <v>4</v>
      </c>
      <c r="U745">
        <v>5</v>
      </c>
      <c r="V745">
        <v>1</v>
      </c>
      <c r="W745">
        <v>92</v>
      </c>
      <c r="X745">
        <v>49</v>
      </c>
      <c r="Y745">
        <v>72</v>
      </c>
      <c r="Z745">
        <v>6</v>
      </c>
      <c r="AA745">
        <v>4</v>
      </c>
      <c r="AC745">
        <v>0</v>
      </c>
      <c r="AD745">
        <v>0</v>
      </c>
      <c r="AE745">
        <v>1</v>
      </c>
      <c r="AF745">
        <v>0</v>
      </c>
      <c r="AK745">
        <v>0</v>
      </c>
      <c r="AL745">
        <v>0</v>
      </c>
      <c r="AM745">
        <v>0</v>
      </c>
      <c r="AN745">
        <v>2</v>
      </c>
      <c r="AT745">
        <v>3</v>
      </c>
      <c r="BC745">
        <v>0</v>
      </c>
      <c r="BD745">
        <v>14</v>
      </c>
      <c r="BE745">
        <v>365</v>
      </c>
      <c r="BF745">
        <v>365</v>
      </c>
      <c r="BG745">
        <v>528</v>
      </c>
      <c r="BJ745">
        <v>1</v>
      </c>
      <c r="BL745" t="s">
        <v>1615</v>
      </c>
      <c r="BM745" s="4">
        <v>43283.165972222225</v>
      </c>
      <c r="BN745" s="4">
        <v>43283.185277777775</v>
      </c>
      <c r="BO745" s="4">
        <v>43283.185277777775</v>
      </c>
      <c r="BP745" t="s">
        <v>92</v>
      </c>
      <c r="BQ745" t="s">
        <v>93</v>
      </c>
      <c r="BR745" t="s">
        <v>94</v>
      </c>
    </row>
    <row r="746" spans="1:70" x14ac:dyDescent="0.3">
      <c r="A746" t="str">
        <f>"200434C0100"</f>
        <v>200434C0100</v>
      </c>
      <c r="B746" t="s">
        <v>1616</v>
      </c>
      <c r="C746">
        <v>20</v>
      </c>
      <c r="D746" t="s">
        <v>88</v>
      </c>
      <c r="E746">
        <v>59</v>
      </c>
      <c r="F746" t="s">
        <v>1594</v>
      </c>
      <c r="G746">
        <v>434</v>
      </c>
      <c r="H746">
        <v>1</v>
      </c>
      <c r="I746" t="s">
        <v>98</v>
      </c>
      <c r="J746">
        <v>0</v>
      </c>
      <c r="K746">
        <v>2</v>
      </c>
      <c r="L746">
        <v>5</v>
      </c>
      <c r="M746" t="s">
        <v>105</v>
      </c>
      <c r="N746" t="s">
        <v>105</v>
      </c>
      <c r="O746" t="s">
        <v>105</v>
      </c>
      <c r="P746" t="s">
        <v>105</v>
      </c>
      <c r="Q746">
        <v>22</v>
      </c>
      <c r="R746">
        <v>83</v>
      </c>
      <c r="S746">
        <v>7</v>
      </c>
      <c r="T746">
        <v>1</v>
      </c>
      <c r="U746">
        <v>3</v>
      </c>
      <c r="V746">
        <v>1</v>
      </c>
      <c r="W746">
        <v>87</v>
      </c>
      <c r="X746">
        <v>67</v>
      </c>
      <c r="Y746">
        <v>68</v>
      </c>
      <c r="Z746">
        <v>7</v>
      </c>
      <c r="AA746">
        <v>3</v>
      </c>
      <c r="AC746">
        <v>1</v>
      </c>
      <c r="AD746">
        <v>0</v>
      </c>
      <c r="AE746">
        <v>0</v>
      </c>
      <c r="AF746">
        <v>0</v>
      </c>
      <c r="AK746">
        <v>3</v>
      </c>
      <c r="AL746">
        <v>1</v>
      </c>
      <c r="AM746" t="s">
        <v>105</v>
      </c>
      <c r="AN746" t="s">
        <v>105</v>
      </c>
      <c r="AT746" t="s">
        <v>105</v>
      </c>
      <c r="BC746" t="s">
        <v>105</v>
      </c>
      <c r="BD746">
        <v>6</v>
      </c>
      <c r="BE746" t="s">
        <v>105</v>
      </c>
      <c r="BF746">
        <v>360</v>
      </c>
      <c r="BG746">
        <v>527</v>
      </c>
      <c r="BI746" t="s">
        <v>106</v>
      </c>
      <c r="BJ746">
        <v>1</v>
      </c>
      <c r="BL746" t="s">
        <v>1617</v>
      </c>
      <c r="BM746" s="4">
        <v>43283.165972222225</v>
      </c>
      <c r="BN746" s="4">
        <v>43283.178842592592</v>
      </c>
      <c r="BO746" s="4">
        <v>43283.178842592592</v>
      </c>
      <c r="BP746" t="s">
        <v>92</v>
      </c>
      <c r="BQ746" t="s">
        <v>93</v>
      </c>
      <c r="BR746" t="s">
        <v>94</v>
      </c>
    </row>
    <row r="747" spans="1:70" x14ac:dyDescent="0.3">
      <c r="A747" t="str">
        <f>"200434C0200"</f>
        <v>200434C0200</v>
      </c>
      <c r="B747" t="s">
        <v>1618</v>
      </c>
      <c r="C747">
        <v>20</v>
      </c>
      <c r="D747" t="s">
        <v>88</v>
      </c>
      <c r="E747">
        <v>59</v>
      </c>
      <c r="F747" t="s">
        <v>1594</v>
      </c>
      <c r="G747">
        <v>434</v>
      </c>
      <c r="H747">
        <v>2</v>
      </c>
      <c r="I747" t="s">
        <v>98</v>
      </c>
      <c r="J747">
        <v>0</v>
      </c>
      <c r="K747">
        <v>2</v>
      </c>
      <c r="L747">
        <v>5</v>
      </c>
      <c r="M747">
        <v>152</v>
      </c>
      <c r="N747">
        <v>397</v>
      </c>
      <c r="O747">
        <v>12</v>
      </c>
      <c r="P747">
        <v>396</v>
      </c>
      <c r="Q747">
        <v>37</v>
      </c>
      <c r="R747">
        <v>105</v>
      </c>
      <c r="S747">
        <v>1</v>
      </c>
      <c r="T747">
        <v>2</v>
      </c>
      <c r="U747">
        <v>5</v>
      </c>
      <c r="V747">
        <v>1</v>
      </c>
      <c r="W747">
        <v>95</v>
      </c>
      <c r="X747">
        <v>61</v>
      </c>
      <c r="Y747">
        <v>72</v>
      </c>
      <c r="Z747">
        <v>3</v>
      </c>
      <c r="AA747">
        <v>2</v>
      </c>
      <c r="AC747">
        <v>1</v>
      </c>
      <c r="AD747">
        <v>0</v>
      </c>
      <c r="AE747">
        <v>0</v>
      </c>
      <c r="AF747">
        <v>0</v>
      </c>
      <c r="AK747">
        <v>0</v>
      </c>
      <c r="AL747">
        <v>0</v>
      </c>
      <c r="AM747">
        <v>0</v>
      </c>
      <c r="AN747">
        <v>0</v>
      </c>
      <c r="AT747">
        <v>2</v>
      </c>
      <c r="BC747">
        <v>0</v>
      </c>
      <c r="BD747">
        <v>9</v>
      </c>
      <c r="BE747">
        <v>396</v>
      </c>
      <c r="BF747">
        <v>396</v>
      </c>
      <c r="BG747">
        <v>527</v>
      </c>
      <c r="BJ747">
        <v>1</v>
      </c>
      <c r="BL747" t="s">
        <v>1619</v>
      </c>
      <c r="BM747" s="4">
        <v>43283.166666666664</v>
      </c>
      <c r="BN747" s="4">
        <v>43283.179293981484</v>
      </c>
      <c r="BO747" s="4">
        <v>43283.179293981484</v>
      </c>
      <c r="BP747" t="s">
        <v>92</v>
      </c>
      <c r="BQ747" t="s">
        <v>93</v>
      </c>
      <c r="BR747" t="s">
        <v>94</v>
      </c>
    </row>
    <row r="748" spans="1:70" x14ac:dyDescent="0.3">
      <c r="A748" t="str">
        <f>"200434E0100"</f>
        <v>200434E0100</v>
      </c>
      <c r="B748" s="2" t="s">
        <v>1620</v>
      </c>
      <c r="C748">
        <v>20</v>
      </c>
      <c r="D748" t="s">
        <v>88</v>
      </c>
      <c r="E748">
        <v>59</v>
      </c>
      <c r="F748" t="s">
        <v>1594</v>
      </c>
      <c r="G748">
        <v>434</v>
      </c>
      <c r="H748">
        <v>1</v>
      </c>
      <c r="I748" t="s">
        <v>156</v>
      </c>
      <c r="J748">
        <v>0</v>
      </c>
      <c r="K748">
        <v>2</v>
      </c>
      <c r="L748">
        <v>5</v>
      </c>
      <c r="M748">
        <v>82</v>
      </c>
      <c r="N748">
        <v>224</v>
      </c>
      <c r="O748">
        <v>11</v>
      </c>
      <c r="P748">
        <v>224</v>
      </c>
      <c r="Q748">
        <v>28</v>
      </c>
      <c r="R748">
        <v>72</v>
      </c>
      <c r="S748">
        <v>2</v>
      </c>
      <c r="T748">
        <v>3</v>
      </c>
      <c r="U748">
        <v>1</v>
      </c>
      <c r="V748">
        <v>3</v>
      </c>
      <c r="W748">
        <v>35</v>
      </c>
      <c r="X748">
        <v>53</v>
      </c>
      <c r="Y748">
        <v>8</v>
      </c>
      <c r="Z748">
        <v>0</v>
      </c>
      <c r="AA748">
        <v>0</v>
      </c>
      <c r="AC748">
        <v>0</v>
      </c>
      <c r="AD748">
        <v>0</v>
      </c>
      <c r="AE748">
        <v>0</v>
      </c>
      <c r="AF748">
        <v>0</v>
      </c>
      <c r="AK748">
        <v>0</v>
      </c>
      <c r="AL748">
        <v>0</v>
      </c>
      <c r="AM748">
        <v>0</v>
      </c>
      <c r="AN748">
        <v>0</v>
      </c>
      <c r="AT748">
        <v>0</v>
      </c>
      <c r="BC748">
        <v>0</v>
      </c>
      <c r="BD748">
        <v>19</v>
      </c>
      <c r="BE748" t="s">
        <v>105</v>
      </c>
      <c r="BF748">
        <v>224</v>
      </c>
      <c r="BG748">
        <v>284</v>
      </c>
      <c r="BJ748">
        <v>1</v>
      </c>
      <c r="BL748" t="s">
        <v>1621</v>
      </c>
      <c r="BM748" s="4">
        <v>43283.166666666664</v>
      </c>
      <c r="BN748" s="4">
        <v>43283.185810185183</v>
      </c>
      <c r="BO748" s="4">
        <v>43283.185810185183</v>
      </c>
      <c r="BP748" t="s">
        <v>92</v>
      </c>
      <c r="BQ748" t="s">
        <v>93</v>
      </c>
      <c r="BR748" t="s">
        <v>94</v>
      </c>
    </row>
    <row r="749" spans="1:70" x14ac:dyDescent="0.3">
      <c r="A749" t="str">
        <f>"200435B0100"</f>
        <v>200435B0100</v>
      </c>
      <c r="B749" t="s">
        <v>1622</v>
      </c>
      <c r="C749">
        <v>20</v>
      </c>
      <c r="D749" t="s">
        <v>88</v>
      </c>
      <c r="E749">
        <v>59</v>
      </c>
      <c r="F749" t="s">
        <v>1594</v>
      </c>
      <c r="G749">
        <v>435</v>
      </c>
      <c r="H749">
        <v>1</v>
      </c>
      <c r="I749" t="s">
        <v>90</v>
      </c>
      <c r="J749">
        <v>0</v>
      </c>
      <c r="K749">
        <v>2</v>
      </c>
      <c r="L749">
        <v>5</v>
      </c>
      <c r="M749">
        <v>250</v>
      </c>
      <c r="N749">
        <v>467</v>
      </c>
      <c r="O749">
        <v>7</v>
      </c>
      <c r="P749">
        <v>463</v>
      </c>
      <c r="Q749">
        <v>55</v>
      </c>
      <c r="R749">
        <v>109</v>
      </c>
      <c r="S749">
        <v>0</v>
      </c>
      <c r="T749">
        <v>3</v>
      </c>
      <c r="U749">
        <v>2</v>
      </c>
      <c r="V749">
        <v>2</v>
      </c>
      <c r="W749">
        <v>113</v>
      </c>
      <c r="X749">
        <v>80</v>
      </c>
      <c r="Y749">
        <v>61</v>
      </c>
      <c r="Z749">
        <v>4</v>
      </c>
      <c r="AA749">
        <v>2</v>
      </c>
      <c r="AC749">
        <v>0</v>
      </c>
      <c r="AD749">
        <v>1</v>
      </c>
      <c r="AE749">
        <v>0</v>
      </c>
      <c r="AF749">
        <v>2</v>
      </c>
      <c r="AK749">
        <v>3</v>
      </c>
      <c r="AL749">
        <v>0</v>
      </c>
      <c r="AM749">
        <v>5</v>
      </c>
      <c r="AN749">
        <v>1</v>
      </c>
      <c r="AT749">
        <v>0</v>
      </c>
      <c r="BC749">
        <v>20</v>
      </c>
      <c r="BD749">
        <v>0</v>
      </c>
      <c r="BE749">
        <v>463</v>
      </c>
      <c r="BF749">
        <v>463</v>
      </c>
      <c r="BG749">
        <v>699</v>
      </c>
      <c r="BJ749">
        <v>1</v>
      </c>
      <c r="BL749" t="s">
        <v>1623</v>
      </c>
      <c r="BM749" s="4">
        <v>43283.306944444441</v>
      </c>
      <c r="BN749" s="4">
        <v>43283.331712962965</v>
      </c>
      <c r="BO749" s="4">
        <v>43283.331712962965</v>
      </c>
      <c r="BP749" t="s">
        <v>92</v>
      </c>
      <c r="BQ749" t="s">
        <v>93</v>
      </c>
      <c r="BR749" t="s">
        <v>94</v>
      </c>
    </row>
    <row r="750" spans="1:70" x14ac:dyDescent="0.3">
      <c r="A750" t="str">
        <f>"200435C0100"</f>
        <v>200435C0100</v>
      </c>
      <c r="B750" t="s">
        <v>1624</v>
      </c>
      <c r="C750">
        <v>20</v>
      </c>
      <c r="D750" t="s">
        <v>88</v>
      </c>
      <c r="E750">
        <v>59</v>
      </c>
      <c r="F750" t="s">
        <v>1594</v>
      </c>
      <c r="G750">
        <v>435</v>
      </c>
      <c r="H750">
        <v>1</v>
      </c>
      <c r="I750" t="s">
        <v>98</v>
      </c>
      <c r="J750">
        <v>0</v>
      </c>
      <c r="K750">
        <v>2</v>
      </c>
      <c r="L750">
        <v>5</v>
      </c>
      <c r="M750">
        <v>241</v>
      </c>
      <c r="N750">
        <v>476</v>
      </c>
      <c r="O750">
        <v>7</v>
      </c>
      <c r="P750">
        <v>479</v>
      </c>
      <c r="Q750">
        <v>55</v>
      </c>
      <c r="R750">
        <v>116</v>
      </c>
      <c r="S750">
        <v>6</v>
      </c>
      <c r="T750">
        <v>2</v>
      </c>
      <c r="U750">
        <v>5</v>
      </c>
      <c r="V750">
        <v>0</v>
      </c>
      <c r="W750">
        <v>136</v>
      </c>
      <c r="X750">
        <v>89</v>
      </c>
      <c r="Y750">
        <v>49</v>
      </c>
      <c r="Z750">
        <v>1</v>
      </c>
      <c r="AA750">
        <v>1</v>
      </c>
      <c r="AC750">
        <v>2</v>
      </c>
      <c r="AD750">
        <v>0</v>
      </c>
      <c r="AE750">
        <v>1</v>
      </c>
      <c r="AF750">
        <v>0</v>
      </c>
      <c r="AK750">
        <v>0</v>
      </c>
      <c r="AL750">
        <v>0</v>
      </c>
      <c r="AM750">
        <v>0</v>
      </c>
      <c r="AN750">
        <v>1</v>
      </c>
      <c r="AT750">
        <v>0</v>
      </c>
      <c r="BC750">
        <v>0</v>
      </c>
      <c r="BD750">
        <v>15</v>
      </c>
      <c r="BE750">
        <v>479</v>
      </c>
      <c r="BF750">
        <v>479</v>
      </c>
      <c r="BG750">
        <v>698</v>
      </c>
      <c r="BJ750">
        <v>1</v>
      </c>
      <c r="BL750" t="s">
        <v>1625</v>
      </c>
      <c r="BM750" s="4">
        <v>43283.306944444441</v>
      </c>
      <c r="BN750" s="4">
        <v>43283.332592592589</v>
      </c>
      <c r="BO750" s="4">
        <v>43283.332592592589</v>
      </c>
      <c r="BP750" t="s">
        <v>92</v>
      </c>
      <c r="BQ750" t="s">
        <v>93</v>
      </c>
      <c r="BR750" t="s">
        <v>94</v>
      </c>
    </row>
    <row r="751" spans="1:70" x14ac:dyDescent="0.3">
      <c r="A751" t="str">
        <f>"200436B0100"</f>
        <v>200436B0100</v>
      </c>
      <c r="B751" t="s">
        <v>1626</v>
      </c>
      <c r="C751">
        <v>20</v>
      </c>
      <c r="D751" t="s">
        <v>88</v>
      </c>
      <c r="E751">
        <v>59</v>
      </c>
      <c r="F751" t="s">
        <v>1594</v>
      </c>
      <c r="G751">
        <v>436</v>
      </c>
      <c r="H751">
        <v>1</v>
      </c>
      <c r="I751" t="s">
        <v>90</v>
      </c>
      <c r="J751">
        <v>0</v>
      </c>
      <c r="K751">
        <v>2</v>
      </c>
      <c r="L751">
        <v>5</v>
      </c>
      <c r="M751">
        <v>240</v>
      </c>
      <c r="N751">
        <v>529</v>
      </c>
      <c r="O751">
        <v>7</v>
      </c>
      <c r="P751">
        <v>529</v>
      </c>
      <c r="Q751">
        <v>45</v>
      </c>
      <c r="R751">
        <v>137</v>
      </c>
      <c r="S751">
        <v>3</v>
      </c>
      <c r="T751">
        <v>8</v>
      </c>
      <c r="U751">
        <v>8</v>
      </c>
      <c r="V751">
        <v>3</v>
      </c>
      <c r="W751">
        <v>98</v>
      </c>
      <c r="X751">
        <v>106</v>
      </c>
      <c r="Y751">
        <v>85</v>
      </c>
      <c r="Z751">
        <v>10</v>
      </c>
      <c r="AA751">
        <v>0</v>
      </c>
      <c r="AC751">
        <v>0</v>
      </c>
      <c r="AD751">
        <v>0</v>
      </c>
      <c r="AE751">
        <v>1</v>
      </c>
      <c r="AF751">
        <v>0</v>
      </c>
      <c r="AK751">
        <v>0</v>
      </c>
      <c r="AL751">
        <v>2</v>
      </c>
      <c r="AM751">
        <v>0</v>
      </c>
      <c r="AN751">
        <v>3</v>
      </c>
      <c r="AT751">
        <v>1</v>
      </c>
      <c r="BC751">
        <v>2</v>
      </c>
      <c r="BD751">
        <v>17</v>
      </c>
      <c r="BE751">
        <v>529</v>
      </c>
      <c r="BF751">
        <v>529</v>
      </c>
      <c r="BG751">
        <v>747</v>
      </c>
      <c r="BJ751">
        <v>1</v>
      </c>
      <c r="BL751" t="s">
        <v>1627</v>
      </c>
      <c r="BM751" s="4">
        <v>43283.307638888888</v>
      </c>
      <c r="BN751" s="4">
        <v>43283.335393518515</v>
      </c>
      <c r="BO751" s="4">
        <v>43283.335393518515</v>
      </c>
      <c r="BP751" t="s">
        <v>92</v>
      </c>
      <c r="BQ751" t="s">
        <v>93</v>
      </c>
      <c r="BR751" t="s">
        <v>94</v>
      </c>
    </row>
    <row r="752" spans="1:70" x14ac:dyDescent="0.3">
      <c r="A752" t="str">
        <f>"200436C0100"</f>
        <v>200436C0100</v>
      </c>
      <c r="B752" t="s">
        <v>1628</v>
      </c>
      <c r="C752">
        <v>20</v>
      </c>
      <c r="D752" t="s">
        <v>88</v>
      </c>
      <c r="E752">
        <v>59</v>
      </c>
      <c r="F752" t="s">
        <v>1594</v>
      </c>
      <c r="G752">
        <v>436</v>
      </c>
      <c r="H752">
        <v>1</v>
      </c>
      <c r="I752" t="s">
        <v>98</v>
      </c>
      <c r="J752">
        <v>0</v>
      </c>
      <c r="K752">
        <v>2</v>
      </c>
      <c r="L752">
        <v>5</v>
      </c>
      <c r="M752">
        <v>249</v>
      </c>
      <c r="N752" t="s">
        <v>105</v>
      </c>
      <c r="O752" t="s">
        <v>105</v>
      </c>
      <c r="P752">
        <v>519</v>
      </c>
      <c r="Q752">
        <v>39</v>
      </c>
      <c r="R752">
        <v>123</v>
      </c>
      <c r="S752">
        <v>5</v>
      </c>
      <c r="T752">
        <v>2</v>
      </c>
      <c r="U752">
        <v>3</v>
      </c>
      <c r="V752">
        <v>2</v>
      </c>
      <c r="W752">
        <v>129</v>
      </c>
      <c r="X752">
        <v>75</v>
      </c>
      <c r="Y752">
        <v>115</v>
      </c>
      <c r="Z752">
        <v>5</v>
      </c>
      <c r="AA752">
        <v>0</v>
      </c>
      <c r="AC752">
        <v>1</v>
      </c>
      <c r="AD752">
        <v>0</v>
      </c>
      <c r="AE752">
        <v>0</v>
      </c>
      <c r="AF752">
        <v>0</v>
      </c>
      <c r="AK752">
        <v>1</v>
      </c>
      <c r="AL752">
        <v>0</v>
      </c>
      <c r="AM752">
        <v>0</v>
      </c>
      <c r="AN752">
        <v>0</v>
      </c>
      <c r="AT752">
        <v>0</v>
      </c>
      <c r="BC752">
        <v>0</v>
      </c>
      <c r="BD752">
        <v>19</v>
      </c>
      <c r="BE752">
        <v>519</v>
      </c>
      <c r="BF752">
        <v>519</v>
      </c>
      <c r="BG752">
        <v>746</v>
      </c>
      <c r="BJ752">
        <v>1</v>
      </c>
      <c r="BL752" t="s">
        <v>1629</v>
      </c>
      <c r="BM752" s="4">
        <v>43283.306944444441</v>
      </c>
      <c r="BN752" s="4">
        <v>43283.333182870374</v>
      </c>
      <c r="BO752" s="4">
        <v>43283.333182870374</v>
      </c>
      <c r="BP752" t="s">
        <v>92</v>
      </c>
      <c r="BQ752" t="s">
        <v>93</v>
      </c>
      <c r="BR752" t="s">
        <v>94</v>
      </c>
    </row>
    <row r="753" spans="1:70" x14ac:dyDescent="0.3">
      <c r="A753" t="str">
        <f>"200437B0100"</f>
        <v>200437B0100</v>
      </c>
      <c r="B753" t="s">
        <v>1630</v>
      </c>
      <c r="C753">
        <v>20</v>
      </c>
      <c r="D753" t="s">
        <v>88</v>
      </c>
      <c r="E753">
        <v>59</v>
      </c>
      <c r="F753" t="s">
        <v>1594</v>
      </c>
      <c r="G753">
        <v>437</v>
      </c>
      <c r="H753">
        <v>1</v>
      </c>
      <c r="I753" t="s">
        <v>90</v>
      </c>
      <c r="J753">
        <v>0</v>
      </c>
      <c r="K753">
        <v>2</v>
      </c>
      <c r="L753">
        <v>5</v>
      </c>
      <c r="M753">
        <v>193</v>
      </c>
      <c r="N753">
        <v>609</v>
      </c>
      <c r="O753">
        <v>11</v>
      </c>
      <c r="P753">
        <v>416</v>
      </c>
      <c r="Q753">
        <v>30</v>
      </c>
      <c r="R753">
        <v>91</v>
      </c>
      <c r="S753">
        <v>1</v>
      </c>
      <c r="T753">
        <v>1</v>
      </c>
      <c r="U753">
        <v>4</v>
      </c>
      <c r="V753">
        <v>0</v>
      </c>
      <c r="W753">
        <v>138</v>
      </c>
      <c r="X753">
        <v>50</v>
      </c>
      <c r="Y753">
        <v>68</v>
      </c>
      <c r="Z753">
        <v>10</v>
      </c>
      <c r="AA753">
        <v>0</v>
      </c>
      <c r="AC753">
        <v>2</v>
      </c>
      <c r="AD753">
        <v>0</v>
      </c>
      <c r="AE753">
        <v>0</v>
      </c>
      <c r="AF753">
        <v>0</v>
      </c>
      <c r="AK753">
        <v>3</v>
      </c>
      <c r="AL753">
        <v>1</v>
      </c>
      <c r="AM753">
        <v>0</v>
      </c>
      <c r="AN753">
        <v>2</v>
      </c>
      <c r="AT753">
        <v>0</v>
      </c>
      <c r="BC753" t="s">
        <v>105</v>
      </c>
      <c r="BD753">
        <v>12</v>
      </c>
      <c r="BE753">
        <v>416</v>
      </c>
      <c r="BF753">
        <v>413</v>
      </c>
      <c r="BG753">
        <v>587</v>
      </c>
      <c r="BI753" t="s">
        <v>106</v>
      </c>
      <c r="BJ753">
        <v>1</v>
      </c>
      <c r="BL753" s="2" t="s">
        <v>1631</v>
      </c>
      <c r="BM753" s="4">
        <v>43283.307638888888</v>
      </c>
      <c r="BN753" s="4">
        <v>43283.335046296299</v>
      </c>
      <c r="BO753" s="4">
        <v>43283.335046296299</v>
      </c>
      <c r="BP753" t="s">
        <v>92</v>
      </c>
      <c r="BQ753" t="s">
        <v>93</v>
      </c>
      <c r="BR753" t="s">
        <v>94</v>
      </c>
    </row>
    <row r="754" spans="1:70" x14ac:dyDescent="0.3">
      <c r="A754" t="str">
        <f>"200437C0100"</f>
        <v>200437C0100</v>
      </c>
      <c r="B754" t="s">
        <v>1632</v>
      </c>
      <c r="C754">
        <v>20</v>
      </c>
      <c r="D754" t="s">
        <v>88</v>
      </c>
      <c r="E754">
        <v>59</v>
      </c>
      <c r="F754" t="s">
        <v>1594</v>
      </c>
      <c r="G754">
        <v>437</v>
      </c>
      <c r="H754">
        <v>1</v>
      </c>
      <c r="I754" t="s">
        <v>98</v>
      </c>
      <c r="J754">
        <v>0</v>
      </c>
      <c r="K754">
        <v>2</v>
      </c>
      <c r="L754">
        <v>5</v>
      </c>
      <c r="M754" t="s">
        <v>127</v>
      </c>
      <c r="N754" t="s">
        <v>127</v>
      </c>
      <c r="O754" t="s">
        <v>127</v>
      </c>
      <c r="P754" t="s">
        <v>127</v>
      </c>
      <c r="Q754" t="s">
        <v>127</v>
      </c>
      <c r="R754" t="s">
        <v>127</v>
      </c>
      <c r="S754" t="s">
        <v>127</v>
      </c>
      <c r="T754" t="s">
        <v>127</v>
      </c>
      <c r="U754" t="s">
        <v>127</v>
      </c>
      <c r="V754" t="s">
        <v>127</v>
      </c>
      <c r="W754" t="s">
        <v>127</v>
      </c>
      <c r="X754" t="s">
        <v>127</v>
      </c>
      <c r="Y754" t="s">
        <v>127</v>
      </c>
      <c r="Z754" t="s">
        <v>127</v>
      </c>
      <c r="AA754" t="s">
        <v>127</v>
      </c>
      <c r="AC754" t="s">
        <v>127</v>
      </c>
      <c r="AD754" t="s">
        <v>127</v>
      </c>
      <c r="AE754" t="s">
        <v>127</v>
      </c>
      <c r="AF754" t="s">
        <v>127</v>
      </c>
      <c r="AK754" t="s">
        <v>127</v>
      </c>
      <c r="AL754" t="s">
        <v>127</v>
      </c>
      <c r="AM754" t="s">
        <v>127</v>
      </c>
      <c r="AN754" t="s">
        <v>127</v>
      </c>
      <c r="AT754" t="s">
        <v>127</v>
      </c>
      <c r="BC754" t="s">
        <v>127</v>
      </c>
      <c r="BD754" t="s">
        <v>127</v>
      </c>
      <c r="BG754">
        <v>587</v>
      </c>
      <c r="BI754" t="s">
        <v>1244</v>
      </c>
      <c r="BJ754">
        <v>0</v>
      </c>
      <c r="BL754" t="s">
        <v>1633</v>
      </c>
      <c r="BM754" s="4">
        <v>43283.307638888888</v>
      </c>
      <c r="BN754" s="4">
        <v>43283.348622685182</v>
      </c>
      <c r="BO754" s="4">
        <v>43283.348622685182</v>
      </c>
      <c r="BP754" t="s">
        <v>92</v>
      </c>
      <c r="BQ754" t="s">
        <v>93</v>
      </c>
      <c r="BR754" t="s">
        <v>94</v>
      </c>
    </row>
    <row r="755" spans="1:70" x14ac:dyDescent="0.3">
      <c r="A755" t="str">
        <f>"200437C0200"</f>
        <v>200437C0200</v>
      </c>
      <c r="B755" t="s">
        <v>1634</v>
      </c>
      <c r="C755">
        <v>20</v>
      </c>
      <c r="D755" t="s">
        <v>88</v>
      </c>
      <c r="E755">
        <v>59</v>
      </c>
      <c r="F755" t="s">
        <v>1594</v>
      </c>
      <c r="G755">
        <v>437</v>
      </c>
      <c r="H755">
        <v>2</v>
      </c>
      <c r="I755" t="s">
        <v>98</v>
      </c>
      <c r="J755">
        <v>0</v>
      </c>
      <c r="K755">
        <v>2</v>
      </c>
      <c r="L755">
        <v>5</v>
      </c>
      <c r="M755">
        <v>208</v>
      </c>
      <c r="N755">
        <v>399</v>
      </c>
      <c r="O755">
        <v>13</v>
      </c>
      <c r="P755">
        <v>399</v>
      </c>
      <c r="Q755">
        <v>29</v>
      </c>
      <c r="R755">
        <v>94</v>
      </c>
      <c r="S755">
        <v>2</v>
      </c>
      <c r="T755">
        <v>2</v>
      </c>
      <c r="U755">
        <v>4</v>
      </c>
      <c r="V755">
        <v>0</v>
      </c>
      <c r="W755">
        <v>115</v>
      </c>
      <c r="X755">
        <v>48</v>
      </c>
      <c r="Y755">
        <v>75</v>
      </c>
      <c r="Z755">
        <v>1</v>
      </c>
      <c r="AA755">
        <v>1</v>
      </c>
      <c r="AC755">
        <v>0</v>
      </c>
      <c r="AD755">
        <v>0</v>
      </c>
      <c r="AE755">
        <v>0</v>
      </c>
      <c r="AF755">
        <v>0</v>
      </c>
      <c r="AK755">
        <v>2</v>
      </c>
      <c r="AL755">
        <v>1</v>
      </c>
      <c r="AM755">
        <v>0</v>
      </c>
      <c r="AN755">
        <v>2</v>
      </c>
      <c r="AT755">
        <v>0</v>
      </c>
      <c r="BC755">
        <v>0</v>
      </c>
      <c r="BD755">
        <v>24</v>
      </c>
      <c r="BE755">
        <v>399</v>
      </c>
      <c r="BF755">
        <v>400</v>
      </c>
      <c r="BG755">
        <v>586</v>
      </c>
      <c r="BJ755">
        <v>1</v>
      </c>
      <c r="BL755" t="s">
        <v>1635</v>
      </c>
      <c r="BM755" s="4">
        <v>43283.168749999997</v>
      </c>
      <c r="BN755" s="4">
        <v>43283.179884259262</v>
      </c>
      <c r="BO755" s="4">
        <v>43283.179884259262</v>
      </c>
      <c r="BP755" t="s">
        <v>92</v>
      </c>
      <c r="BQ755" t="s">
        <v>93</v>
      </c>
      <c r="BR755" t="s">
        <v>94</v>
      </c>
    </row>
    <row r="756" spans="1:70" x14ac:dyDescent="0.3">
      <c r="A756" t="str">
        <f>"200438B0100"</f>
        <v>200438B0100</v>
      </c>
      <c r="B756" t="s">
        <v>1636</v>
      </c>
      <c r="C756">
        <v>20</v>
      </c>
      <c r="D756" t="s">
        <v>88</v>
      </c>
      <c r="E756">
        <v>59</v>
      </c>
      <c r="F756" t="s">
        <v>1594</v>
      </c>
      <c r="G756">
        <v>438</v>
      </c>
      <c r="H756">
        <v>1</v>
      </c>
      <c r="I756" t="s">
        <v>90</v>
      </c>
      <c r="J756">
        <v>0</v>
      </c>
      <c r="K756">
        <v>2</v>
      </c>
      <c r="L756">
        <v>5</v>
      </c>
      <c r="M756">
        <v>264</v>
      </c>
      <c r="N756">
        <v>499</v>
      </c>
      <c r="O756">
        <v>10</v>
      </c>
      <c r="P756">
        <v>499</v>
      </c>
      <c r="Q756">
        <v>34</v>
      </c>
      <c r="R756">
        <v>127</v>
      </c>
      <c r="S756">
        <v>1</v>
      </c>
      <c r="T756">
        <v>5</v>
      </c>
      <c r="U756">
        <v>7</v>
      </c>
      <c r="V756">
        <v>1</v>
      </c>
      <c r="W756">
        <v>144</v>
      </c>
      <c r="X756">
        <v>84</v>
      </c>
      <c r="Y756">
        <v>61</v>
      </c>
      <c r="Z756">
        <v>5</v>
      </c>
      <c r="AA756">
        <v>2</v>
      </c>
      <c r="AC756">
        <v>1</v>
      </c>
      <c r="AD756">
        <v>0</v>
      </c>
      <c r="AE756">
        <v>0</v>
      </c>
      <c r="AF756">
        <v>0</v>
      </c>
      <c r="AK756">
        <v>1</v>
      </c>
      <c r="AL756">
        <v>0</v>
      </c>
      <c r="AM756">
        <v>0</v>
      </c>
      <c r="AN756">
        <v>1</v>
      </c>
      <c r="AT756">
        <v>2</v>
      </c>
      <c r="BC756">
        <v>0</v>
      </c>
      <c r="BD756">
        <v>23</v>
      </c>
      <c r="BE756">
        <v>499</v>
      </c>
      <c r="BF756">
        <v>499</v>
      </c>
      <c r="BG756">
        <v>743</v>
      </c>
      <c r="BJ756">
        <v>1</v>
      </c>
      <c r="BL756" t="s">
        <v>1637</v>
      </c>
      <c r="BM756" s="4">
        <v>43283.308333333334</v>
      </c>
      <c r="BN756" s="4">
        <v>43283.335011574076</v>
      </c>
      <c r="BO756" s="4">
        <v>43283.335011574076</v>
      </c>
      <c r="BP756" t="s">
        <v>92</v>
      </c>
      <c r="BQ756" t="s">
        <v>93</v>
      </c>
      <c r="BR756" t="s">
        <v>94</v>
      </c>
    </row>
    <row r="757" spans="1:70" x14ac:dyDescent="0.3">
      <c r="A757" t="str">
        <f>"200438C0100"</f>
        <v>200438C0100</v>
      </c>
      <c r="B757" t="s">
        <v>1638</v>
      </c>
      <c r="C757">
        <v>20</v>
      </c>
      <c r="D757" t="s">
        <v>88</v>
      </c>
      <c r="E757">
        <v>59</v>
      </c>
      <c r="F757" t="s">
        <v>1594</v>
      </c>
      <c r="G757">
        <v>438</v>
      </c>
      <c r="H757">
        <v>1</v>
      </c>
      <c r="I757" t="s">
        <v>98</v>
      </c>
      <c r="J757">
        <v>0</v>
      </c>
      <c r="K757">
        <v>2</v>
      </c>
      <c r="L757">
        <v>5</v>
      </c>
      <c r="M757">
        <v>276</v>
      </c>
      <c r="N757">
        <v>486</v>
      </c>
      <c r="O757">
        <v>5</v>
      </c>
      <c r="P757">
        <v>486</v>
      </c>
      <c r="Q757">
        <v>26</v>
      </c>
      <c r="R757">
        <v>110</v>
      </c>
      <c r="S757">
        <v>5</v>
      </c>
      <c r="T757">
        <v>2</v>
      </c>
      <c r="U757">
        <v>5</v>
      </c>
      <c r="V757">
        <v>0</v>
      </c>
      <c r="W757">
        <v>123</v>
      </c>
      <c r="X757">
        <v>103</v>
      </c>
      <c r="Y757">
        <v>72</v>
      </c>
      <c r="Z757">
        <v>3</v>
      </c>
      <c r="AA757">
        <v>1</v>
      </c>
      <c r="AC757">
        <v>0</v>
      </c>
      <c r="AD757">
        <v>0</v>
      </c>
      <c r="AE757">
        <v>0</v>
      </c>
      <c r="AF757">
        <v>0</v>
      </c>
      <c r="AK757">
        <v>4</v>
      </c>
      <c r="AL757">
        <v>1</v>
      </c>
      <c r="AM757">
        <v>0</v>
      </c>
      <c r="AN757">
        <v>0</v>
      </c>
      <c r="AT757">
        <v>2</v>
      </c>
      <c r="BC757">
        <v>0</v>
      </c>
      <c r="BD757">
        <v>28</v>
      </c>
      <c r="BE757">
        <v>486</v>
      </c>
      <c r="BF757">
        <v>485</v>
      </c>
      <c r="BG757">
        <v>743</v>
      </c>
      <c r="BJ757">
        <v>1</v>
      </c>
      <c r="BL757" t="s">
        <v>1639</v>
      </c>
      <c r="BM757" s="4">
        <v>43283.308333333334</v>
      </c>
      <c r="BN757" s="4">
        <v>43283.335416666669</v>
      </c>
      <c r="BO757" s="4">
        <v>43283.335416666669</v>
      </c>
      <c r="BP757" t="s">
        <v>92</v>
      </c>
      <c r="BQ757" t="s">
        <v>93</v>
      </c>
      <c r="BR757" t="s">
        <v>94</v>
      </c>
    </row>
    <row r="758" spans="1:70" x14ac:dyDescent="0.3">
      <c r="A758" t="str">
        <f>"200438C0200"</f>
        <v>200438C0200</v>
      </c>
      <c r="B758" t="s">
        <v>1640</v>
      </c>
      <c r="C758">
        <v>20</v>
      </c>
      <c r="D758" t="s">
        <v>88</v>
      </c>
      <c r="E758">
        <v>59</v>
      </c>
      <c r="F758" t="s">
        <v>1594</v>
      </c>
      <c r="G758">
        <v>438</v>
      </c>
      <c r="H758">
        <v>2</v>
      </c>
      <c r="I758" t="s">
        <v>98</v>
      </c>
      <c r="J758">
        <v>0</v>
      </c>
      <c r="K758">
        <v>2</v>
      </c>
      <c r="L758">
        <v>5</v>
      </c>
      <c r="M758">
        <v>272</v>
      </c>
      <c r="N758">
        <v>492</v>
      </c>
      <c r="O758">
        <v>4</v>
      </c>
      <c r="P758">
        <v>492</v>
      </c>
      <c r="Q758">
        <v>32</v>
      </c>
      <c r="R758">
        <v>99</v>
      </c>
      <c r="S758">
        <v>2</v>
      </c>
      <c r="T758">
        <v>2</v>
      </c>
      <c r="U758">
        <v>7</v>
      </c>
      <c r="V758">
        <v>1</v>
      </c>
      <c r="W758">
        <v>128</v>
      </c>
      <c r="X758">
        <v>98</v>
      </c>
      <c r="Y758">
        <v>75</v>
      </c>
      <c r="Z758">
        <v>8</v>
      </c>
      <c r="AA758">
        <v>1</v>
      </c>
      <c r="AC758">
        <v>2</v>
      </c>
      <c r="AD758">
        <v>3</v>
      </c>
      <c r="AE758">
        <v>0</v>
      </c>
      <c r="AF758">
        <v>0</v>
      </c>
      <c r="AK758">
        <v>1</v>
      </c>
      <c r="AL758">
        <v>0</v>
      </c>
      <c r="AM758">
        <v>0</v>
      </c>
      <c r="AN758">
        <v>0</v>
      </c>
      <c r="AT758">
        <v>6</v>
      </c>
      <c r="BC758">
        <v>0</v>
      </c>
      <c r="BD758">
        <v>27</v>
      </c>
      <c r="BE758">
        <v>492</v>
      </c>
      <c r="BF758">
        <v>492</v>
      </c>
      <c r="BG758">
        <v>742</v>
      </c>
      <c r="BJ758">
        <v>1</v>
      </c>
      <c r="BL758" t="s">
        <v>1641</v>
      </c>
      <c r="BM758" s="4">
        <v>43283.308333333334</v>
      </c>
      <c r="BN758" s="4">
        <v>43283.33425925926</v>
      </c>
      <c r="BO758" s="4">
        <v>43283.33425925926</v>
      </c>
      <c r="BP758" t="s">
        <v>92</v>
      </c>
      <c r="BQ758" t="s">
        <v>93</v>
      </c>
      <c r="BR758" t="s">
        <v>94</v>
      </c>
    </row>
    <row r="759" spans="1:70" x14ac:dyDescent="0.3">
      <c r="A759" t="str">
        <f>"200438C0300"</f>
        <v>200438C0300</v>
      </c>
      <c r="B759" t="s">
        <v>1642</v>
      </c>
      <c r="C759">
        <v>20</v>
      </c>
      <c r="D759" t="s">
        <v>88</v>
      </c>
      <c r="E759">
        <v>59</v>
      </c>
      <c r="F759" t="s">
        <v>1594</v>
      </c>
      <c r="G759">
        <v>438</v>
      </c>
      <c r="H759">
        <v>3</v>
      </c>
      <c r="I759" t="s">
        <v>98</v>
      </c>
      <c r="J759">
        <v>0</v>
      </c>
      <c r="K759">
        <v>2</v>
      </c>
      <c r="L759">
        <v>5</v>
      </c>
      <c r="M759">
        <v>272</v>
      </c>
      <c r="N759">
        <v>492</v>
      </c>
      <c r="O759">
        <v>6</v>
      </c>
      <c r="P759">
        <v>486</v>
      </c>
      <c r="Q759">
        <v>51</v>
      </c>
      <c r="R759">
        <v>107</v>
      </c>
      <c r="S759">
        <v>2</v>
      </c>
      <c r="T759">
        <v>2</v>
      </c>
      <c r="U759">
        <v>1</v>
      </c>
      <c r="V759">
        <v>3</v>
      </c>
      <c r="W759">
        <v>137</v>
      </c>
      <c r="X759">
        <v>91</v>
      </c>
      <c r="Y759">
        <v>66</v>
      </c>
      <c r="Z759">
        <v>2</v>
      </c>
      <c r="AA759">
        <v>2</v>
      </c>
      <c r="AC759">
        <v>1</v>
      </c>
      <c r="AD759">
        <v>0</v>
      </c>
      <c r="AE759">
        <v>1</v>
      </c>
      <c r="AF759">
        <v>0</v>
      </c>
      <c r="AK759">
        <v>1</v>
      </c>
      <c r="AL759">
        <v>1</v>
      </c>
      <c r="AM759">
        <v>0</v>
      </c>
      <c r="AN759">
        <v>2</v>
      </c>
      <c r="AT759">
        <v>2</v>
      </c>
      <c r="BC759">
        <v>0</v>
      </c>
      <c r="BD759">
        <v>20</v>
      </c>
      <c r="BE759">
        <v>492</v>
      </c>
      <c r="BF759">
        <v>492</v>
      </c>
      <c r="BG759">
        <v>742</v>
      </c>
      <c r="BJ759">
        <v>1</v>
      </c>
      <c r="BL759" t="s">
        <v>1643</v>
      </c>
      <c r="BM759" s="4">
        <v>43283.309027777781</v>
      </c>
      <c r="BN759" s="4">
        <v>43283.334236111114</v>
      </c>
      <c r="BO759" s="4">
        <v>43283.334236111114</v>
      </c>
      <c r="BP759" t="s">
        <v>92</v>
      </c>
      <c r="BQ759" t="s">
        <v>93</v>
      </c>
      <c r="BR759" t="s">
        <v>94</v>
      </c>
    </row>
    <row r="760" spans="1:70" x14ac:dyDescent="0.3">
      <c r="A760" t="str">
        <f>"200439B0100"</f>
        <v>200439B0100</v>
      </c>
      <c r="B760" t="s">
        <v>1644</v>
      </c>
      <c r="C760">
        <v>20</v>
      </c>
      <c r="D760" t="s">
        <v>88</v>
      </c>
      <c r="E760">
        <v>59</v>
      </c>
      <c r="F760" t="s">
        <v>1594</v>
      </c>
      <c r="G760">
        <v>439</v>
      </c>
      <c r="H760">
        <v>1</v>
      </c>
      <c r="I760" t="s">
        <v>90</v>
      </c>
      <c r="J760">
        <v>0</v>
      </c>
      <c r="K760">
        <v>2</v>
      </c>
      <c r="L760">
        <v>5</v>
      </c>
      <c r="M760">
        <v>223</v>
      </c>
      <c r="N760">
        <v>495</v>
      </c>
      <c r="O760">
        <v>6</v>
      </c>
      <c r="P760">
        <v>495</v>
      </c>
      <c r="Q760">
        <v>47</v>
      </c>
      <c r="R760">
        <v>109</v>
      </c>
      <c r="S760">
        <v>7</v>
      </c>
      <c r="T760">
        <v>3</v>
      </c>
      <c r="U760">
        <v>3</v>
      </c>
      <c r="V760">
        <v>4</v>
      </c>
      <c r="W760">
        <v>96</v>
      </c>
      <c r="X760">
        <v>86</v>
      </c>
      <c r="Y760">
        <v>109</v>
      </c>
      <c r="Z760">
        <v>5</v>
      </c>
      <c r="AA760">
        <v>1</v>
      </c>
      <c r="AC760">
        <v>1</v>
      </c>
      <c r="AD760">
        <v>0</v>
      </c>
      <c r="AE760">
        <v>0</v>
      </c>
      <c r="AF760">
        <v>0</v>
      </c>
      <c r="AK760">
        <v>3</v>
      </c>
      <c r="AL760">
        <v>0</v>
      </c>
      <c r="AM760">
        <v>0</v>
      </c>
      <c r="AN760">
        <v>1</v>
      </c>
      <c r="AT760">
        <v>0</v>
      </c>
      <c r="BC760">
        <v>1</v>
      </c>
      <c r="BD760">
        <v>19</v>
      </c>
      <c r="BE760">
        <v>495</v>
      </c>
      <c r="BF760">
        <v>495</v>
      </c>
      <c r="BG760">
        <v>696</v>
      </c>
      <c r="BJ760">
        <v>1</v>
      </c>
      <c r="BL760" t="s">
        <v>1645</v>
      </c>
      <c r="BM760" s="4">
        <v>43283.165277777778</v>
      </c>
      <c r="BN760" s="4">
        <v>43283.177824074075</v>
      </c>
      <c r="BO760" s="4">
        <v>43283.177824074075</v>
      </c>
      <c r="BP760" t="s">
        <v>92</v>
      </c>
      <c r="BQ760" t="s">
        <v>93</v>
      </c>
      <c r="BR760" t="s">
        <v>94</v>
      </c>
    </row>
    <row r="761" spans="1:70" x14ac:dyDescent="0.3">
      <c r="A761" t="str">
        <f>"200439C0100"</f>
        <v>200439C0100</v>
      </c>
      <c r="B761" t="s">
        <v>1646</v>
      </c>
      <c r="C761">
        <v>20</v>
      </c>
      <c r="D761" t="s">
        <v>88</v>
      </c>
      <c r="E761">
        <v>59</v>
      </c>
      <c r="F761" t="s">
        <v>1594</v>
      </c>
      <c r="G761">
        <v>439</v>
      </c>
      <c r="H761">
        <v>1</v>
      </c>
      <c r="I761" t="s">
        <v>98</v>
      </c>
      <c r="J761">
        <v>0</v>
      </c>
      <c r="K761">
        <v>2</v>
      </c>
      <c r="L761">
        <v>5</v>
      </c>
      <c r="M761">
        <v>229</v>
      </c>
      <c r="N761">
        <v>489</v>
      </c>
      <c r="O761">
        <v>7</v>
      </c>
      <c r="P761">
        <v>489</v>
      </c>
      <c r="Q761">
        <v>53</v>
      </c>
      <c r="R761">
        <v>116</v>
      </c>
      <c r="S761">
        <v>5</v>
      </c>
      <c r="T761">
        <v>1</v>
      </c>
      <c r="U761">
        <v>1</v>
      </c>
      <c r="V761">
        <v>5</v>
      </c>
      <c r="W761">
        <v>94</v>
      </c>
      <c r="X761">
        <v>84</v>
      </c>
      <c r="Y761">
        <v>90</v>
      </c>
      <c r="Z761">
        <v>3</v>
      </c>
      <c r="AA761">
        <v>1</v>
      </c>
      <c r="AC761">
        <v>1</v>
      </c>
      <c r="AD761">
        <v>0</v>
      </c>
      <c r="AE761">
        <v>0</v>
      </c>
      <c r="AF761">
        <v>0</v>
      </c>
      <c r="AK761">
        <v>1</v>
      </c>
      <c r="AL761">
        <v>0</v>
      </c>
      <c r="AM761">
        <v>1</v>
      </c>
      <c r="AN761">
        <v>0</v>
      </c>
      <c r="AT761">
        <v>1</v>
      </c>
      <c r="BC761">
        <v>0</v>
      </c>
      <c r="BD761">
        <v>32</v>
      </c>
      <c r="BE761">
        <v>489</v>
      </c>
      <c r="BF761">
        <v>489</v>
      </c>
      <c r="BG761">
        <v>696</v>
      </c>
      <c r="BJ761">
        <v>1</v>
      </c>
      <c r="BL761" t="s">
        <v>1647</v>
      </c>
      <c r="BM761" s="4">
        <v>43283.168749999997</v>
      </c>
      <c r="BN761" s="4">
        <v>43283.181469907409</v>
      </c>
      <c r="BO761" s="4">
        <v>43283.181469907409</v>
      </c>
      <c r="BP761" t="s">
        <v>92</v>
      </c>
      <c r="BQ761" t="s">
        <v>93</v>
      </c>
      <c r="BR761" t="s">
        <v>94</v>
      </c>
    </row>
    <row r="762" spans="1:70" x14ac:dyDescent="0.3">
      <c r="A762" t="str">
        <f>"200440B0100"</f>
        <v>200440B0100</v>
      </c>
      <c r="B762" t="s">
        <v>1648</v>
      </c>
      <c r="C762">
        <v>20</v>
      </c>
      <c r="D762" t="s">
        <v>88</v>
      </c>
      <c r="E762">
        <v>59</v>
      </c>
      <c r="F762" t="s">
        <v>1594</v>
      </c>
      <c r="G762">
        <v>440</v>
      </c>
      <c r="H762">
        <v>1</v>
      </c>
      <c r="I762" t="s">
        <v>90</v>
      </c>
      <c r="J762">
        <v>0</v>
      </c>
      <c r="K762">
        <v>2</v>
      </c>
      <c r="L762">
        <v>5</v>
      </c>
      <c r="M762">
        <v>241</v>
      </c>
      <c r="N762">
        <v>348</v>
      </c>
      <c r="O762">
        <v>8</v>
      </c>
      <c r="P762">
        <v>348</v>
      </c>
      <c r="Q762">
        <v>20</v>
      </c>
      <c r="R762">
        <v>83</v>
      </c>
      <c r="S762">
        <v>2</v>
      </c>
      <c r="T762">
        <v>3</v>
      </c>
      <c r="U762">
        <v>2</v>
      </c>
      <c r="V762">
        <v>4</v>
      </c>
      <c r="W762">
        <v>68</v>
      </c>
      <c r="X762">
        <v>86</v>
      </c>
      <c r="Y762">
        <v>46</v>
      </c>
      <c r="Z762">
        <v>4</v>
      </c>
      <c r="AA762">
        <v>2</v>
      </c>
      <c r="AC762">
        <v>2</v>
      </c>
      <c r="AD762">
        <v>1</v>
      </c>
      <c r="AE762">
        <v>0</v>
      </c>
      <c r="AF762">
        <v>0</v>
      </c>
      <c r="AK762">
        <v>2</v>
      </c>
      <c r="AL762">
        <v>1</v>
      </c>
      <c r="AM762">
        <v>0</v>
      </c>
      <c r="AN762">
        <v>1</v>
      </c>
      <c r="AT762">
        <v>1</v>
      </c>
      <c r="BC762">
        <v>0</v>
      </c>
      <c r="BD762">
        <v>20</v>
      </c>
      <c r="BE762">
        <v>348</v>
      </c>
      <c r="BF762">
        <v>348</v>
      </c>
      <c r="BG762">
        <v>567</v>
      </c>
      <c r="BJ762">
        <v>1</v>
      </c>
      <c r="BL762" t="s">
        <v>1649</v>
      </c>
      <c r="BM762" s="4">
        <v>43283.168055555558</v>
      </c>
      <c r="BN762" s="4">
        <v>43283.181122685186</v>
      </c>
      <c r="BO762" s="4">
        <v>43283.181122685186</v>
      </c>
      <c r="BP762" t="s">
        <v>92</v>
      </c>
      <c r="BQ762" t="s">
        <v>93</v>
      </c>
      <c r="BR762" t="s">
        <v>94</v>
      </c>
    </row>
    <row r="763" spans="1:70" x14ac:dyDescent="0.3">
      <c r="A763" t="str">
        <f>"200440C0100"</f>
        <v>200440C0100</v>
      </c>
      <c r="B763" t="s">
        <v>1650</v>
      </c>
      <c r="C763">
        <v>20</v>
      </c>
      <c r="D763" t="s">
        <v>88</v>
      </c>
      <c r="E763">
        <v>59</v>
      </c>
      <c r="F763" t="s">
        <v>1594</v>
      </c>
      <c r="G763">
        <v>440</v>
      </c>
      <c r="H763">
        <v>1</v>
      </c>
      <c r="I763" t="s">
        <v>98</v>
      </c>
      <c r="J763">
        <v>0</v>
      </c>
      <c r="K763">
        <v>2</v>
      </c>
      <c r="L763">
        <v>5</v>
      </c>
      <c r="M763">
        <v>223</v>
      </c>
      <c r="N763">
        <v>587</v>
      </c>
      <c r="O763">
        <v>0</v>
      </c>
      <c r="P763">
        <v>363</v>
      </c>
      <c r="Q763">
        <v>42</v>
      </c>
      <c r="R763">
        <v>81</v>
      </c>
      <c r="S763">
        <v>1</v>
      </c>
      <c r="T763">
        <v>1</v>
      </c>
      <c r="U763">
        <v>4</v>
      </c>
      <c r="V763">
        <v>0</v>
      </c>
      <c r="W763">
        <v>70</v>
      </c>
      <c r="X763">
        <v>88</v>
      </c>
      <c r="Y763">
        <v>45</v>
      </c>
      <c r="Z763">
        <v>2</v>
      </c>
      <c r="AA763">
        <v>2</v>
      </c>
      <c r="AC763">
        <v>0</v>
      </c>
      <c r="AD763">
        <v>0</v>
      </c>
      <c r="AE763">
        <v>0</v>
      </c>
      <c r="AF763">
        <v>0</v>
      </c>
      <c r="AK763">
        <v>2</v>
      </c>
      <c r="AL763">
        <v>1</v>
      </c>
      <c r="AM763">
        <v>0</v>
      </c>
      <c r="AN763">
        <v>1</v>
      </c>
      <c r="AT763">
        <v>3</v>
      </c>
      <c r="BC763">
        <v>0</v>
      </c>
      <c r="BD763">
        <v>17</v>
      </c>
      <c r="BE763">
        <v>360</v>
      </c>
      <c r="BF763">
        <v>360</v>
      </c>
      <c r="BG763">
        <v>566</v>
      </c>
      <c r="BJ763">
        <v>1</v>
      </c>
      <c r="BL763" t="s">
        <v>1651</v>
      </c>
      <c r="BM763" s="4">
        <v>43283.167361111111</v>
      </c>
      <c r="BN763" s="4">
        <v>43283.178680555553</v>
      </c>
      <c r="BO763" s="4">
        <v>43283.178680555553</v>
      </c>
      <c r="BP763" t="s">
        <v>92</v>
      </c>
      <c r="BQ763" t="s">
        <v>93</v>
      </c>
      <c r="BR763" t="s">
        <v>94</v>
      </c>
    </row>
    <row r="764" spans="1:70" x14ac:dyDescent="0.3">
      <c r="A764" t="str">
        <f>"200440C0200"</f>
        <v>200440C0200</v>
      </c>
      <c r="B764" t="s">
        <v>1652</v>
      </c>
      <c r="C764">
        <v>20</v>
      </c>
      <c r="D764" t="s">
        <v>88</v>
      </c>
      <c r="E764">
        <v>59</v>
      </c>
      <c r="F764" t="s">
        <v>1594</v>
      </c>
      <c r="G764">
        <v>440</v>
      </c>
      <c r="H764">
        <v>2</v>
      </c>
      <c r="I764" t="s">
        <v>98</v>
      </c>
      <c r="J764">
        <v>0</v>
      </c>
      <c r="K764">
        <v>2</v>
      </c>
      <c r="L764">
        <v>5</v>
      </c>
      <c r="M764">
        <v>215</v>
      </c>
      <c r="N764">
        <v>373</v>
      </c>
      <c r="O764">
        <v>12</v>
      </c>
      <c r="P764">
        <v>588</v>
      </c>
      <c r="Q764">
        <v>34</v>
      </c>
      <c r="R764">
        <v>76</v>
      </c>
      <c r="S764">
        <v>1</v>
      </c>
      <c r="T764">
        <v>8</v>
      </c>
      <c r="U764">
        <v>7</v>
      </c>
      <c r="V764">
        <v>0</v>
      </c>
      <c r="W764">
        <v>84</v>
      </c>
      <c r="X764">
        <v>100</v>
      </c>
      <c r="Y764">
        <v>38</v>
      </c>
      <c r="Z764">
        <v>2</v>
      </c>
      <c r="AA764">
        <v>3</v>
      </c>
      <c r="AC764">
        <v>1</v>
      </c>
      <c r="AD764">
        <v>0</v>
      </c>
      <c r="AE764">
        <v>0</v>
      </c>
      <c r="AF764">
        <v>1</v>
      </c>
      <c r="AK764">
        <v>1</v>
      </c>
      <c r="AL764">
        <v>0</v>
      </c>
      <c r="AM764">
        <v>0</v>
      </c>
      <c r="AN764">
        <v>2</v>
      </c>
      <c r="AT764">
        <v>1</v>
      </c>
      <c r="BC764">
        <v>0</v>
      </c>
      <c r="BD764">
        <v>13</v>
      </c>
      <c r="BE764" t="s">
        <v>105</v>
      </c>
      <c r="BF764">
        <v>372</v>
      </c>
      <c r="BG764">
        <v>566</v>
      </c>
      <c r="BJ764">
        <v>1</v>
      </c>
      <c r="BL764" t="s">
        <v>1653</v>
      </c>
      <c r="BM764" s="4">
        <v>43283.167361111111</v>
      </c>
      <c r="BN764" s="4">
        <v>43283.18005787037</v>
      </c>
      <c r="BO764" s="4">
        <v>43283.18005787037</v>
      </c>
      <c r="BP764" t="s">
        <v>92</v>
      </c>
      <c r="BQ764" t="s">
        <v>93</v>
      </c>
      <c r="BR764" t="s">
        <v>94</v>
      </c>
    </row>
    <row r="765" spans="1:70" x14ac:dyDescent="0.3">
      <c r="A765" t="str">
        <f>"200440C0300"</f>
        <v>200440C0300</v>
      </c>
      <c r="B765" t="s">
        <v>1654</v>
      </c>
      <c r="C765">
        <v>20</v>
      </c>
      <c r="D765" t="s">
        <v>88</v>
      </c>
      <c r="E765">
        <v>59</v>
      </c>
      <c r="F765" t="s">
        <v>1594</v>
      </c>
      <c r="G765">
        <v>440</v>
      </c>
      <c r="H765">
        <v>3</v>
      </c>
      <c r="I765" t="s">
        <v>98</v>
      </c>
      <c r="J765">
        <v>0</v>
      </c>
      <c r="K765">
        <v>2</v>
      </c>
      <c r="L765">
        <v>5</v>
      </c>
      <c r="M765">
        <v>218</v>
      </c>
      <c r="N765">
        <v>370</v>
      </c>
      <c r="O765">
        <v>11</v>
      </c>
      <c r="P765">
        <v>370</v>
      </c>
      <c r="Q765">
        <v>35</v>
      </c>
      <c r="R765">
        <v>82</v>
      </c>
      <c r="S765">
        <v>3</v>
      </c>
      <c r="T765">
        <v>3</v>
      </c>
      <c r="U765">
        <v>6</v>
      </c>
      <c r="V765">
        <v>2</v>
      </c>
      <c r="W765">
        <v>82</v>
      </c>
      <c r="X765">
        <v>67</v>
      </c>
      <c r="Y765">
        <v>68</v>
      </c>
      <c r="Z765">
        <v>5</v>
      </c>
      <c r="AA765">
        <v>1</v>
      </c>
      <c r="AC765">
        <v>1</v>
      </c>
      <c r="AD765">
        <v>1</v>
      </c>
      <c r="AE765">
        <v>0</v>
      </c>
      <c r="AF765">
        <v>0</v>
      </c>
      <c r="AK765">
        <v>1</v>
      </c>
      <c r="AL765">
        <v>0</v>
      </c>
      <c r="AM765">
        <v>0</v>
      </c>
      <c r="AN765">
        <v>0</v>
      </c>
      <c r="AT765">
        <v>2</v>
      </c>
      <c r="BC765">
        <v>0</v>
      </c>
      <c r="BD765">
        <v>11</v>
      </c>
      <c r="BE765">
        <v>370</v>
      </c>
      <c r="BF765">
        <v>370</v>
      </c>
      <c r="BG765">
        <v>566</v>
      </c>
      <c r="BJ765">
        <v>1</v>
      </c>
      <c r="BL765" t="s">
        <v>1655</v>
      </c>
      <c r="BM765" s="4">
        <v>43283.097222222219</v>
      </c>
      <c r="BN765" s="4">
        <v>43283.100717592592</v>
      </c>
      <c r="BO765" s="4">
        <v>43283.100717592592</v>
      </c>
      <c r="BP765" t="s">
        <v>92</v>
      </c>
      <c r="BQ765" t="s">
        <v>93</v>
      </c>
      <c r="BR765" t="s">
        <v>94</v>
      </c>
    </row>
    <row r="766" spans="1:70" x14ac:dyDescent="0.3">
      <c r="A766" t="str">
        <f>"200440S0100"</f>
        <v>200440S0100</v>
      </c>
      <c r="B766" t="s">
        <v>1656</v>
      </c>
      <c r="C766">
        <v>20</v>
      </c>
      <c r="D766" t="s">
        <v>88</v>
      </c>
      <c r="E766">
        <v>59</v>
      </c>
      <c r="F766" t="s">
        <v>1594</v>
      </c>
      <c r="G766">
        <v>440</v>
      </c>
      <c r="H766">
        <v>1</v>
      </c>
      <c r="I766" t="s">
        <v>113</v>
      </c>
      <c r="J766">
        <v>0</v>
      </c>
      <c r="K766">
        <v>2</v>
      </c>
      <c r="L766">
        <v>6</v>
      </c>
      <c r="M766">
        <v>758</v>
      </c>
      <c r="N766">
        <v>14</v>
      </c>
      <c r="O766">
        <v>0</v>
      </c>
      <c r="P766">
        <v>14</v>
      </c>
      <c r="Q766">
        <v>2</v>
      </c>
      <c r="R766">
        <v>1</v>
      </c>
      <c r="S766" t="s">
        <v>105</v>
      </c>
      <c r="T766" t="s">
        <v>127</v>
      </c>
      <c r="U766" t="s">
        <v>105</v>
      </c>
      <c r="V766" t="s">
        <v>105</v>
      </c>
      <c r="W766">
        <v>2</v>
      </c>
      <c r="X766">
        <v>4</v>
      </c>
      <c r="Y766">
        <v>4</v>
      </c>
      <c r="Z766" t="s">
        <v>105</v>
      </c>
      <c r="AA766" t="s">
        <v>105</v>
      </c>
      <c r="AC766">
        <v>0</v>
      </c>
      <c r="AD766">
        <v>0</v>
      </c>
      <c r="AE766">
        <v>0</v>
      </c>
      <c r="AF766">
        <v>0</v>
      </c>
      <c r="AK766">
        <v>0</v>
      </c>
      <c r="AL766">
        <v>0</v>
      </c>
      <c r="AM766">
        <v>0</v>
      </c>
      <c r="AN766">
        <v>0</v>
      </c>
      <c r="AT766">
        <v>0</v>
      </c>
      <c r="BC766">
        <v>0</v>
      </c>
      <c r="BD766">
        <v>1</v>
      </c>
      <c r="BE766">
        <v>14</v>
      </c>
      <c r="BF766">
        <v>14</v>
      </c>
      <c r="BG766">
        <v>0</v>
      </c>
      <c r="BI766" t="s">
        <v>106</v>
      </c>
      <c r="BJ766">
        <v>1</v>
      </c>
      <c r="BL766" s="2" t="s">
        <v>1657</v>
      </c>
      <c r="BM766" s="4">
        <v>43283.309027777781</v>
      </c>
      <c r="BN766" s="4">
        <v>43283.356134259258</v>
      </c>
      <c r="BO766" s="4">
        <v>43283.356134259258</v>
      </c>
      <c r="BP766" t="s">
        <v>92</v>
      </c>
      <c r="BQ766" t="s">
        <v>93</v>
      </c>
      <c r="BR766" t="s">
        <v>94</v>
      </c>
    </row>
    <row r="767" spans="1:70" x14ac:dyDescent="0.3">
      <c r="A767" t="str">
        <f>"200441B0100"</f>
        <v>200441B0100</v>
      </c>
      <c r="B767" t="s">
        <v>1658</v>
      </c>
      <c r="C767">
        <v>20</v>
      </c>
      <c r="D767" t="s">
        <v>88</v>
      </c>
      <c r="E767">
        <v>59</v>
      </c>
      <c r="F767" t="s">
        <v>1594</v>
      </c>
      <c r="G767">
        <v>441</v>
      </c>
      <c r="H767">
        <v>1</v>
      </c>
      <c r="I767" t="s">
        <v>90</v>
      </c>
      <c r="J767">
        <v>0</v>
      </c>
      <c r="K767">
        <v>2</v>
      </c>
      <c r="L767">
        <v>5</v>
      </c>
      <c r="M767">
        <v>220</v>
      </c>
      <c r="N767">
        <v>452</v>
      </c>
      <c r="O767">
        <v>11</v>
      </c>
      <c r="P767">
        <v>452</v>
      </c>
      <c r="Q767">
        <v>34</v>
      </c>
      <c r="R767">
        <v>100</v>
      </c>
      <c r="S767">
        <v>3</v>
      </c>
      <c r="T767">
        <v>5</v>
      </c>
      <c r="U767">
        <v>5</v>
      </c>
      <c r="V767">
        <v>0</v>
      </c>
      <c r="W767">
        <v>97</v>
      </c>
      <c r="X767">
        <v>103</v>
      </c>
      <c r="Y767">
        <v>68</v>
      </c>
      <c r="Z767">
        <v>3</v>
      </c>
      <c r="AA767">
        <v>1</v>
      </c>
      <c r="AC767">
        <v>1</v>
      </c>
      <c r="AD767">
        <v>0</v>
      </c>
      <c r="AE767">
        <v>0</v>
      </c>
      <c r="AF767">
        <v>0</v>
      </c>
      <c r="AK767">
        <v>1</v>
      </c>
      <c r="AL767">
        <v>0</v>
      </c>
      <c r="AM767">
        <v>0</v>
      </c>
      <c r="AN767">
        <v>1</v>
      </c>
      <c r="AT767">
        <v>1</v>
      </c>
      <c r="BC767">
        <v>0</v>
      </c>
      <c r="BD767">
        <v>29</v>
      </c>
      <c r="BE767">
        <v>452</v>
      </c>
      <c r="BF767">
        <v>452</v>
      </c>
      <c r="BG767">
        <v>650</v>
      </c>
      <c r="BJ767">
        <v>1</v>
      </c>
      <c r="BL767" t="s">
        <v>1659</v>
      </c>
      <c r="BM767" s="4">
        <v>43283.366666666669</v>
      </c>
      <c r="BN767" s="4">
        <v>43283.376400462963</v>
      </c>
      <c r="BO767" s="4">
        <v>43283.376400462963</v>
      </c>
      <c r="BP767" t="s">
        <v>92</v>
      </c>
      <c r="BQ767" t="s">
        <v>93</v>
      </c>
      <c r="BR767" t="s">
        <v>94</v>
      </c>
    </row>
    <row r="768" spans="1:70" x14ac:dyDescent="0.3">
      <c r="A768" t="str">
        <f>"200441C0100"</f>
        <v>200441C0100</v>
      </c>
      <c r="B768" t="s">
        <v>1660</v>
      </c>
      <c r="C768">
        <v>20</v>
      </c>
      <c r="D768" t="s">
        <v>88</v>
      </c>
      <c r="E768">
        <v>59</v>
      </c>
      <c r="F768" t="s">
        <v>1594</v>
      </c>
      <c r="G768">
        <v>441</v>
      </c>
      <c r="H768">
        <v>1</v>
      </c>
      <c r="I768" t="s">
        <v>98</v>
      </c>
      <c r="J768">
        <v>0</v>
      </c>
      <c r="K768">
        <v>2</v>
      </c>
      <c r="L768">
        <v>5</v>
      </c>
      <c r="M768">
        <v>227</v>
      </c>
      <c r="N768">
        <v>443</v>
      </c>
      <c r="O768">
        <v>12</v>
      </c>
      <c r="P768">
        <v>444</v>
      </c>
      <c r="Q768">
        <v>28</v>
      </c>
      <c r="R768">
        <v>101</v>
      </c>
      <c r="S768">
        <v>1</v>
      </c>
      <c r="T768">
        <v>3</v>
      </c>
      <c r="U768">
        <v>4</v>
      </c>
      <c r="V768">
        <v>3</v>
      </c>
      <c r="W768">
        <v>106</v>
      </c>
      <c r="X768">
        <v>116</v>
      </c>
      <c r="Y768">
        <v>53</v>
      </c>
      <c r="Z768">
        <v>9</v>
      </c>
      <c r="AA768">
        <v>2</v>
      </c>
      <c r="AC768">
        <v>1</v>
      </c>
      <c r="AD768">
        <v>0</v>
      </c>
      <c r="AE768">
        <v>0</v>
      </c>
      <c r="AF768">
        <v>0</v>
      </c>
      <c r="AK768">
        <v>1</v>
      </c>
      <c r="AL768">
        <v>0</v>
      </c>
      <c r="AM768">
        <v>0</v>
      </c>
      <c r="AN768">
        <v>1</v>
      </c>
      <c r="AT768">
        <v>0</v>
      </c>
      <c r="BC768">
        <v>0</v>
      </c>
      <c r="BD768">
        <v>15</v>
      </c>
      <c r="BE768">
        <v>444</v>
      </c>
      <c r="BF768">
        <v>444</v>
      </c>
      <c r="BG768">
        <v>649</v>
      </c>
      <c r="BJ768">
        <v>1</v>
      </c>
      <c r="BL768" t="s">
        <v>1661</v>
      </c>
      <c r="BM768" s="4">
        <v>43283.365972222222</v>
      </c>
      <c r="BN768" s="4">
        <v>43283.37773148148</v>
      </c>
      <c r="BO768" s="4">
        <v>43283.37773148148</v>
      </c>
      <c r="BP768" t="s">
        <v>92</v>
      </c>
      <c r="BQ768" t="s">
        <v>93</v>
      </c>
      <c r="BR768" t="s">
        <v>94</v>
      </c>
    </row>
    <row r="769" spans="1:70" x14ac:dyDescent="0.3">
      <c r="A769" t="str">
        <f>"200441C0200"</f>
        <v>200441C0200</v>
      </c>
      <c r="B769" t="s">
        <v>1662</v>
      </c>
      <c r="C769">
        <v>20</v>
      </c>
      <c r="D769" t="s">
        <v>88</v>
      </c>
      <c r="E769">
        <v>59</v>
      </c>
      <c r="F769" t="s">
        <v>1594</v>
      </c>
      <c r="G769">
        <v>441</v>
      </c>
      <c r="H769">
        <v>2</v>
      </c>
      <c r="I769" t="s">
        <v>98</v>
      </c>
      <c r="J769">
        <v>0</v>
      </c>
      <c r="K769">
        <v>2</v>
      </c>
      <c r="L769">
        <v>5</v>
      </c>
      <c r="M769">
        <v>241</v>
      </c>
      <c r="N769">
        <v>430</v>
      </c>
      <c r="O769">
        <v>6</v>
      </c>
      <c r="P769">
        <v>430</v>
      </c>
      <c r="Q769">
        <v>31</v>
      </c>
      <c r="R769">
        <v>78</v>
      </c>
      <c r="S769">
        <v>1</v>
      </c>
      <c r="T769">
        <v>3</v>
      </c>
      <c r="U769">
        <v>7</v>
      </c>
      <c r="V769">
        <v>2</v>
      </c>
      <c r="W769">
        <v>115</v>
      </c>
      <c r="X769">
        <v>102</v>
      </c>
      <c r="Y769">
        <v>64</v>
      </c>
      <c r="Z769">
        <v>4</v>
      </c>
      <c r="AA769">
        <v>0</v>
      </c>
      <c r="AC769">
        <v>0</v>
      </c>
      <c r="AD769">
        <v>1</v>
      </c>
      <c r="AE769">
        <v>0</v>
      </c>
      <c r="AF769">
        <v>0</v>
      </c>
      <c r="AK769">
        <v>2</v>
      </c>
      <c r="AL769">
        <v>0</v>
      </c>
      <c r="AM769">
        <v>0</v>
      </c>
      <c r="AN769">
        <v>1</v>
      </c>
      <c r="AT769">
        <v>0</v>
      </c>
      <c r="BC769" t="s">
        <v>105</v>
      </c>
      <c r="BD769">
        <v>18</v>
      </c>
      <c r="BE769">
        <v>429</v>
      </c>
      <c r="BF769">
        <v>429</v>
      </c>
      <c r="BG769">
        <v>649</v>
      </c>
      <c r="BI769" t="s">
        <v>106</v>
      </c>
      <c r="BJ769">
        <v>1</v>
      </c>
      <c r="BL769" t="s">
        <v>1663</v>
      </c>
      <c r="BM769" s="4">
        <v>43283.366666666669</v>
      </c>
      <c r="BN769" s="4">
        <v>43283.376446759263</v>
      </c>
      <c r="BO769" s="4">
        <v>43283.376446759263</v>
      </c>
      <c r="BP769" t="s">
        <v>92</v>
      </c>
      <c r="BQ769" t="s">
        <v>93</v>
      </c>
      <c r="BR769" t="s">
        <v>94</v>
      </c>
    </row>
    <row r="770" spans="1:70" x14ac:dyDescent="0.3">
      <c r="A770" t="str">
        <f>"200441C0300"</f>
        <v>200441C0300</v>
      </c>
      <c r="B770" t="s">
        <v>1664</v>
      </c>
      <c r="C770">
        <v>20</v>
      </c>
      <c r="D770" t="s">
        <v>88</v>
      </c>
      <c r="E770">
        <v>59</v>
      </c>
      <c r="F770" t="s">
        <v>1594</v>
      </c>
      <c r="G770">
        <v>441</v>
      </c>
      <c r="H770">
        <v>3</v>
      </c>
      <c r="I770" t="s">
        <v>98</v>
      </c>
      <c r="J770">
        <v>0</v>
      </c>
      <c r="K770">
        <v>2</v>
      </c>
      <c r="L770">
        <v>5</v>
      </c>
      <c r="M770">
        <v>256</v>
      </c>
      <c r="N770">
        <v>415</v>
      </c>
      <c r="O770">
        <v>7</v>
      </c>
      <c r="P770">
        <v>415</v>
      </c>
      <c r="Q770">
        <v>41</v>
      </c>
      <c r="R770">
        <v>99</v>
      </c>
      <c r="S770">
        <v>1</v>
      </c>
      <c r="T770">
        <v>0</v>
      </c>
      <c r="U770">
        <v>2</v>
      </c>
      <c r="V770">
        <v>3</v>
      </c>
      <c r="W770">
        <v>97</v>
      </c>
      <c r="X770">
        <v>72</v>
      </c>
      <c r="Y770">
        <v>69</v>
      </c>
      <c r="Z770">
        <v>7</v>
      </c>
      <c r="AA770">
        <v>1</v>
      </c>
      <c r="AC770">
        <v>0</v>
      </c>
      <c r="AD770">
        <v>0</v>
      </c>
      <c r="AE770">
        <v>0</v>
      </c>
      <c r="AF770">
        <v>0</v>
      </c>
      <c r="AK770">
        <v>0</v>
      </c>
      <c r="AL770">
        <v>0</v>
      </c>
      <c r="AM770">
        <v>0</v>
      </c>
      <c r="AN770">
        <v>1</v>
      </c>
      <c r="AT770">
        <v>3</v>
      </c>
      <c r="BC770">
        <v>0</v>
      </c>
      <c r="BD770">
        <v>19</v>
      </c>
      <c r="BE770">
        <v>415</v>
      </c>
      <c r="BF770">
        <v>415</v>
      </c>
      <c r="BG770">
        <v>649</v>
      </c>
      <c r="BJ770">
        <v>1</v>
      </c>
      <c r="BL770" t="s">
        <v>1665</v>
      </c>
      <c r="BM770" s="4">
        <v>43283.366666666669</v>
      </c>
      <c r="BN770" s="4">
        <v>43283.377384259256</v>
      </c>
      <c r="BO770" s="4">
        <v>43283.377384259256</v>
      </c>
      <c r="BP770" t="s">
        <v>92</v>
      </c>
      <c r="BQ770" t="s">
        <v>93</v>
      </c>
      <c r="BR770" t="s">
        <v>94</v>
      </c>
    </row>
    <row r="771" spans="1:70" x14ac:dyDescent="0.3">
      <c r="A771" t="str">
        <f>"200441C0400"</f>
        <v>200441C0400</v>
      </c>
      <c r="B771" t="s">
        <v>1666</v>
      </c>
      <c r="C771">
        <v>20</v>
      </c>
      <c r="D771" t="s">
        <v>88</v>
      </c>
      <c r="E771">
        <v>59</v>
      </c>
      <c r="F771" t="s">
        <v>1594</v>
      </c>
      <c r="G771">
        <v>441</v>
      </c>
      <c r="H771">
        <v>4</v>
      </c>
      <c r="I771" t="s">
        <v>98</v>
      </c>
      <c r="J771">
        <v>0</v>
      </c>
      <c r="K771">
        <v>2</v>
      </c>
      <c r="L771">
        <v>5</v>
      </c>
      <c r="M771">
        <v>232</v>
      </c>
      <c r="N771">
        <v>441</v>
      </c>
      <c r="O771">
        <v>9</v>
      </c>
      <c r="P771" t="s">
        <v>127</v>
      </c>
      <c r="Q771">
        <v>48</v>
      </c>
      <c r="R771">
        <v>83</v>
      </c>
      <c r="S771">
        <v>1</v>
      </c>
      <c r="T771">
        <v>0</v>
      </c>
      <c r="U771">
        <v>0</v>
      </c>
      <c r="V771">
        <v>3</v>
      </c>
      <c r="W771">
        <v>90</v>
      </c>
      <c r="X771">
        <v>103</v>
      </c>
      <c r="Y771">
        <v>69</v>
      </c>
      <c r="Z771">
        <v>8</v>
      </c>
      <c r="AA771">
        <v>1</v>
      </c>
      <c r="AC771">
        <v>0</v>
      </c>
      <c r="AD771">
        <v>1</v>
      </c>
      <c r="AE771">
        <v>1</v>
      </c>
      <c r="AF771">
        <v>0</v>
      </c>
      <c r="AK771">
        <v>2</v>
      </c>
      <c r="AL771">
        <v>0</v>
      </c>
      <c r="AM771">
        <v>0</v>
      </c>
      <c r="AN771">
        <v>1</v>
      </c>
      <c r="AT771">
        <v>1</v>
      </c>
      <c r="BC771">
        <v>0</v>
      </c>
      <c r="BD771">
        <v>27</v>
      </c>
      <c r="BE771">
        <v>439</v>
      </c>
      <c r="BF771">
        <v>439</v>
      </c>
      <c r="BG771">
        <v>649</v>
      </c>
      <c r="BJ771">
        <v>1</v>
      </c>
      <c r="BL771" t="s">
        <v>1667</v>
      </c>
      <c r="BM771" s="4">
        <v>43283.366666666669</v>
      </c>
      <c r="BN771" s="4">
        <v>43283.379548611112</v>
      </c>
      <c r="BO771" s="4">
        <v>43283.379548611112</v>
      </c>
      <c r="BP771" t="s">
        <v>92</v>
      </c>
      <c r="BQ771" t="s">
        <v>93</v>
      </c>
      <c r="BR771" t="s">
        <v>94</v>
      </c>
    </row>
    <row r="772" spans="1:70" x14ac:dyDescent="0.3">
      <c r="A772" t="str">
        <f>"200442B0100"</f>
        <v>200442B0100</v>
      </c>
      <c r="B772" t="s">
        <v>1668</v>
      </c>
      <c r="C772">
        <v>20</v>
      </c>
      <c r="D772" t="s">
        <v>88</v>
      </c>
      <c r="E772">
        <v>59</v>
      </c>
      <c r="F772" t="s">
        <v>1594</v>
      </c>
      <c r="G772">
        <v>442</v>
      </c>
      <c r="H772">
        <v>1</v>
      </c>
      <c r="I772" t="s">
        <v>90</v>
      </c>
      <c r="J772">
        <v>0</v>
      </c>
      <c r="K772">
        <v>2</v>
      </c>
      <c r="L772">
        <v>5</v>
      </c>
      <c r="BG772">
        <v>587</v>
      </c>
      <c r="BI772" t="s">
        <v>122</v>
      </c>
      <c r="BJ772">
        <v>0</v>
      </c>
      <c r="BL772" t="s">
        <v>1669</v>
      </c>
      <c r="BM772" s="4">
        <v>43283.806250000001</v>
      </c>
      <c r="BN772" s="4">
        <v>43283.807662037034</v>
      </c>
      <c r="BO772" s="4">
        <v>43283.807662037034</v>
      </c>
      <c r="BP772" t="s">
        <v>92</v>
      </c>
      <c r="BQ772" t="s">
        <v>93</v>
      </c>
      <c r="BR772" t="s">
        <v>94</v>
      </c>
    </row>
    <row r="773" spans="1:70" x14ac:dyDescent="0.3">
      <c r="A773" t="str">
        <f>"200442E0100"</f>
        <v>200442E0100</v>
      </c>
      <c r="B773" s="2" t="s">
        <v>1670</v>
      </c>
      <c r="C773">
        <v>20</v>
      </c>
      <c r="D773" t="s">
        <v>88</v>
      </c>
      <c r="E773">
        <v>59</v>
      </c>
      <c r="F773" t="s">
        <v>1594</v>
      </c>
      <c r="G773">
        <v>442</v>
      </c>
      <c r="H773">
        <v>1</v>
      </c>
      <c r="I773" t="s">
        <v>156</v>
      </c>
      <c r="J773">
        <v>0</v>
      </c>
      <c r="K773">
        <v>2</v>
      </c>
      <c r="L773">
        <v>5</v>
      </c>
      <c r="M773">
        <v>200</v>
      </c>
      <c r="N773">
        <v>463</v>
      </c>
      <c r="O773">
        <v>5</v>
      </c>
      <c r="P773">
        <v>463</v>
      </c>
      <c r="Q773">
        <v>15</v>
      </c>
      <c r="R773">
        <v>142</v>
      </c>
      <c r="S773">
        <v>0</v>
      </c>
      <c r="T773">
        <v>8</v>
      </c>
      <c r="U773">
        <v>3</v>
      </c>
      <c r="V773">
        <v>1</v>
      </c>
      <c r="W773">
        <v>70</v>
      </c>
      <c r="X773">
        <v>154</v>
      </c>
      <c r="Y773">
        <v>44</v>
      </c>
      <c r="Z773">
        <v>2</v>
      </c>
      <c r="AA773">
        <v>0</v>
      </c>
      <c r="AC773" t="s">
        <v>105</v>
      </c>
      <c r="AD773" t="s">
        <v>105</v>
      </c>
      <c r="AE773" t="s">
        <v>105</v>
      </c>
      <c r="AF773">
        <v>1</v>
      </c>
      <c r="AK773" t="s">
        <v>105</v>
      </c>
      <c r="AL773" t="s">
        <v>105</v>
      </c>
      <c r="AM773" t="s">
        <v>105</v>
      </c>
      <c r="AN773" t="s">
        <v>105</v>
      </c>
      <c r="AT773">
        <v>1</v>
      </c>
      <c r="BC773" t="s">
        <v>105</v>
      </c>
      <c r="BD773">
        <v>23</v>
      </c>
      <c r="BE773" t="s">
        <v>105</v>
      </c>
      <c r="BF773">
        <v>464</v>
      </c>
      <c r="BG773">
        <v>641</v>
      </c>
      <c r="BI773" t="s">
        <v>106</v>
      </c>
      <c r="BJ773">
        <v>1</v>
      </c>
      <c r="BL773" t="s">
        <v>1671</v>
      </c>
      <c r="BM773" s="4">
        <v>43283.310416666667</v>
      </c>
      <c r="BN773" s="4">
        <v>43283.358136574076</v>
      </c>
      <c r="BO773" s="4">
        <v>43283.358136574076</v>
      </c>
      <c r="BP773" t="s">
        <v>92</v>
      </c>
      <c r="BQ773" t="s">
        <v>93</v>
      </c>
      <c r="BR773" t="s">
        <v>94</v>
      </c>
    </row>
    <row r="774" spans="1:70" x14ac:dyDescent="0.3">
      <c r="A774" t="str">
        <f>"200442E0101"</f>
        <v>200442E0101</v>
      </c>
      <c r="B774" s="2" t="s">
        <v>1672</v>
      </c>
      <c r="C774">
        <v>20</v>
      </c>
      <c r="D774" t="s">
        <v>88</v>
      </c>
      <c r="E774">
        <v>59</v>
      </c>
      <c r="F774" t="s">
        <v>1594</v>
      </c>
      <c r="G774">
        <v>442</v>
      </c>
      <c r="H774">
        <v>1</v>
      </c>
      <c r="I774" t="s">
        <v>156</v>
      </c>
      <c r="J774">
        <v>1</v>
      </c>
      <c r="K774">
        <v>2</v>
      </c>
      <c r="L774">
        <v>5</v>
      </c>
      <c r="M774">
        <v>202</v>
      </c>
      <c r="N774">
        <v>468</v>
      </c>
      <c r="O774">
        <v>4</v>
      </c>
      <c r="P774">
        <v>468</v>
      </c>
      <c r="Q774">
        <v>18</v>
      </c>
      <c r="R774">
        <v>122</v>
      </c>
      <c r="S774">
        <v>2</v>
      </c>
      <c r="T774">
        <v>1</v>
      </c>
      <c r="U774">
        <v>9</v>
      </c>
      <c r="V774">
        <v>2</v>
      </c>
      <c r="W774">
        <v>65</v>
      </c>
      <c r="X774">
        <v>175</v>
      </c>
      <c r="Y774">
        <v>41</v>
      </c>
      <c r="Z774">
        <v>2</v>
      </c>
      <c r="AA774">
        <v>0</v>
      </c>
      <c r="AC774" t="s">
        <v>105</v>
      </c>
      <c r="AD774" t="s">
        <v>105</v>
      </c>
      <c r="AE774" t="s">
        <v>105</v>
      </c>
      <c r="AF774" t="s">
        <v>105</v>
      </c>
      <c r="AK774">
        <v>3</v>
      </c>
      <c r="AL774" t="s">
        <v>105</v>
      </c>
      <c r="AM774" t="s">
        <v>105</v>
      </c>
      <c r="AN774" t="s">
        <v>105</v>
      </c>
      <c r="AT774" t="s">
        <v>105</v>
      </c>
      <c r="BC774" t="s">
        <v>105</v>
      </c>
      <c r="BD774" t="s">
        <v>105</v>
      </c>
      <c r="BE774" t="s">
        <v>105</v>
      </c>
      <c r="BF774">
        <v>440</v>
      </c>
      <c r="BG774">
        <v>640</v>
      </c>
      <c r="BI774" t="s">
        <v>106</v>
      </c>
      <c r="BJ774">
        <v>1</v>
      </c>
      <c r="BL774" t="s">
        <v>1673</v>
      </c>
      <c r="BM774" s="4">
        <v>43283.30972222222</v>
      </c>
      <c r="BN774" s="4">
        <v>43283.335277777776</v>
      </c>
      <c r="BO774" s="4">
        <v>43283.335277777776</v>
      </c>
      <c r="BP774" t="s">
        <v>92</v>
      </c>
      <c r="BQ774" t="s">
        <v>93</v>
      </c>
      <c r="BR774" t="s">
        <v>94</v>
      </c>
    </row>
    <row r="775" spans="1:70" x14ac:dyDescent="0.3">
      <c r="A775" t="str">
        <f>"200443B0100"</f>
        <v>200443B0100</v>
      </c>
      <c r="B775" t="s">
        <v>1674</v>
      </c>
      <c r="C775">
        <v>20</v>
      </c>
      <c r="D775" t="s">
        <v>88</v>
      </c>
      <c r="E775">
        <v>59</v>
      </c>
      <c r="F775" t="s">
        <v>1594</v>
      </c>
      <c r="G775">
        <v>443</v>
      </c>
      <c r="H775">
        <v>1</v>
      </c>
      <c r="I775" t="s">
        <v>90</v>
      </c>
      <c r="J775">
        <v>0</v>
      </c>
      <c r="K775">
        <v>2</v>
      </c>
      <c r="L775">
        <v>5</v>
      </c>
      <c r="M775">
        <v>221</v>
      </c>
      <c r="N775">
        <v>285</v>
      </c>
      <c r="O775">
        <v>5</v>
      </c>
      <c r="P775">
        <v>285</v>
      </c>
      <c r="Q775">
        <v>5</v>
      </c>
      <c r="R775">
        <v>20</v>
      </c>
      <c r="S775">
        <v>1</v>
      </c>
      <c r="T775">
        <v>1</v>
      </c>
      <c r="U775">
        <v>4</v>
      </c>
      <c r="V775">
        <v>0</v>
      </c>
      <c r="W775">
        <v>201</v>
      </c>
      <c r="X775">
        <v>7</v>
      </c>
      <c r="Y775">
        <v>27</v>
      </c>
      <c r="Z775">
        <v>1</v>
      </c>
      <c r="AA775" t="s">
        <v>105</v>
      </c>
      <c r="AC775" t="s">
        <v>105</v>
      </c>
      <c r="AD775" t="s">
        <v>105</v>
      </c>
      <c r="AE775" t="s">
        <v>105</v>
      </c>
      <c r="AF775" t="s">
        <v>105</v>
      </c>
      <c r="AK775" t="s">
        <v>105</v>
      </c>
      <c r="AL775" t="s">
        <v>105</v>
      </c>
      <c r="AM775" t="s">
        <v>105</v>
      </c>
      <c r="AN775" t="s">
        <v>105</v>
      </c>
      <c r="AT775">
        <v>1</v>
      </c>
      <c r="BC775" t="s">
        <v>105</v>
      </c>
      <c r="BD775" t="s">
        <v>105</v>
      </c>
      <c r="BE775" t="s">
        <v>105</v>
      </c>
      <c r="BF775">
        <v>268</v>
      </c>
      <c r="BG775">
        <v>484</v>
      </c>
      <c r="BI775" t="s">
        <v>106</v>
      </c>
      <c r="BJ775">
        <v>1</v>
      </c>
      <c r="BL775" t="s">
        <v>1675</v>
      </c>
      <c r="BM775" s="4">
        <v>43283.165277777778</v>
      </c>
      <c r="BN775" s="4">
        <v>43283.175787037035</v>
      </c>
      <c r="BO775" s="4">
        <v>43283.175787037035</v>
      </c>
      <c r="BP775" t="s">
        <v>92</v>
      </c>
      <c r="BQ775" t="s">
        <v>93</v>
      </c>
      <c r="BR775" t="s">
        <v>94</v>
      </c>
    </row>
    <row r="776" spans="1:70" x14ac:dyDescent="0.3">
      <c r="A776" t="str">
        <f>"200444B0100"</f>
        <v>200444B0100</v>
      </c>
      <c r="B776" t="s">
        <v>1676</v>
      </c>
      <c r="C776">
        <v>20</v>
      </c>
      <c r="D776" t="s">
        <v>88</v>
      </c>
      <c r="E776">
        <v>59</v>
      </c>
      <c r="F776" t="s">
        <v>1594</v>
      </c>
      <c r="G776">
        <v>444</v>
      </c>
      <c r="H776">
        <v>1</v>
      </c>
      <c r="I776" t="s">
        <v>90</v>
      </c>
      <c r="J776">
        <v>0</v>
      </c>
      <c r="K776">
        <v>2</v>
      </c>
      <c r="L776">
        <v>5</v>
      </c>
      <c r="M776">
        <v>258</v>
      </c>
      <c r="N776">
        <v>298</v>
      </c>
      <c r="O776">
        <v>7</v>
      </c>
      <c r="P776">
        <v>298</v>
      </c>
      <c r="Q776">
        <v>25</v>
      </c>
      <c r="R776">
        <v>104</v>
      </c>
      <c r="S776">
        <v>0</v>
      </c>
      <c r="T776">
        <v>3</v>
      </c>
      <c r="U776">
        <v>0</v>
      </c>
      <c r="V776">
        <v>0</v>
      </c>
      <c r="W776">
        <v>57</v>
      </c>
      <c r="X776">
        <v>57</v>
      </c>
      <c r="Y776">
        <v>23</v>
      </c>
      <c r="Z776">
        <v>0</v>
      </c>
      <c r="AA776">
        <v>0</v>
      </c>
      <c r="AC776">
        <v>0</v>
      </c>
      <c r="AD776">
        <v>1</v>
      </c>
      <c r="AE776">
        <v>0</v>
      </c>
      <c r="AF776">
        <v>0</v>
      </c>
      <c r="AK776">
        <v>1</v>
      </c>
      <c r="AL776">
        <v>0</v>
      </c>
      <c r="AM776">
        <v>0</v>
      </c>
      <c r="AN776">
        <v>0</v>
      </c>
      <c r="AT776">
        <v>0</v>
      </c>
      <c r="BC776">
        <v>0</v>
      </c>
      <c r="BD776">
        <v>27</v>
      </c>
      <c r="BE776">
        <v>298</v>
      </c>
      <c r="BF776">
        <v>298</v>
      </c>
      <c r="BG776">
        <v>534</v>
      </c>
      <c r="BJ776">
        <v>1</v>
      </c>
      <c r="BL776" t="s">
        <v>1677</v>
      </c>
      <c r="BM776" s="4">
        <v>43283.363888888889</v>
      </c>
      <c r="BN776" s="4">
        <v>43283.377627314818</v>
      </c>
      <c r="BO776" s="4">
        <v>43283.377627314818</v>
      </c>
      <c r="BP776" t="s">
        <v>92</v>
      </c>
      <c r="BQ776" t="s">
        <v>93</v>
      </c>
      <c r="BR776" t="s">
        <v>94</v>
      </c>
    </row>
    <row r="777" spans="1:70" x14ac:dyDescent="0.3">
      <c r="A777" t="str">
        <f>"200444C0100"</f>
        <v>200444C0100</v>
      </c>
      <c r="B777" t="s">
        <v>1678</v>
      </c>
      <c r="C777">
        <v>20</v>
      </c>
      <c r="D777" t="s">
        <v>88</v>
      </c>
      <c r="E777">
        <v>59</v>
      </c>
      <c r="F777" t="s">
        <v>1594</v>
      </c>
      <c r="G777">
        <v>444</v>
      </c>
      <c r="H777">
        <v>1</v>
      </c>
      <c r="I777" t="s">
        <v>98</v>
      </c>
      <c r="J777">
        <v>0</v>
      </c>
      <c r="K777">
        <v>2</v>
      </c>
      <c r="L777">
        <v>5</v>
      </c>
      <c r="M777">
        <v>254</v>
      </c>
      <c r="N777">
        <v>301</v>
      </c>
      <c r="O777">
        <v>5</v>
      </c>
      <c r="P777">
        <v>301</v>
      </c>
      <c r="Q777">
        <v>23</v>
      </c>
      <c r="R777">
        <v>101</v>
      </c>
      <c r="S777">
        <v>1</v>
      </c>
      <c r="T777">
        <v>3</v>
      </c>
      <c r="U777">
        <v>1</v>
      </c>
      <c r="V777">
        <v>2</v>
      </c>
      <c r="W777">
        <v>57</v>
      </c>
      <c r="X777">
        <v>61</v>
      </c>
      <c r="Y777">
        <v>18</v>
      </c>
      <c r="Z777">
        <v>1</v>
      </c>
      <c r="AA777">
        <v>0</v>
      </c>
      <c r="AC777">
        <v>0</v>
      </c>
      <c r="AD777">
        <v>1</v>
      </c>
      <c r="AE777">
        <v>0</v>
      </c>
      <c r="AF777">
        <v>0</v>
      </c>
      <c r="AK777">
        <v>0</v>
      </c>
      <c r="AL777">
        <v>0</v>
      </c>
      <c r="AM777">
        <v>0</v>
      </c>
      <c r="AN777">
        <v>0</v>
      </c>
      <c r="AT777">
        <v>2</v>
      </c>
      <c r="BC777">
        <v>0</v>
      </c>
      <c r="BD777">
        <v>30</v>
      </c>
      <c r="BE777">
        <v>301</v>
      </c>
      <c r="BF777">
        <v>301</v>
      </c>
      <c r="BG777">
        <v>533</v>
      </c>
      <c r="BJ777">
        <v>1</v>
      </c>
      <c r="BL777" t="s">
        <v>1679</v>
      </c>
      <c r="BM777" s="4">
        <v>43283.364583333336</v>
      </c>
      <c r="BN777" s="4">
        <v>43283.374814814815</v>
      </c>
      <c r="BO777" s="4">
        <v>43283.374814814815</v>
      </c>
      <c r="BP777" t="s">
        <v>92</v>
      </c>
      <c r="BQ777" t="s">
        <v>93</v>
      </c>
      <c r="BR777" t="s">
        <v>94</v>
      </c>
    </row>
    <row r="778" spans="1:70" x14ac:dyDescent="0.3">
      <c r="A778" t="str">
        <f>"200445B0100"</f>
        <v>200445B0100</v>
      </c>
      <c r="B778" t="s">
        <v>1680</v>
      </c>
      <c r="C778">
        <v>20</v>
      </c>
      <c r="D778" t="s">
        <v>88</v>
      </c>
      <c r="E778">
        <v>59</v>
      </c>
      <c r="F778" t="s">
        <v>1594</v>
      </c>
      <c r="G778">
        <v>445</v>
      </c>
      <c r="H778">
        <v>1</v>
      </c>
      <c r="I778" t="s">
        <v>90</v>
      </c>
      <c r="J778">
        <v>0</v>
      </c>
      <c r="K778">
        <v>2</v>
      </c>
      <c r="L778">
        <v>5</v>
      </c>
      <c r="M778">
        <v>211</v>
      </c>
      <c r="N778">
        <v>414</v>
      </c>
      <c r="O778">
        <v>2</v>
      </c>
      <c r="P778">
        <v>414</v>
      </c>
      <c r="Q778">
        <v>20</v>
      </c>
      <c r="R778">
        <v>152</v>
      </c>
      <c r="S778">
        <v>0</v>
      </c>
      <c r="T778">
        <v>0</v>
      </c>
      <c r="U778">
        <v>2</v>
      </c>
      <c r="V778">
        <v>0</v>
      </c>
      <c r="W778">
        <v>71</v>
      </c>
      <c r="X778">
        <v>106</v>
      </c>
      <c r="Y778">
        <v>41</v>
      </c>
      <c r="Z778">
        <v>0</v>
      </c>
      <c r="AA778">
        <v>0</v>
      </c>
      <c r="AC778">
        <v>0</v>
      </c>
      <c r="AD778">
        <v>0</v>
      </c>
      <c r="AE778">
        <v>0</v>
      </c>
      <c r="AF778">
        <v>0</v>
      </c>
      <c r="AK778">
        <v>0</v>
      </c>
      <c r="AL778">
        <v>0</v>
      </c>
      <c r="AM778">
        <v>0</v>
      </c>
      <c r="AN778">
        <v>0</v>
      </c>
      <c r="AT778">
        <v>0</v>
      </c>
      <c r="BC778">
        <v>0</v>
      </c>
      <c r="BD778">
        <v>22</v>
      </c>
      <c r="BE778">
        <v>414</v>
      </c>
      <c r="BF778">
        <v>414</v>
      </c>
      <c r="BG778">
        <v>603</v>
      </c>
      <c r="BJ778">
        <v>1</v>
      </c>
      <c r="BL778" t="s">
        <v>1681</v>
      </c>
      <c r="BM778" s="4">
        <v>43283.365277777775</v>
      </c>
      <c r="BN778" s="4">
        <v>43283.37703703704</v>
      </c>
      <c r="BO778" s="4">
        <v>43283.37703703704</v>
      </c>
      <c r="BP778" t="s">
        <v>92</v>
      </c>
      <c r="BQ778" t="s">
        <v>93</v>
      </c>
      <c r="BR778" t="s">
        <v>94</v>
      </c>
    </row>
    <row r="779" spans="1:70" x14ac:dyDescent="0.3">
      <c r="A779" t="str">
        <f>"200445E0100"</f>
        <v>200445E0100</v>
      </c>
      <c r="B779" s="2" t="s">
        <v>1682</v>
      </c>
      <c r="C779">
        <v>20</v>
      </c>
      <c r="D779" t="s">
        <v>88</v>
      </c>
      <c r="E779">
        <v>59</v>
      </c>
      <c r="F779" t="s">
        <v>1594</v>
      </c>
      <c r="G779">
        <v>445</v>
      </c>
      <c r="H779">
        <v>1</v>
      </c>
      <c r="I779" t="s">
        <v>156</v>
      </c>
      <c r="J779">
        <v>0</v>
      </c>
      <c r="K779">
        <v>2</v>
      </c>
      <c r="L779">
        <v>5</v>
      </c>
      <c r="M779">
        <v>229</v>
      </c>
      <c r="N779">
        <v>726</v>
      </c>
      <c r="O779">
        <v>5</v>
      </c>
      <c r="P779">
        <v>417</v>
      </c>
      <c r="Q779">
        <v>22</v>
      </c>
      <c r="R779">
        <v>166</v>
      </c>
      <c r="S779" t="s">
        <v>105</v>
      </c>
      <c r="T779" t="s">
        <v>127</v>
      </c>
      <c r="U779">
        <v>1</v>
      </c>
      <c r="V779" t="s">
        <v>105</v>
      </c>
      <c r="W779">
        <v>97</v>
      </c>
      <c r="X779">
        <v>95</v>
      </c>
      <c r="Y779">
        <v>18</v>
      </c>
      <c r="Z779" t="s">
        <v>105</v>
      </c>
      <c r="AA779" t="s">
        <v>105</v>
      </c>
      <c r="AC779" t="s">
        <v>105</v>
      </c>
      <c r="AD779" t="s">
        <v>105</v>
      </c>
      <c r="AE779" t="s">
        <v>105</v>
      </c>
      <c r="AF779" t="s">
        <v>105</v>
      </c>
      <c r="AK779" t="s">
        <v>105</v>
      </c>
      <c r="AL779" t="s">
        <v>105</v>
      </c>
      <c r="AM779" t="s">
        <v>105</v>
      </c>
      <c r="AN779" t="s">
        <v>105</v>
      </c>
      <c r="AT779" t="s">
        <v>105</v>
      </c>
      <c r="BC779" t="s">
        <v>105</v>
      </c>
      <c r="BD779">
        <v>18</v>
      </c>
      <c r="BE779">
        <v>417</v>
      </c>
      <c r="BF779">
        <v>417</v>
      </c>
      <c r="BG779">
        <v>704</v>
      </c>
      <c r="BI779" t="s">
        <v>106</v>
      </c>
      <c r="BJ779">
        <v>1</v>
      </c>
      <c r="BL779" t="s">
        <v>1683</v>
      </c>
      <c r="BM779" s="4">
        <v>43283.365972222222</v>
      </c>
      <c r="BN779" s="4">
        <v>43283.393460648149</v>
      </c>
      <c r="BO779" s="4">
        <v>43283.393460648149</v>
      </c>
      <c r="BP779" t="s">
        <v>92</v>
      </c>
      <c r="BQ779" t="s">
        <v>93</v>
      </c>
      <c r="BR779" t="s">
        <v>94</v>
      </c>
    </row>
    <row r="780" spans="1:70" x14ac:dyDescent="0.3">
      <c r="A780" t="str">
        <f>"200446B0100"</f>
        <v>200446B0100</v>
      </c>
      <c r="B780" t="s">
        <v>1684</v>
      </c>
      <c r="C780">
        <v>20</v>
      </c>
      <c r="D780" t="s">
        <v>88</v>
      </c>
      <c r="E780">
        <v>59</v>
      </c>
      <c r="F780" t="s">
        <v>1594</v>
      </c>
      <c r="G780">
        <v>446</v>
      </c>
      <c r="H780">
        <v>1</v>
      </c>
      <c r="I780" t="s">
        <v>90</v>
      </c>
      <c r="J780">
        <v>0</v>
      </c>
      <c r="K780">
        <v>2</v>
      </c>
      <c r="L780">
        <v>5</v>
      </c>
      <c r="M780">
        <v>242</v>
      </c>
      <c r="N780">
        <v>226</v>
      </c>
      <c r="O780" t="s">
        <v>127</v>
      </c>
      <c r="P780">
        <v>226</v>
      </c>
      <c r="Q780">
        <v>17</v>
      </c>
      <c r="R780" t="s">
        <v>127</v>
      </c>
      <c r="S780">
        <v>1</v>
      </c>
      <c r="T780">
        <v>5</v>
      </c>
      <c r="U780">
        <v>8</v>
      </c>
      <c r="V780" t="s">
        <v>105</v>
      </c>
      <c r="W780">
        <v>31</v>
      </c>
      <c r="X780">
        <v>27</v>
      </c>
      <c r="Y780" t="s">
        <v>127</v>
      </c>
      <c r="Z780">
        <v>1</v>
      </c>
      <c r="AA780">
        <v>1</v>
      </c>
      <c r="AC780" t="s">
        <v>105</v>
      </c>
      <c r="AD780" t="s">
        <v>105</v>
      </c>
      <c r="AE780" t="s">
        <v>105</v>
      </c>
      <c r="AF780" t="s">
        <v>105</v>
      </c>
      <c r="AK780" t="s">
        <v>105</v>
      </c>
      <c r="AL780" t="s">
        <v>105</v>
      </c>
      <c r="AM780" t="s">
        <v>105</v>
      </c>
      <c r="AN780" t="s">
        <v>105</v>
      </c>
      <c r="AT780">
        <v>4</v>
      </c>
      <c r="BC780" t="s">
        <v>105</v>
      </c>
      <c r="BD780">
        <v>8</v>
      </c>
      <c r="BE780">
        <v>226</v>
      </c>
      <c r="BF780">
        <v>103</v>
      </c>
      <c r="BG780">
        <v>446</v>
      </c>
      <c r="BI780" t="s">
        <v>106</v>
      </c>
      <c r="BJ780">
        <v>1</v>
      </c>
      <c r="BL780" t="s">
        <v>1685</v>
      </c>
      <c r="BM780" s="4">
        <v>43283.172222222223</v>
      </c>
      <c r="BN780" s="4">
        <v>43283.190497685187</v>
      </c>
      <c r="BO780" s="4">
        <v>43283.190497685187</v>
      </c>
      <c r="BP780" t="s">
        <v>92</v>
      </c>
      <c r="BQ780" t="s">
        <v>93</v>
      </c>
      <c r="BR780" t="s">
        <v>94</v>
      </c>
    </row>
    <row r="781" spans="1:70" x14ac:dyDescent="0.3">
      <c r="A781" t="str">
        <f>"200446C0100"</f>
        <v>200446C0100</v>
      </c>
      <c r="B781" t="s">
        <v>1686</v>
      </c>
      <c r="C781">
        <v>20</v>
      </c>
      <c r="D781" t="s">
        <v>88</v>
      </c>
      <c r="E781">
        <v>59</v>
      </c>
      <c r="F781" t="s">
        <v>1594</v>
      </c>
      <c r="G781">
        <v>446</v>
      </c>
      <c r="H781">
        <v>1</v>
      </c>
      <c r="I781" t="s">
        <v>98</v>
      </c>
      <c r="J781">
        <v>0</v>
      </c>
      <c r="K781">
        <v>2</v>
      </c>
      <c r="L781">
        <v>5</v>
      </c>
      <c r="BG781">
        <v>445</v>
      </c>
      <c r="BI781" t="s">
        <v>122</v>
      </c>
      <c r="BJ781">
        <v>0</v>
      </c>
      <c r="BL781" t="s">
        <v>1687</v>
      </c>
      <c r="BM781" s="4">
        <v>43283.807638888888</v>
      </c>
      <c r="BN781" s="4">
        <v>43283.809155092589</v>
      </c>
      <c r="BO781" s="4">
        <v>43283.809155092589</v>
      </c>
      <c r="BP781" t="s">
        <v>92</v>
      </c>
      <c r="BQ781" t="s">
        <v>93</v>
      </c>
      <c r="BR781" t="s">
        <v>94</v>
      </c>
    </row>
    <row r="782" spans="1:70" x14ac:dyDescent="0.3">
      <c r="A782" t="str">
        <f>"200446E0100"</f>
        <v>200446E0100</v>
      </c>
      <c r="B782" s="2" t="s">
        <v>1688</v>
      </c>
      <c r="C782">
        <v>20</v>
      </c>
      <c r="D782" t="s">
        <v>88</v>
      </c>
      <c r="E782">
        <v>59</v>
      </c>
      <c r="F782" t="s">
        <v>1594</v>
      </c>
      <c r="G782">
        <v>446</v>
      </c>
      <c r="H782">
        <v>1</v>
      </c>
      <c r="I782" t="s">
        <v>156</v>
      </c>
      <c r="J782">
        <v>0</v>
      </c>
      <c r="K782">
        <v>2</v>
      </c>
      <c r="L782">
        <v>5</v>
      </c>
      <c r="M782">
        <v>167</v>
      </c>
      <c r="N782">
        <v>210</v>
      </c>
      <c r="O782">
        <v>7</v>
      </c>
      <c r="P782">
        <v>210</v>
      </c>
      <c r="Q782">
        <v>12</v>
      </c>
      <c r="R782">
        <v>62</v>
      </c>
      <c r="S782">
        <v>2</v>
      </c>
      <c r="T782">
        <v>2</v>
      </c>
      <c r="U782">
        <v>9</v>
      </c>
      <c r="V782">
        <v>2</v>
      </c>
      <c r="W782">
        <v>41</v>
      </c>
      <c r="X782">
        <v>37</v>
      </c>
      <c r="Y782">
        <v>20</v>
      </c>
      <c r="Z782">
        <v>2</v>
      </c>
      <c r="AA782">
        <v>0</v>
      </c>
      <c r="AC782">
        <v>0</v>
      </c>
      <c r="AD782">
        <v>0</v>
      </c>
      <c r="AE782">
        <v>0</v>
      </c>
      <c r="AF782">
        <v>0</v>
      </c>
      <c r="AK782">
        <v>0</v>
      </c>
      <c r="AL782">
        <v>0</v>
      </c>
      <c r="AM782">
        <v>0</v>
      </c>
      <c r="AN782">
        <v>0</v>
      </c>
      <c r="AT782">
        <v>0</v>
      </c>
      <c r="BC782">
        <v>1</v>
      </c>
      <c r="BD782">
        <v>20</v>
      </c>
      <c r="BE782">
        <v>210</v>
      </c>
      <c r="BF782">
        <v>210</v>
      </c>
      <c r="BG782">
        <v>355</v>
      </c>
      <c r="BJ782">
        <v>1</v>
      </c>
      <c r="BL782" t="s">
        <v>1689</v>
      </c>
      <c r="BM782" s="4">
        <v>43283.168055555558</v>
      </c>
      <c r="BN782" s="4">
        <v>43283.181354166663</v>
      </c>
      <c r="BO782" s="4">
        <v>43283.181354166663</v>
      </c>
      <c r="BP782" t="s">
        <v>92</v>
      </c>
      <c r="BQ782" t="s">
        <v>93</v>
      </c>
      <c r="BR782" t="s">
        <v>94</v>
      </c>
    </row>
    <row r="783" spans="1:70" x14ac:dyDescent="0.3">
      <c r="A783" t="str">
        <f>"200446E0200"</f>
        <v>200446E0200</v>
      </c>
      <c r="B783" s="2" t="s">
        <v>1690</v>
      </c>
      <c r="C783">
        <v>20</v>
      </c>
      <c r="D783" t="s">
        <v>88</v>
      </c>
      <c r="E783">
        <v>59</v>
      </c>
      <c r="F783" t="s">
        <v>1594</v>
      </c>
      <c r="G783">
        <v>446</v>
      </c>
      <c r="H783">
        <v>2</v>
      </c>
      <c r="I783" t="s">
        <v>156</v>
      </c>
      <c r="J783">
        <v>0</v>
      </c>
      <c r="K783">
        <v>2</v>
      </c>
      <c r="L783">
        <v>5</v>
      </c>
      <c r="M783">
        <v>166</v>
      </c>
      <c r="N783">
        <v>194</v>
      </c>
      <c r="O783">
        <v>6</v>
      </c>
      <c r="P783">
        <v>194</v>
      </c>
      <c r="Q783">
        <v>5</v>
      </c>
      <c r="R783">
        <v>43</v>
      </c>
      <c r="S783">
        <v>1</v>
      </c>
      <c r="T783">
        <v>2</v>
      </c>
      <c r="U783">
        <v>6</v>
      </c>
      <c r="V783">
        <v>0</v>
      </c>
      <c r="W783">
        <v>83</v>
      </c>
      <c r="X783">
        <v>10</v>
      </c>
      <c r="Y783">
        <v>27</v>
      </c>
      <c r="Z783">
        <v>1</v>
      </c>
      <c r="AA783">
        <v>0</v>
      </c>
      <c r="AC783">
        <v>0</v>
      </c>
      <c r="AD783">
        <v>0</v>
      </c>
      <c r="AE783">
        <v>0</v>
      </c>
      <c r="AF783">
        <v>0</v>
      </c>
      <c r="AK783">
        <v>0</v>
      </c>
      <c r="AL783">
        <v>0</v>
      </c>
      <c r="AM783">
        <v>0</v>
      </c>
      <c r="AN783">
        <v>0</v>
      </c>
      <c r="AT783">
        <v>0</v>
      </c>
      <c r="BC783">
        <v>0</v>
      </c>
      <c r="BD783">
        <v>16</v>
      </c>
      <c r="BE783">
        <v>194</v>
      </c>
      <c r="BF783">
        <v>194</v>
      </c>
      <c r="BG783">
        <v>338</v>
      </c>
      <c r="BJ783">
        <v>1</v>
      </c>
      <c r="BL783" t="s">
        <v>1691</v>
      </c>
      <c r="BM783" s="4">
        <v>43283.168055555558</v>
      </c>
      <c r="BN783" s="4">
        <v>43283.184664351851</v>
      </c>
      <c r="BO783" s="4">
        <v>43283.184664351851</v>
      </c>
      <c r="BP783" t="s">
        <v>92</v>
      </c>
      <c r="BQ783" t="s">
        <v>93</v>
      </c>
      <c r="BR783" t="s">
        <v>94</v>
      </c>
    </row>
    <row r="784" spans="1:70" x14ac:dyDescent="0.3">
      <c r="A784" t="str">
        <f>"200447B0100"</f>
        <v>200447B0100</v>
      </c>
      <c r="B784" t="s">
        <v>1692</v>
      </c>
      <c r="C784">
        <v>20</v>
      </c>
      <c r="D784" t="s">
        <v>88</v>
      </c>
      <c r="E784">
        <v>59</v>
      </c>
      <c r="F784" t="s">
        <v>1594</v>
      </c>
      <c r="G784">
        <v>447</v>
      </c>
      <c r="H784">
        <v>1</v>
      </c>
      <c r="I784" t="s">
        <v>90</v>
      </c>
      <c r="J784">
        <v>0</v>
      </c>
      <c r="K784">
        <v>2</v>
      </c>
      <c r="L784">
        <v>5</v>
      </c>
      <c r="M784" t="s">
        <v>105</v>
      </c>
      <c r="N784" t="s">
        <v>105</v>
      </c>
      <c r="O784" t="s">
        <v>105</v>
      </c>
      <c r="P784" t="s">
        <v>105</v>
      </c>
      <c r="Q784">
        <v>15</v>
      </c>
      <c r="R784">
        <v>90</v>
      </c>
      <c r="S784">
        <v>0</v>
      </c>
      <c r="T784">
        <v>3</v>
      </c>
      <c r="U784">
        <v>3</v>
      </c>
      <c r="V784" t="s">
        <v>127</v>
      </c>
      <c r="W784">
        <v>29</v>
      </c>
      <c r="X784">
        <v>43</v>
      </c>
      <c r="Y784">
        <v>52</v>
      </c>
      <c r="Z784">
        <v>1</v>
      </c>
      <c r="AA784">
        <v>0</v>
      </c>
      <c r="AC784">
        <v>0</v>
      </c>
      <c r="AD784">
        <v>0</v>
      </c>
      <c r="AE784">
        <v>0</v>
      </c>
      <c r="AF784">
        <v>0</v>
      </c>
      <c r="AK784">
        <v>0</v>
      </c>
      <c r="AL784">
        <v>0</v>
      </c>
      <c r="AM784">
        <v>0</v>
      </c>
      <c r="AN784">
        <v>0</v>
      </c>
      <c r="AT784">
        <v>1</v>
      </c>
      <c r="BC784">
        <v>0</v>
      </c>
      <c r="BD784" t="s">
        <v>127</v>
      </c>
      <c r="BE784" t="s">
        <v>105</v>
      </c>
      <c r="BF784">
        <v>237</v>
      </c>
      <c r="BG784">
        <v>374</v>
      </c>
      <c r="BI784" t="s">
        <v>106</v>
      </c>
      <c r="BJ784">
        <v>1</v>
      </c>
      <c r="BL784" t="s">
        <v>1693</v>
      </c>
      <c r="BM784" s="4">
        <v>43283.367361111108</v>
      </c>
      <c r="BN784" s="4">
        <v>43283.395219907405</v>
      </c>
      <c r="BO784" s="4">
        <v>43283.395219907405</v>
      </c>
      <c r="BP784" t="s">
        <v>92</v>
      </c>
      <c r="BQ784" t="s">
        <v>93</v>
      </c>
      <c r="BR784" t="s">
        <v>94</v>
      </c>
    </row>
    <row r="785" spans="1:70" x14ac:dyDescent="0.3">
      <c r="A785" t="str">
        <f>"200447E0100"</f>
        <v>200447E0100</v>
      </c>
      <c r="B785" s="2" t="s">
        <v>1694</v>
      </c>
      <c r="C785">
        <v>20</v>
      </c>
      <c r="D785" t="s">
        <v>88</v>
      </c>
      <c r="E785">
        <v>59</v>
      </c>
      <c r="F785" t="s">
        <v>1594</v>
      </c>
      <c r="G785">
        <v>447</v>
      </c>
      <c r="H785">
        <v>1</v>
      </c>
      <c r="I785" t="s">
        <v>156</v>
      </c>
      <c r="J785">
        <v>0</v>
      </c>
      <c r="K785">
        <v>2</v>
      </c>
      <c r="L785">
        <v>5</v>
      </c>
      <c r="BG785">
        <v>519</v>
      </c>
      <c r="BI785" t="s">
        <v>122</v>
      </c>
      <c r="BJ785">
        <v>0</v>
      </c>
      <c r="BL785" t="s">
        <v>1695</v>
      </c>
      <c r="BM785" s="4">
        <v>43283.807638888888</v>
      </c>
      <c r="BN785" s="4">
        <v>43283.808391203704</v>
      </c>
      <c r="BO785" s="4">
        <v>43283.808391203704</v>
      </c>
      <c r="BP785" t="s">
        <v>92</v>
      </c>
      <c r="BQ785" t="s">
        <v>93</v>
      </c>
      <c r="BR785" t="s">
        <v>94</v>
      </c>
    </row>
    <row r="786" spans="1:70" x14ac:dyDescent="0.3">
      <c r="A786" t="str">
        <f>"200448B0100"</f>
        <v>200448B0100</v>
      </c>
      <c r="B786" t="s">
        <v>1696</v>
      </c>
      <c r="C786">
        <v>20</v>
      </c>
      <c r="D786" t="s">
        <v>88</v>
      </c>
      <c r="E786">
        <v>59</v>
      </c>
      <c r="F786" t="s">
        <v>1594</v>
      </c>
      <c r="G786">
        <v>448</v>
      </c>
      <c r="H786">
        <v>1</v>
      </c>
      <c r="I786" t="s">
        <v>90</v>
      </c>
      <c r="J786">
        <v>0</v>
      </c>
      <c r="K786">
        <v>2</v>
      </c>
      <c r="L786">
        <v>5</v>
      </c>
      <c r="M786">
        <v>211</v>
      </c>
      <c r="N786">
        <v>232</v>
      </c>
      <c r="O786">
        <v>0</v>
      </c>
      <c r="P786">
        <v>221</v>
      </c>
      <c r="Q786">
        <v>6</v>
      </c>
      <c r="R786">
        <v>87</v>
      </c>
      <c r="S786">
        <v>0</v>
      </c>
      <c r="T786">
        <v>2</v>
      </c>
      <c r="U786">
        <v>5</v>
      </c>
      <c r="V786">
        <v>1</v>
      </c>
      <c r="W786">
        <v>26</v>
      </c>
      <c r="X786">
        <v>49</v>
      </c>
      <c r="Y786">
        <v>19</v>
      </c>
      <c r="Z786">
        <v>1</v>
      </c>
      <c r="AA786">
        <v>0</v>
      </c>
      <c r="AC786" t="s">
        <v>105</v>
      </c>
      <c r="AD786">
        <v>0</v>
      </c>
      <c r="AE786">
        <v>0</v>
      </c>
      <c r="AF786">
        <v>1</v>
      </c>
      <c r="AK786">
        <v>0</v>
      </c>
      <c r="AL786">
        <v>0</v>
      </c>
      <c r="AM786">
        <v>0</v>
      </c>
      <c r="AN786" t="s">
        <v>127</v>
      </c>
      <c r="AT786">
        <v>1</v>
      </c>
      <c r="BC786">
        <v>0</v>
      </c>
      <c r="BD786">
        <v>23</v>
      </c>
      <c r="BE786">
        <v>221</v>
      </c>
      <c r="BF786">
        <v>221</v>
      </c>
      <c r="BG786">
        <v>421</v>
      </c>
      <c r="BI786" t="s">
        <v>106</v>
      </c>
      <c r="BJ786">
        <v>1</v>
      </c>
      <c r="BL786" t="s">
        <v>1697</v>
      </c>
      <c r="BM786" s="4">
        <v>43283.165972222225</v>
      </c>
      <c r="BN786" s="4">
        <v>43283.185011574074</v>
      </c>
      <c r="BO786" s="4">
        <v>43283.185011574074</v>
      </c>
      <c r="BP786" t="s">
        <v>92</v>
      </c>
      <c r="BQ786" t="s">
        <v>93</v>
      </c>
      <c r="BR786" t="s">
        <v>94</v>
      </c>
    </row>
    <row r="787" spans="1:70" x14ac:dyDescent="0.3">
      <c r="A787" t="str">
        <f>"200449B0100"</f>
        <v>200449B0100</v>
      </c>
      <c r="B787" t="s">
        <v>1698</v>
      </c>
      <c r="C787">
        <v>20</v>
      </c>
      <c r="D787" t="s">
        <v>88</v>
      </c>
      <c r="E787">
        <v>59</v>
      </c>
      <c r="F787" t="s">
        <v>1594</v>
      </c>
      <c r="G787">
        <v>449</v>
      </c>
      <c r="H787">
        <v>1</v>
      </c>
      <c r="I787" t="s">
        <v>90</v>
      </c>
      <c r="J787">
        <v>0</v>
      </c>
      <c r="K787">
        <v>2</v>
      </c>
      <c r="L787">
        <v>5</v>
      </c>
      <c r="M787">
        <v>275</v>
      </c>
      <c r="N787">
        <v>434</v>
      </c>
      <c r="O787">
        <v>5</v>
      </c>
      <c r="P787">
        <v>433</v>
      </c>
      <c r="Q787">
        <v>76</v>
      </c>
      <c r="R787">
        <v>129</v>
      </c>
      <c r="S787">
        <v>3</v>
      </c>
      <c r="T787">
        <v>4</v>
      </c>
      <c r="U787">
        <v>2</v>
      </c>
      <c r="V787">
        <v>3</v>
      </c>
      <c r="W787">
        <v>65</v>
      </c>
      <c r="X787">
        <v>86</v>
      </c>
      <c r="Y787">
        <v>36</v>
      </c>
      <c r="Z787">
        <v>4</v>
      </c>
      <c r="AA787">
        <v>0</v>
      </c>
      <c r="AC787">
        <v>0</v>
      </c>
      <c r="AD787">
        <v>1</v>
      </c>
      <c r="AE787">
        <v>0</v>
      </c>
      <c r="AF787">
        <v>0</v>
      </c>
      <c r="AK787">
        <v>1</v>
      </c>
      <c r="AL787">
        <v>0</v>
      </c>
      <c r="AM787">
        <v>0</v>
      </c>
      <c r="AN787">
        <v>1</v>
      </c>
      <c r="AT787">
        <v>1</v>
      </c>
      <c r="BC787">
        <v>0</v>
      </c>
      <c r="BD787">
        <v>21</v>
      </c>
      <c r="BE787">
        <v>433</v>
      </c>
      <c r="BF787">
        <v>433</v>
      </c>
      <c r="BG787">
        <v>687</v>
      </c>
      <c r="BJ787">
        <v>1</v>
      </c>
      <c r="BL787" t="s">
        <v>1699</v>
      </c>
      <c r="BM787" s="4">
        <v>43283.306250000001</v>
      </c>
      <c r="BN787" s="4">
        <v>43283.331342592595</v>
      </c>
      <c r="BO787" s="4">
        <v>43283.331342592595</v>
      </c>
      <c r="BP787" t="s">
        <v>92</v>
      </c>
      <c r="BQ787" t="s">
        <v>93</v>
      </c>
      <c r="BR787" t="s">
        <v>94</v>
      </c>
    </row>
    <row r="788" spans="1:70" x14ac:dyDescent="0.3">
      <c r="A788" t="str">
        <f>"200449C0100"</f>
        <v>200449C0100</v>
      </c>
      <c r="B788" t="s">
        <v>1700</v>
      </c>
      <c r="C788">
        <v>20</v>
      </c>
      <c r="D788" t="s">
        <v>88</v>
      </c>
      <c r="E788">
        <v>59</v>
      </c>
      <c r="F788" t="s">
        <v>1594</v>
      </c>
      <c r="G788">
        <v>449</v>
      </c>
      <c r="H788">
        <v>1</v>
      </c>
      <c r="I788" t="s">
        <v>98</v>
      </c>
      <c r="J788">
        <v>0</v>
      </c>
      <c r="K788">
        <v>2</v>
      </c>
      <c r="L788">
        <v>5</v>
      </c>
      <c r="M788">
        <v>314</v>
      </c>
      <c r="N788">
        <v>394</v>
      </c>
      <c r="O788">
        <v>3</v>
      </c>
      <c r="P788">
        <v>394</v>
      </c>
      <c r="Q788">
        <v>78</v>
      </c>
      <c r="R788">
        <v>90</v>
      </c>
      <c r="S788">
        <v>3</v>
      </c>
      <c r="T788">
        <v>5</v>
      </c>
      <c r="U788">
        <v>8</v>
      </c>
      <c r="V788">
        <v>4</v>
      </c>
      <c r="W788">
        <v>34</v>
      </c>
      <c r="X788">
        <v>102</v>
      </c>
      <c r="Y788">
        <v>43</v>
      </c>
      <c r="Z788">
        <v>6</v>
      </c>
      <c r="AA788">
        <v>0</v>
      </c>
      <c r="AC788">
        <v>3</v>
      </c>
      <c r="AD788">
        <v>0</v>
      </c>
      <c r="AE788">
        <v>0</v>
      </c>
      <c r="AF788">
        <v>0</v>
      </c>
      <c r="AK788">
        <v>0</v>
      </c>
      <c r="AL788">
        <v>0</v>
      </c>
      <c r="AM788">
        <v>0</v>
      </c>
      <c r="AN788">
        <v>0</v>
      </c>
      <c r="AT788">
        <v>1</v>
      </c>
      <c r="BC788">
        <v>0</v>
      </c>
      <c r="BD788">
        <v>16</v>
      </c>
      <c r="BE788">
        <v>394</v>
      </c>
      <c r="BF788">
        <v>393</v>
      </c>
      <c r="BG788">
        <v>686</v>
      </c>
      <c r="BJ788">
        <v>1</v>
      </c>
      <c r="BL788" t="s">
        <v>1701</v>
      </c>
      <c r="BM788" s="4">
        <v>43283.306250000001</v>
      </c>
      <c r="BN788" s="4">
        <v>43283.330231481479</v>
      </c>
      <c r="BO788" s="4">
        <v>43283.330231481479</v>
      </c>
      <c r="BP788" t="s">
        <v>92</v>
      </c>
      <c r="BQ788" t="s">
        <v>93</v>
      </c>
      <c r="BR788" t="s">
        <v>94</v>
      </c>
    </row>
    <row r="789" spans="1:70" x14ac:dyDescent="0.3">
      <c r="A789" t="str">
        <f>"200450B0100"</f>
        <v>200450B0100</v>
      </c>
      <c r="B789" t="s">
        <v>1702</v>
      </c>
      <c r="C789">
        <v>20</v>
      </c>
      <c r="D789" t="s">
        <v>88</v>
      </c>
      <c r="E789">
        <v>59</v>
      </c>
      <c r="F789" t="s">
        <v>1594</v>
      </c>
      <c r="G789">
        <v>450</v>
      </c>
      <c r="H789">
        <v>1</v>
      </c>
      <c r="I789" t="s">
        <v>90</v>
      </c>
      <c r="J789">
        <v>0</v>
      </c>
      <c r="K789">
        <v>2</v>
      </c>
      <c r="L789">
        <v>5</v>
      </c>
      <c r="M789">
        <v>217</v>
      </c>
      <c r="N789">
        <v>383</v>
      </c>
      <c r="O789">
        <v>4</v>
      </c>
      <c r="P789">
        <v>383</v>
      </c>
      <c r="Q789">
        <v>56</v>
      </c>
      <c r="R789">
        <v>110</v>
      </c>
      <c r="S789">
        <v>2</v>
      </c>
      <c r="T789">
        <v>3</v>
      </c>
      <c r="U789">
        <v>6</v>
      </c>
      <c r="V789">
        <v>0</v>
      </c>
      <c r="W789">
        <v>125</v>
      </c>
      <c r="X789">
        <v>40</v>
      </c>
      <c r="Y789">
        <v>13</v>
      </c>
      <c r="Z789">
        <v>2</v>
      </c>
      <c r="AA789">
        <v>0</v>
      </c>
      <c r="AC789">
        <v>0</v>
      </c>
      <c r="AD789">
        <v>0</v>
      </c>
      <c r="AE789">
        <v>0</v>
      </c>
      <c r="AF789">
        <v>0</v>
      </c>
      <c r="AK789">
        <v>0</v>
      </c>
      <c r="AL789">
        <v>0</v>
      </c>
      <c r="AM789">
        <v>0</v>
      </c>
      <c r="AN789">
        <v>0</v>
      </c>
      <c r="AT789">
        <v>0</v>
      </c>
      <c r="BC789" t="s">
        <v>105</v>
      </c>
      <c r="BD789">
        <v>26</v>
      </c>
      <c r="BE789">
        <v>383</v>
      </c>
      <c r="BF789">
        <v>383</v>
      </c>
      <c r="BG789">
        <v>579</v>
      </c>
      <c r="BI789" t="s">
        <v>106</v>
      </c>
      <c r="BJ789">
        <v>1</v>
      </c>
      <c r="BL789" t="s">
        <v>1703</v>
      </c>
      <c r="BM789" s="4">
        <v>43283.164583333331</v>
      </c>
      <c r="BN789" s="4">
        <v>43283.175034722219</v>
      </c>
      <c r="BO789" s="4">
        <v>43283.175034722219</v>
      </c>
      <c r="BP789" t="s">
        <v>92</v>
      </c>
      <c r="BQ789" t="s">
        <v>93</v>
      </c>
      <c r="BR789" t="s">
        <v>94</v>
      </c>
    </row>
    <row r="790" spans="1:70" x14ac:dyDescent="0.3">
      <c r="A790" t="str">
        <f>"200451B0100"</f>
        <v>200451B0100</v>
      </c>
      <c r="B790" t="s">
        <v>1704</v>
      </c>
      <c r="C790">
        <v>20</v>
      </c>
      <c r="D790" t="s">
        <v>88</v>
      </c>
      <c r="E790">
        <v>59</v>
      </c>
      <c r="F790" t="s">
        <v>1594</v>
      </c>
      <c r="G790">
        <v>451</v>
      </c>
      <c r="H790">
        <v>1</v>
      </c>
      <c r="I790" t="s">
        <v>90</v>
      </c>
      <c r="J790">
        <v>0</v>
      </c>
      <c r="K790">
        <v>2</v>
      </c>
      <c r="L790">
        <v>5</v>
      </c>
      <c r="M790">
        <v>182</v>
      </c>
      <c r="N790" t="s">
        <v>105</v>
      </c>
      <c r="O790">
        <v>10</v>
      </c>
      <c r="P790" t="s">
        <v>105</v>
      </c>
      <c r="Q790">
        <v>21</v>
      </c>
      <c r="R790">
        <v>39</v>
      </c>
      <c r="S790">
        <v>6</v>
      </c>
      <c r="T790">
        <v>6</v>
      </c>
      <c r="U790">
        <v>9</v>
      </c>
      <c r="V790">
        <v>6</v>
      </c>
      <c r="W790">
        <v>39</v>
      </c>
      <c r="X790">
        <v>85</v>
      </c>
      <c r="Y790">
        <v>66</v>
      </c>
      <c r="Z790">
        <v>5</v>
      </c>
      <c r="AA790">
        <v>2</v>
      </c>
      <c r="AC790">
        <v>0</v>
      </c>
      <c r="AD790">
        <v>2</v>
      </c>
      <c r="AE790">
        <v>0</v>
      </c>
      <c r="AF790">
        <v>0</v>
      </c>
      <c r="AK790">
        <v>0</v>
      </c>
      <c r="AL790">
        <v>0</v>
      </c>
      <c r="AM790">
        <v>0</v>
      </c>
      <c r="AN790">
        <v>0</v>
      </c>
      <c r="AT790">
        <v>0</v>
      </c>
      <c r="BC790">
        <v>0</v>
      </c>
      <c r="BD790">
        <v>24</v>
      </c>
      <c r="BE790">
        <v>310</v>
      </c>
      <c r="BF790">
        <v>310</v>
      </c>
      <c r="BG790">
        <v>480</v>
      </c>
      <c r="BJ790">
        <v>1</v>
      </c>
      <c r="BL790" t="s">
        <v>1705</v>
      </c>
      <c r="BM790" s="4">
        <v>43283.306250000001</v>
      </c>
      <c r="BN790" s="4">
        <v>43283.350960648146</v>
      </c>
      <c r="BO790" s="4">
        <v>43283.350960648146</v>
      </c>
      <c r="BP790" t="s">
        <v>92</v>
      </c>
      <c r="BQ790" t="s">
        <v>93</v>
      </c>
      <c r="BR790" t="s">
        <v>94</v>
      </c>
    </row>
    <row r="791" spans="1:70" x14ac:dyDescent="0.3">
      <c r="A791" t="str">
        <f>"200452B0100"</f>
        <v>200452B0100</v>
      </c>
      <c r="B791" t="s">
        <v>1706</v>
      </c>
      <c r="C791">
        <v>20</v>
      </c>
      <c r="D791" t="s">
        <v>88</v>
      </c>
      <c r="E791">
        <v>59</v>
      </c>
      <c r="F791" t="s">
        <v>1594</v>
      </c>
      <c r="G791">
        <v>452</v>
      </c>
      <c r="H791">
        <v>1</v>
      </c>
      <c r="I791" t="s">
        <v>90</v>
      </c>
      <c r="J791">
        <v>0</v>
      </c>
      <c r="K791">
        <v>2</v>
      </c>
      <c r="L791">
        <v>5</v>
      </c>
      <c r="M791">
        <v>186</v>
      </c>
      <c r="N791">
        <v>253</v>
      </c>
      <c r="O791">
        <v>5</v>
      </c>
      <c r="P791">
        <v>253</v>
      </c>
      <c r="Q791">
        <v>16</v>
      </c>
      <c r="R791">
        <v>38</v>
      </c>
      <c r="S791">
        <v>4</v>
      </c>
      <c r="T791">
        <v>8</v>
      </c>
      <c r="U791">
        <v>3</v>
      </c>
      <c r="V791">
        <v>3</v>
      </c>
      <c r="W791">
        <v>34</v>
      </c>
      <c r="X791">
        <v>112</v>
      </c>
      <c r="Y791">
        <v>19</v>
      </c>
      <c r="Z791">
        <v>0</v>
      </c>
      <c r="AA791">
        <v>0</v>
      </c>
      <c r="AC791">
        <v>0</v>
      </c>
      <c r="AD791">
        <v>0</v>
      </c>
      <c r="AE791">
        <v>0</v>
      </c>
      <c r="AF791">
        <v>0</v>
      </c>
      <c r="AK791">
        <v>0</v>
      </c>
      <c r="AL791">
        <v>0</v>
      </c>
      <c r="AM791">
        <v>0</v>
      </c>
      <c r="AN791">
        <v>0</v>
      </c>
      <c r="AT791">
        <v>0</v>
      </c>
      <c r="BC791">
        <v>0</v>
      </c>
      <c r="BD791">
        <v>16</v>
      </c>
      <c r="BE791">
        <v>253</v>
      </c>
      <c r="BF791">
        <v>253</v>
      </c>
      <c r="BG791">
        <v>417</v>
      </c>
      <c r="BJ791">
        <v>1</v>
      </c>
      <c r="BL791" t="s">
        <v>1707</v>
      </c>
      <c r="BM791" s="4">
        <v>43283.097222222219</v>
      </c>
      <c r="BN791" s="4">
        <v>43283.102789351855</v>
      </c>
      <c r="BO791" s="4">
        <v>43283.102789351855</v>
      </c>
      <c r="BP791" t="s">
        <v>92</v>
      </c>
      <c r="BQ791" t="s">
        <v>93</v>
      </c>
      <c r="BR791" t="s">
        <v>94</v>
      </c>
    </row>
    <row r="792" spans="1:70" x14ac:dyDescent="0.3">
      <c r="A792" t="str">
        <f>"200452C0100"</f>
        <v>200452C0100</v>
      </c>
      <c r="B792" t="s">
        <v>1708</v>
      </c>
      <c r="C792">
        <v>20</v>
      </c>
      <c r="D792" t="s">
        <v>88</v>
      </c>
      <c r="E792">
        <v>59</v>
      </c>
      <c r="F792" t="s">
        <v>1594</v>
      </c>
      <c r="G792">
        <v>452</v>
      </c>
      <c r="H792">
        <v>1</v>
      </c>
      <c r="I792" t="s">
        <v>98</v>
      </c>
      <c r="J792">
        <v>0</v>
      </c>
      <c r="K792">
        <v>2</v>
      </c>
      <c r="L792">
        <v>5</v>
      </c>
      <c r="M792">
        <v>177</v>
      </c>
      <c r="N792">
        <v>262</v>
      </c>
      <c r="O792">
        <v>2</v>
      </c>
      <c r="P792">
        <v>262</v>
      </c>
      <c r="Q792">
        <v>21</v>
      </c>
      <c r="R792">
        <v>25</v>
      </c>
      <c r="S792">
        <v>2</v>
      </c>
      <c r="T792">
        <v>4</v>
      </c>
      <c r="U792">
        <v>2</v>
      </c>
      <c r="V792">
        <v>0</v>
      </c>
      <c r="W792">
        <v>30</v>
      </c>
      <c r="X792">
        <v>139</v>
      </c>
      <c r="Y792">
        <v>19</v>
      </c>
      <c r="Z792">
        <v>4</v>
      </c>
      <c r="AA792">
        <v>0</v>
      </c>
      <c r="AC792">
        <v>0</v>
      </c>
      <c r="AD792">
        <v>0</v>
      </c>
      <c r="AE792">
        <v>0</v>
      </c>
      <c r="AF792">
        <v>0</v>
      </c>
      <c r="AK792">
        <v>0</v>
      </c>
      <c r="AL792">
        <v>0</v>
      </c>
      <c r="AM792">
        <v>0</v>
      </c>
      <c r="AN792">
        <v>0</v>
      </c>
      <c r="AT792">
        <v>0</v>
      </c>
      <c r="BC792">
        <v>0</v>
      </c>
      <c r="BD792">
        <v>16</v>
      </c>
      <c r="BE792">
        <v>262</v>
      </c>
      <c r="BF792">
        <v>262</v>
      </c>
      <c r="BG792">
        <v>417</v>
      </c>
      <c r="BJ792">
        <v>1</v>
      </c>
      <c r="BL792" t="s">
        <v>1709</v>
      </c>
      <c r="BM792" s="4">
        <v>43283.097222222219</v>
      </c>
      <c r="BN792" s="4">
        <v>43283.100902777776</v>
      </c>
      <c r="BO792" s="4">
        <v>43283.100902777776</v>
      </c>
      <c r="BP792" t="s">
        <v>92</v>
      </c>
      <c r="BQ792" t="s">
        <v>93</v>
      </c>
      <c r="BR792" t="s">
        <v>94</v>
      </c>
    </row>
    <row r="793" spans="1:70" x14ac:dyDescent="0.3">
      <c r="A793" t="str">
        <f>"200453B0100"</f>
        <v>200453B0100</v>
      </c>
      <c r="B793" t="s">
        <v>1710</v>
      </c>
      <c r="C793">
        <v>20</v>
      </c>
      <c r="D793" t="s">
        <v>88</v>
      </c>
      <c r="E793">
        <v>59</v>
      </c>
      <c r="F793" t="s">
        <v>1594</v>
      </c>
      <c r="G793">
        <v>453</v>
      </c>
      <c r="H793">
        <v>1</v>
      </c>
      <c r="I793" t="s">
        <v>90</v>
      </c>
      <c r="J793">
        <v>0</v>
      </c>
      <c r="K793">
        <v>2</v>
      </c>
      <c r="L793">
        <v>5</v>
      </c>
      <c r="BG793">
        <v>202</v>
      </c>
      <c r="BI793" t="s">
        <v>122</v>
      </c>
      <c r="BJ793">
        <v>0</v>
      </c>
      <c r="BL793" t="s">
        <v>1711</v>
      </c>
      <c r="BM793" s="4">
        <v>43283.808333333334</v>
      </c>
      <c r="BN793" s="4">
        <v>43283.809317129628</v>
      </c>
      <c r="BO793" s="4">
        <v>43283.809317129628</v>
      </c>
      <c r="BP793" t="s">
        <v>92</v>
      </c>
      <c r="BQ793" t="s">
        <v>93</v>
      </c>
      <c r="BR793" t="s">
        <v>94</v>
      </c>
    </row>
    <row r="794" spans="1:70" x14ac:dyDescent="0.3">
      <c r="A794" t="str">
        <f>"200470B0100"</f>
        <v>200470B0100</v>
      </c>
      <c r="B794" t="s">
        <v>1712</v>
      </c>
      <c r="C794">
        <v>20</v>
      </c>
      <c r="D794" t="s">
        <v>88</v>
      </c>
      <c r="E794">
        <v>66</v>
      </c>
      <c r="F794" t="s">
        <v>1713</v>
      </c>
      <c r="G794">
        <v>470</v>
      </c>
      <c r="H794">
        <v>1</v>
      </c>
      <c r="I794" t="s">
        <v>90</v>
      </c>
      <c r="J794">
        <v>0</v>
      </c>
      <c r="K794">
        <v>1</v>
      </c>
      <c r="L794">
        <v>5</v>
      </c>
      <c r="M794">
        <v>188</v>
      </c>
      <c r="N794">
        <v>367</v>
      </c>
      <c r="O794">
        <v>8</v>
      </c>
      <c r="P794">
        <v>367</v>
      </c>
      <c r="Q794">
        <v>96</v>
      </c>
      <c r="R794">
        <v>19</v>
      </c>
      <c r="S794">
        <v>10</v>
      </c>
      <c r="T794">
        <v>2</v>
      </c>
      <c r="U794">
        <v>8</v>
      </c>
      <c r="V794">
        <v>13</v>
      </c>
      <c r="W794">
        <v>7</v>
      </c>
      <c r="X794">
        <v>3</v>
      </c>
      <c r="Y794">
        <v>171</v>
      </c>
      <c r="Z794">
        <v>9</v>
      </c>
      <c r="AA794">
        <v>0</v>
      </c>
      <c r="AB794">
        <v>4</v>
      </c>
      <c r="AC794">
        <v>6</v>
      </c>
      <c r="AD794">
        <v>4</v>
      </c>
      <c r="AE794">
        <v>0</v>
      </c>
      <c r="AF794">
        <v>0</v>
      </c>
      <c r="AK794">
        <v>6</v>
      </c>
      <c r="AL794">
        <v>4</v>
      </c>
      <c r="AM794">
        <v>0</v>
      </c>
      <c r="AN794">
        <v>0</v>
      </c>
      <c r="AT794">
        <v>0</v>
      </c>
      <c r="BC794">
        <v>0</v>
      </c>
      <c r="BD794">
        <v>5</v>
      </c>
      <c r="BE794">
        <v>367</v>
      </c>
      <c r="BF794">
        <v>367</v>
      </c>
      <c r="BG794">
        <v>534</v>
      </c>
      <c r="BJ794">
        <v>1</v>
      </c>
      <c r="BL794" t="s">
        <v>1714</v>
      </c>
      <c r="BM794" s="4">
        <v>43283.044444444444</v>
      </c>
      <c r="BN794" s="4">
        <v>43283.049456018518</v>
      </c>
      <c r="BO794" s="4">
        <v>43283.049456018518</v>
      </c>
      <c r="BP794" t="s">
        <v>92</v>
      </c>
      <c r="BQ794" t="s">
        <v>93</v>
      </c>
      <c r="BR794" t="s">
        <v>94</v>
      </c>
    </row>
    <row r="795" spans="1:70" x14ac:dyDescent="0.3">
      <c r="A795" t="str">
        <f>"200470C0100"</f>
        <v>200470C0100</v>
      </c>
      <c r="B795" t="s">
        <v>1715</v>
      </c>
      <c r="C795">
        <v>20</v>
      </c>
      <c r="D795" t="s">
        <v>88</v>
      </c>
      <c r="E795">
        <v>66</v>
      </c>
      <c r="F795" t="s">
        <v>1713</v>
      </c>
      <c r="G795">
        <v>470</v>
      </c>
      <c r="H795">
        <v>1</v>
      </c>
      <c r="I795" t="s">
        <v>98</v>
      </c>
      <c r="J795">
        <v>0</v>
      </c>
      <c r="K795">
        <v>1</v>
      </c>
      <c r="L795">
        <v>5</v>
      </c>
      <c r="M795">
        <v>196</v>
      </c>
      <c r="N795">
        <v>359</v>
      </c>
      <c r="O795">
        <v>7</v>
      </c>
      <c r="P795">
        <v>355</v>
      </c>
      <c r="Q795">
        <v>89</v>
      </c>
      <c r="R795">
        <v>33</v>
      </c>
      <c r="S795">
        <v>9</v>
      </c>
      <c r="T795">
        <v>2</v>
      </c>
      <c r="U795">
        <v>17</v>
      </c>
      <c r="V795">
        <v>4</v>
      </c>
      <c r="W795">
        <v>5</v>
      </c>
      <c r="X795">
        <v>1</v>
      </c>
      <c r="Y795">
        <v>166</v>
      </c>
      <c r="Z795">
        <v>1</v>
      </c>
      <c r="AA795">
        <v>1</v>
      </c>
      <c r="AB795">
        <v>8</v>
      </c>
      <c r="AC795">
        <v>1</v>
      </c>
      <c r="AD795">
        <v>0</v>
      </c>
      <c r="AE795">
        <v>0</v>
      </c>
      <c r="AF795">
        <v>0</v>
      </c>
      <c r="AK795">
        <v>6</v>
      </c>
      <c r="AL795">
        <v>1</v>
      </c>
      <c r="AM795">
        <v>1</v>
      </c>
      <c r="AN795">
        <v>1</v>
      </c>
      <c r="AT795">
        <v>1</v>
      </c>
      <c r="BC795">
        <v>0</v>
      </c>
      <c r="BD795">
        <v>8</v>
      </c>
      <c r="BE795" t="s">
        <v>105</v>
      </c>
      <c r="BF795">
        <v>355</v>
      </c>
      <c r="BG795">
        <v>533</v>
      </c>
      <c r="BJ795">
        <v>1</v>
      </c>
      <c r="BL795" t="s">
        <v>1716</v>
      </c>
      <c r="BM795" s="4">
        <v>43283.371527777781</v>
      </c>
      <c r="BN795" s="4">
        <v>43283.378668981481</v>
      </c>
      <c r="BO795" s="4">
        <v>43283.378668981481</v>
      </c>
      <c r="BP795" t="s">
        <v>92</v>
      </c>
      <c r="BQ795" t="s">
        <v>93</v>
      </c>
      <c r="BR795" t="s">
        <v>254</v>
      </c>
    </row>
    <row r="796" spans="1:70" x14ac:dyDescent="0.3">
      <c r="A796" t="str">
        <f>"200470E0100"</f>
        <v>200470E0100</v>
      </c>
      <c r="B796" s="2" t="s">
        <v>1717</v>
      </c>
      <c r="C796">
        <v>20</v>
      </c>
      <c r="D796" t="s">
        <v>88</v>
      </c>
      <c r="E796">
        <v>66</v>
      </c>
      <c r="F796" t="s">
        <v>1713</v>
      </c>
      <c r="G796">
        <v>470</v>
      </c>
      <c r="H796">
        <v>1</v>
      </c>
      <c r="I796" t="s">
        <v>156</v>
      </c>
      <c r="J796">
        <v>0</v>
      </c>
      <c r="K796">
        <v>1</v>
      </c>
      <c r="L796">
        <v>5</v>
      </c>
      <c r="M796">
        <v>246</v>
      </c>
      <c r="N796">
        <v>399</v>
      </c>
      <c r="O796">
        <v>12</v>
      </c>
      <c r="P796">
        <v>384</v>
      </c>
      <c r="Q796">
        <v>80</v>
      </c>
      <c r="R796">
        <v>38</v>
      </c>
      <c r="S796">
        <v>18</v>
      </c>
      <c r="T796">
        <v>9</v>
      </c>
      <c r="U796">
        <v>19</v>
      </c>
      <c r="V796">
        <v>6</v>
      </c>
      <c r="W796">
        <v>12</v>
      </c>
      <c r="X796">
        <v>2</v>
      </c>
      <c r="Y796">
        <v>165</v>
      </c>
      <c r="Z796">
        <v>11</v>
      </c>
      <c r="AA796">
        <v>3</v>
      </c>
      <c r="AB796">
        <v>8</v>
      </c>
      <c r="AC796">
        <v>1</v>
      </c>
      <c r="AD796">
        <v>1</v>
      </c>
      <c r="AE796">
        <v>1</v>
      </c>
      <c r="AF796">
        <v>0</v>
      </c>
      <c r="AK796">
        <v>6</v>
      </c>
      <c r="AL796">
        <v>3</v>
      </c>
      <c r="AM796">
        <v>0</v>
      </c>
      <c r="AN796">
        <v>2</v>
      </c>
      <c r="AT796">
        <v>1</v>
      </c>
      <c r="BC796">
        <v>1</v>
      </c>
      <c r="BD796">
        <v>11</v>
      </c>
      <c r="BE796">
        <v>398</v>
      </c>
      <c r="BF796">
        <v>398</v>
      </c>
      <c r="BG796">
        <v>623</v>
      </c>
      <c r="BJ796">
        <v>1</v>
      </c>
      <c r="BL796" t="s">
        <v>1718</v>
      </c>
      <c r="BM796" s="4">
        <v>43282.940196759257</v>
      </c>
      <c r="BN796" s="4">
        <v>43282.943298611113</v>
      </c>
      <c r="BO796" s="4">
        <v>43282.943298611113</v>
      </c>
      <c r="BP796" t="s">
        <v>339</v>
      </c>
      <c r="BQ796" t="s">
        <v>340</v>
      </c>
      <c r="BR796" t="s">
        <v>94</v>
      </c>
    </row>
    <row r="797" spans="1:70" x14ac:dyDescent="0.3">
      <c r="A797" t="str">
        <f>"200470E0101"</f>
        <v>200470E0101</v>
      </c>
      <c r="B797" s="2" t="s">
        <v>1719</v>
      </c>
      <c r="C797">
        <v>20</v>
      </c>
      <c r="D797" t="s">
        <v>88</v>
      </c>
      <c r="E797">
        <v>66</v>
      </c>
      <c r="F797" t="s">
        <v>1713</v>
      </c>
      <c r="G797">
        <v>470</v>
      </c>
      <c r="H797">
        <v>1</v>
      </c>
      <c r="I797" t="s">
        <v>156</v>
      </c>
      <c r="J797">
        <v>1</v>
      </c>
      <c r="K797">
        <v>1</v>
      </c>
      <c r="L797">
        <v>5</v>
      </c>
      <c r="M797">
        <v>228</v>
      </c>
      <c r="N797">
        <v>416</v>
      </c>
      <c r="O797">
        <v>11</v>
      </c>
      <c r="P797">
        <v>416</v>
      </c>
      <c r="Q797">
        <v>68</v>
      </c>
      <c r="R797">
        <v>23</v>
      </c>
      <c r="S797">
        <v>14</v>
      </c>
      <c r="T797">
        <v>1</v>
      </c>
      <c r="U797">
        <v>18</v>
      </c>
      <c r="V797">
        <v>13</v>
      </c>
      <c r="W797">
        <v>7</v>
      </c>
      <c r="X797">
        <v>3</v>
      </c>
      <c r="Y797">
        <v>231</v>
      </c>
      <c r="Z797">
        <v>4</v>
      </c>
      <c r="AA797">
        <v>4</v>
      </c>
      <c r="AB797">
        <v>7</v>
      </c>
      <c r="AC797">
        <v>4</v>
      </c>
      <c r="AD797">
        <v>1</v>
      </c>
      <c r="AE797">
        <v>0</v>
      </c>
      <c r="AF797">
        <v>0</v>
      </c>
      <c r="AK797">
        <v>10</v>
      </c>
      <c r="AL797">
        <v>2</v>
      </c>
      <c r="AM797">
        <v>1</v>
      </c>
      <c r="AN797">
        <v>0</v>
      </c>
      <c r="AT797">
        <v>0</v>
      </c>
      <c r="BC797">
        <v>0</v>
      </c>
      <c r="BD797">
        <v>5</v>
      </c>
      <c r="BE797">
        <v>416</v>
      </c>
      <c r="BF797">
        <v>416</v>
      </c>
      <c r="BG797">
        <v>622</v>
      </c>
      <c r="BJ797">
        <v>1</v>
      </c>
      <c r="BL797" t="s">
        <v>1720</v>
      </c>
      <c r="BM797" s="4">
        <v>43282.94358796296</v>
      </c>
      <c r="BN797" s="4">
        <v>43282.950196759259</v>
      </c>
      <c r="BO797" s="4">
        <v>43282.950196759259</v>
      </c>
      <c r="BP797" t="s">
        <v>339</v>
      </c>
      <c r="BQ797" t="s">
        <v>340</v>
      </c>
      <c r="BR797" t="s">
        <v>94</v>
      </c>
    </row>
    <row r="798" spans="1:70" x14ac:dyDescent="0.3">
      <c r="A798" t="str">
        <f>"200470E0200"</f>
        <v>200470E0200</v>
      </c>
      <c r="B798" s="2" t="s">
        <v>1721</v>
      </c>
      <c r="C798">
        <v>20</v>
      </c>
      <c r="D798" t="s">
        <v>88</v>
      </c>
      <c r="E798">
        <v>66</v>
      </c>
      <c r="F798" t="s">
        <v>1713</v>
      </c>
      <c r="G798">
        <v>470</v>
      </c>
      <c r="H798">
        <v>2</v>
      </c>
      <c r="I798" t="s">
        <v>156</v>
      </c>
      <c r="J798">
        <v>0</v>
      </c>
      <c r="K798">
        <v>1</v>
      </c>
      <c r="L798">
        <v>5</v>
      </c>
      <c r="M798">
        <v>241</v>
      </c>
      <c r="N798">
        <v>385</v>
      </c>
      <c r="O798">
        <v>8</v>
      </c>
      <c r="P798">
        <v>364</v>
      </c>
      <c r="Q798">
        <v>71</v>
      </c>
      <c r="R798">
        <v>37</v>
      </c>
      <c r="S798">
        <v>14</v>
      </c>
      <c r="T798">
        <v>5</v>
      </c>
      <c r="U798">
        <v>22</v>
      </c>
      <c r="V798">
        <v>12</v>
      </c>
      <c r="W798">
        <v>2</v>
      </c>
      <c r="X798">
        <v>3</v>
      </c>
      <c r="Y798">
        <v>175</v>
      </c>
      <c r="Z798">
        <v>9</v>
      </c>
      <c r="AA798">
        <v>5</v>
      </c>
      <c r="AB798">
        <v>6</v>
      </c>
      <c r="AC798">
        <v>2</v>
      </c>
      <c r="AD798">
        <v>0</v>
      </c>
      <c r="AE798">
        <v>1</v>
      </c>
      <c r="AF798">
        <v>0</v>
      </c>
      <c r="AK798">
        <v>6</v>
      </c>
      <c r="AL798">
        <v>4</v>
      </c>
      <c r="AM798">
        <v>0</v>
      </c>
      <c r="AN798">
        <v>1</v>
      </c>
      <c r="AT798">
        <v>0</v>
      </c>
      <c r="BC798">
        <v>0</v>
      </c>
      <c r="BD798">
        <v>10</v>
      </c>
      <c r="BE798">
        <v>385</v>
      </c>
      <c r="BF798">
        <v>385</v>
      </c>
      <c r="BG798">
        <v>604</v>
      </c>
      <c r="BJ798">
        <v>1</v>
      </c>
      <c r="BL798" t="s">
        <v>1722</v>
      </c>
      <c r="BM798" s="4">
        <v>43282.906006944446</v>
      </c>
      <c r="BN798" s="4">
        <v>43282.910185185188</v>
      </c>
      <c r="BO798" s="4">
        <v>43282.910185185188</v>
      </c>
      <c r="BP798" t="s">
        <v>339</v>
      </c>
      <c r="BQ798" t="s">
        <v>340</v>
      </c>
      <c r="BR798" t="s">
        <v>94</v>
      </c>
    </row>
    <row r="799" spans="1:70" x14ac:dyDescent="0.3">
      <c r="A799" t="str">
        <f>"200470E0300"</f>
        <v>200470E0300</v>
      </c>
      <c r="B799" s="2" t="s">
        <v>1723</v>
      </c>
      <c r="C799">
        <v>20</v>
      </c>
      <c r="D799" t="s">
        <v>88</v>
      </c>
      <c r="E799">
        <v>66</v>
      </c>
      <c r="F799" t="s">
        <v>1713</v>
      </c>
      <c r="G799">
        <v>470</v>
      </c>
      <c r="H799">
        <v>3</v>
      </c>
      <c r="I799" t="s">
        <v>156</v>
      </c>
      <c r="J799">
        <v>0</v>
      </c>
      <c r="K799">
        <v>1</v>
      </c>
      <c r="L799">
        <v>5</v>
      </c>
      <c r="M799">
        <v>171</v>
      </c>
      <c r="N799">
        <v>238</v>
      </c>
      <c r="O799">
        <v>9</v>
      </c>
      <c r="P799">
        <v>238</v>
      </c>
      <c r="Q799">
        <v>36</v>
      </c>
      <c r="R799">
        <v>18</v>
      </c>
      <c r="S799">
        <v>7</v>
      </c>
      <c r="T799">
        <v>2</v>
      </c>
      <c r="U799">
        <v>6</v>
      </c>
      <c r="V799">
        <v>3</v>
      </c>
      <c r="W799">
        <v>7</v>
      </c>
      <c r="X799">
        <v>2</v>
      </c>
      <c r="Y799">
        <v>132</v>
      </c>
      <c r="Z799">
        <v>3</v>
      </c>
      <c r="AA799">
        <v>2</v>
      </c>
      <c r="AB799">
        <v>7</v>
      </c>
      <c r="AC799">
        <v>1</v>
      </c>
      <c r="AD799">
        <v>1</v>
      </c>
      <c r="AE799">
        <v>0</v>
      </c>
      <c r="AF799">
        <v>0</v>
      </c>
      <c r="AK799">
        <v>4</v>
      </c>
      <c r="AL799">
        <v>0</v>
      </c>
      <c r="AM799">
        <v>0</v>
      </c>
      <c r="AN799">
        <v>1</v>
      </c>
      <c r="AT799">
        <v>1</v>
      </c>
      <c r="BC799">
        <v>0</v>
      </c>
      <c r="BD799">
        <v>5</v>
      </c>
      <c r="BE799">
        <v>238</v>
      </c>
      <c r="BF799">
        <v>238</v>
      </c>
      <c r="BG799">
        <v>386</v>
      </c>
      <c r="BJ799">
        <v>1</v>
      </c>
      <c r="BL799" t="s">
        <v>1724</v>
      </c>
      <c r="BM799" s="4">
        <v>43283.11041666667</v>
      </c>
      <c r="BN799" s="4">
        <v>43283.114363425928</v>
      </c>
      <c r="BO799" s="4">
        <v>43283.114363425928</v>
      </c>
      <c r="BP799" t="s">
        <v>92</v>
      </c>
      <c r="BQ799" t="s">
        <v>93</v>
      </c>
      <c r="BR799" t="s">
        <v>94</v>
      </c>
    </row>
    <row r="800" spans="1:70" x14ac:dyDescent="0.3">
      <c r="A800" t="str">
        <f>"200470E0301"</f>
        <v>200470E0301</v>
      </c>
      <c r="B800" s="2" t="s">
        <v>1725</v>
      </c>
      <c r="C800">
        <v>20</v>
      </c>
      <c r="D800" t="s">
        <v>88</v>
      </c>
      <c r="E800">
        <v>66</v>
      </c>
      <c r="F800" t="s">
        <v>1713</v>
      </c>
      <c r="G800">
        <v>470</v>
      </c>
      <c r="H800">
        <v>3</v>
      </c>
      <c r="I800" t="s">
        <v>156</v>
      </c>
      <c r="J800">
        <v>1</v>
      </c>
      <c r="K800">
        <v>1</v>
      </c>
      <c r="L800">
        <v>5</v>
      </c>
      <c r="BG800">
        <v>385</v>
      </c>
      <c r="BI800" t="s">
        <v>122</v>
      </c>
      <c r="BJ800">
        <v>0</v>
      </c>
      <c r="BL800" t="s">
        <v>1726</v>
      </c>
      <c r="BM800" s="4">
        <v>43283.550694444442</v>
      </c>
      <c r="BN800" s="4">
        <v>43283.555798611109</v>
      </c>
      <c r="BO800" s="4">
        <v>43283.555798611109</v>
      </c>
      <c r="BP800" t="s">
        <v>92</v>
      </c>
      <c r="BQ800" t="s">
        <v>93</v>
      </c>
      <c r="BR800" t="s">
        <v>94</v>
      </c>
    </row>
    <row r="801" spans="1:70" x14ac:dyDescent="0.3">
      <c r="A801" t="str">
        <f>"200470E0400"</f>
        <v>200470E0400</v>
      </c>
      <c r="B801" s="2" t="s">
        <v>1727</v>
      </c>
      <c r="C801">
        <v>20</v>
      </c>
      <c r="D801" t="s">
        <v>88</v>
      </c>
      <c r="E801">
        <v>66</v>
      </c>
      <c r="F801" t="s">
        <v>1713</v>
      </c>
      <c r="G801">
        <v>470</v>
      </c>
      <c r="H801">
        <v>4</v>
      </c>
      <c r="I801" t="s">
        <v>156</v>
      </c>
      <c r="J801">
        <v>0</v>
      </c>
      <c r="K801">
        <v>1</v>
      </c>
      <c r="L801">
        <v>5</v>
      </c>
      <c r="M801" t="s">
        <v>105</v>
      </c>
      <c r="N801" t="s">
        <v>105</v>
      </c>
      <c r="O801" t="s">
        <v>105</v>
      </c>
      <c r="P801" t="s">
        <v>105</v>
      </c>
      <c r="Q801">
        <v>48</v>
      </c>
      <c r="R801">
        <v>32</v>
      </c>
      <c r="S801">
        <v>9</v>
      </c>
      <c r="T801">
        <v>2</v>
      </c>
      <c r="U801">
        <v>12</v>
      </c>
      <c r="V801">
        <v>8</v>
      </c>
      <c r="W801">
        <v>2</v>
      </c>
      <c r="X801">
        <v>5</v>
      </c>
      <c r="Y801">
        <v>182</v>
      </c>
      <c r="Z801">
        <v>3</v>
      </c>
      <c r="AA801">
        <v>2</v>
      </c>
      <c r="AB801">
        <v>11</v>
      </c>
      <c r="AC801">
        <v>0</v>
      </c>
      <c r="AD801">
        <v>0</v>
      </c>
      <c r="AE801">
        <v>0</v>
      </c>
      <c r="AF801">
        <v>0</v>
      </c>
      <c r="AK801">
        <v>1</v>
      </c>
      <c r="AL801">
        <v>1</v>
      </c>
      <c r="AM801">
        <v>0</v>
      </c>
      <c r="AN801">
        <v>2</v>
      </c>
      <c r="AT801">
        <v>0</v>
      </c>
      <c r="BC801">
        <v>0</v>
      </c>
      <c r="BD801">
        <v>7</v>
      </c>
      <c r="BE801">
        <v>327</v>
      </c>
      <c r="BF801">
        <v>327</v>
      </c>
      <c r="BG801">
        <v>550</v>
      </c>
      <c r="BJ801">
        <v>1</v>
      </c>
      <c r="BL801" t="s">
        <v>1728</v>
      </c>
      <c r="BM801" s="4">
        <v>43283.0625</v>
      </c>
      <c r="BN801" s="4">
        <v>43283.066134259258</v>
      </c>
      <c r="BO801" s="4">
        <v>43283.066134259258</v>
      </c>
      <c r="BP801" t="s">
        <v>92</v>
      </c>
      <c r="BQ801" t="s">
        <v>93</v>
      </c>
      <c r="BR801" t="s">
        <v>94</v>
      </c>
    </row>
    <row r="802" spans="1:70" x14ac:dyDescent="0.3">
      <c r="A802" t="str">
        <f>"200470E0401"</f>
        <v>200470E0401</v>
      </c>
      <c r="B802" s="2" t="s">
        <v>1729</v>
      </c>
      <c r="C802">
        <v>20</v>
      </c>
      <c r="D802" t="s">
        <v>88</v>
      </c>
      <c r="E802">
        <v>66</v>
      </c>
      <c r="F802" t="s">
        <v>1713</v>
      </c>
      <c r="G802">
        <v>470</v>
      </c>
      <c r="H802">
        <v>4</v>
      </c>
      <c r="I802" t="s">
        <v>156</v>
      </c>
      <c r="J802">
        <v>1</v>
      </c>
      <c r="K802">
        <v>1</v>
      </c>
      <c r="L802">
        <v>5</v>
      </c>
      <c r="M802">
        <v>228</v>
      </c>
      <c r="N802">
        <v>345</v>
      </c>
      <c r="O802">
        <v>1</v>
      </c>
      <c r="P802">
        <v>345</v>
      </c>
      <c r="Q802">
        <v>55</v>
      </c>
      <c r="R802">
        <v>46</v>
      </c>
      <c r="S802">
        <v>12</v>
      </c>
      <c r="T802">
        <v>6</v>
      </c>
      <c r="U802">
        <v>12</v>
      </c>
      <c r="V802">
        <v>5</v>
      </c>
      <c r="W802">
        <v>8</v>
      </c>
      <c r="X802">
        <v>4</v>
      </c>
      <c r="Y802">
        <v>165</v>
      </c>
      <c r="Z802">
        <v>6</v>
      </c>
      <c r="AA802">
        <v>2</v>
      </c>
      <c r="AB802">
        <v>7</v>
      </c>
      <c r="AC802">
        <v>2</v>
      </c>
      <c r="AD802">
        <v>0</v>
      </c>
      <c r="AE802">
        <v>0</v>
      </c>
      <c r="AF802">
        <v>0</v>
      </c>
      <c r="AK802">
        <v>0</v>
      </c>
      <c r="AL802">
        <v>0</v>
      </c>
      <c r="AM802">
        <v>0</v>
      </c>
      <c r="AN802">
        <v>0</v>
      </c>
      <c r="AT802">
        <v>2</v>
      </c>
      <c r="BC802">
        <v>0</v>
      </c>
      <c r="BD802">
        <v>8</v>
      </c>
      <c r="BE802">
        <v>345</v>
      </c>
      <c r="BF802">
        <v>340</v>
      </c>
      <c r="BG802">
        <v>550</v>
      </c>
      <c r="BJ802">
        <v>1</v>
      </c>
      <c r="BL802" t="s">
        <v>1730</v>
      </c>
      <c r="BM802" s="4">
        <v>43283.054166666669</v>
      </c>
      <c r="BN802" s="4">
        <v>43283.058125000003</v>
      </c>
      <c r="BO802" s="4">
        <v>43283.058125000003</v>
      </c>
      <c r="BP802" t="s">
        <v>92</v>
      </c>
      <c r="BQ802" t="s">
        <v>93</v>
      </c>
      <c r="BR802" t="s">
        <v>94</v>
      </c>
    </row>
    <row r="803" spans="1:70" x14ac:dyDescent="0.3">
      <c r="A803" t="str">
        <f>"200470E0402"</f>
        <v>200470E0402</v>
      </c>
      <c r="B803" s="2" t="s">
        <v>1731</v>
      </c>
      <c r="C803">
        <v>20</v>
      </c>
      <c r="D803" t="s">
        <v>88</v>
      </c>
      <c r="E803">
        <v>66</v>
      </c>
      <c r="F803" t="s">
        <v>1713</v>
      </c>
      <c r="G803">
        <v>470</v>
      </c>
      <c r="H803">
        <v>4</v>
      </c>
      <c r="I803" t="s">
        <v>156</v>
      </c>
      <c r="J803">
        <v>2</v>
      </c>
      <c r="K803">
        <v>1</v>
      </c>
      <c r="L803">
        <v>5</v>
      </c>
      <c r="M803">
        <v>221</v>
      </c>
      <c r="N803">
        <v>355</v>
      </c>
      <c r="O803">
        <v>9</v>
      </c>
      <c r="P803">
        <v>350</v>
      </c>
      <c r="Q803">
        <v>61</v>
      </c>
      <c r="R803">
        <v>49</v>
      </c>
      <c r="S803">
        <v>11</v>
      </c>
      <c r="T803">
        <v>4</v>
      </c>
      <c r="U803">
        <v>11</v>
      </c>
      <c r="V803">
        <v>5</v>
      </c>
      <c r="W803">
        <v>7</v>
      </c>
      <c r="X803">
        <v>3</v>
      </c>
      <c r="Y803">
        <v>163</v>
      </c>
      <c r="Z803">
        <v>5</v>
      </c>
      <c r="AA803">
        <v>3</v>
      </c>
      <c r="AB803">
        <v>10</v>
      </c>
      <c r="AC803">
        <v>1</v>
      </c>
      <c r="AD803">
        <v>1</v>
      </c>
      <c r="AE803">
        <v>0</v>
      </c>
      <c r="AF803">
        <v>0</v>
      </c>
      <c r="AK803">
        <v>4</v>
      </c>
      <c r="AL803">
        <v>2</v>
      </c>
      <c r="AM803">
        <v>0</v>
      </c>
      <c r="AN803">
        <v>0</v>
      </c>
      <c r="AT803">
        <v>0</v>
      </c>
      <c r="BC803">
        <v>0</v>
      </c>
      <c r="BD803">
        <v>10</v>
      </c>
      <c r="BE803">
        <v>350</v>
      </c>
      <c r="BF803">
        <v>350</v>
      </c>
      <c r="BG803">
        <v>550</v>
      </c>
      <c r="BJ803">
        <v>1</v>
      </c>
      <c r="BL803" t="s">
        <v>1732</v>
      </c>
      <c r="BM803" s="4">
        <v>43283.054861111108</v>
      </c>
      <c r="BN803" s="4">
        <v>43283.059212962966</v>
      </c>
      <c r="BO803" s="4">
        <v>43283.059212962966</v>
      </c>
      <c r="BP803" t="s">
        <v>92</v>
      </c>
      <c r="BQ803" t="s">
        <v>93</v>
      </c>
      <c r="BR803" t="s">
        <v>94</v>
      </c>
    </row>
    <row r="804" spans="1:70" x14ac:dyDescent="0.3">
      <c r="A804" t="str">
        <f>"200470E0500"</f>
        <v>200470E0500</v>
      </c>
      <c r="B804" s="2" t="s">
        <v>1733</v>
      </c>
      <c r="C804">
        <v>20</v>
      </c>
      <c r="D804" t="s">
        <v>88</v>
      </c>
      <c r="E804">
        <v>66</v>
      </c>
      <c r="F804" t="s">
        <v>1713</v>
      </c>
      <c r="G804">
        <v>470</v>
      </c>
      <c r="H804">
        <v>5</v>
      </c>
      <c r="I804" t="s">
        <v>156</v>
      </c>
      <c r="J804">
        <v>0</v>
      </c>
      <c r="K804">
        <v>1</v>
      </c>
      <c r="L804">
        <v>5</v>
      </c>
      <c r="M804">
        <v>167</v>
      </c>
      <c r="N804">
        <v>291</v>
      </c>
      <c r="O804">
        <v>6</v>
      </c>
      <c r="P804">
        <v>288</v>
      </c>
      <c r="Q804">
        <v>84</v>
      </c>
      <c r="R804">
        <v>22</v>
      </c>
      <c r="S804">
        <v>10</v>
      </c>
      <c r="T804">
        <v>5</v>
      </c>
      <c r="U804">
        <v>12</v>
      </c>
      <c r="V804">
        <v>8</v>
      </c>
      <c r="W804">
        <v>8</v>
      </c>
      <c r="X804" t="s">
        <v>105</v>
      </c>
      <c r="Y804">
        <v>106</v>
      </c>
      <c r="Z804" t="s">
        <v>105</v>
      </c>
      <c r="AA804">
        <v>2</v>
      </c>
      <c r="AB804">
        <v>5</v>
      </c>
      <c r="AC804">
        <v>3</v>
      </c>
      <c r="AD804">
        <v>1</v>
      </c>
      <c r="AE804" t="s">
        <v>105</v>
      </c>
      <c r="AF804" t="s">
        <v>105</v>
      </c>
      <c r="AK804">
        <v>6</v>
      </c>
      <c r="AL804" t="s">
        <v>105</v>
      </c>
      <c r="AM804" t="s">
        <v>105</v>
      </c>
      <c r="AN804">
        <v>1</v>
      </c>
      <c r="AT804" t="s">
        <v>105</v>
      </c>
      <c r="BC804" t="s">
        <v>105</v>
      </c>
      <c r="BD804">
        <v>15</v>
      </c>
      <c r="BE804">
        <v>288</v>
      </c>
      <c r="BF804">
        <v>288</v>
      </c>
      <c r="BG804">
        <v>436</v>
      </c>
      <c r="BI804" t="s">
        <v>106</v>
      </c>
      <c r="BJ804">
        <v>1</v>
      </c>
      <c r="BL804" t="s">
        <v>1734</v>
      </c>
      <c r="BM804" s="4">
        <v>43283.004201388889</v>
      </c>
      <c r="BN804" s="4">
        <v>43283.008819444447</v>
      </c>
      <c r="BO804" s="4">
        <v>43283.008819444447</v>
      </c>
      <c r="BP804" t="s">
        <v>339</v>
      </c>
      <c r="BQ804" t="s">
        <v>340</v>
      </c>
      <c r="BR804" t="s">
        <v>94</v>
      </c>
    </row>
    <row r="805" spans="1:70" x14ac:dyDescent="0.3">
      <c r="A805" t="str">
        <f>"200470E0501"</f>
        <v>200470E0501</v>
      </c>
      <c r="B805" s="2" t="s">
        <v>1735</v>
      </c>
      <c r="C805">
        <v>20</v>
      </c>
      <c r="D805" t="s">
        <v>88</v>
      </c>
      <c r="E805">
        <v>66</v>
      </c>
      <c r="F805" t="s">
        <v>1713</v>
      </c>
      <c r="G805">
        <v>470</v>
      </c>
      <c r="H805">
        <v>5</v>
      </c>
      <c r="I805" t="s">
        <v>156</v>
      </c>
      <c r="J805">
        <v>1</v>
      </c>
      <c r="K805">
        <v>1</v>
      </c>
      <c r="L805">
        <v>5</v>
      </c>
      <c r="M805">
        <v>166</v>
      </c>
      <c r="N805" t="s">
        <v>127</v>
      </c>
      <c r="O805">
        <v>12</v>
      </c>
      <c r="P805">
        <v>294</v>
      </c>
      <c r="Q805">
        <v>68</v>
      </c>
      <c r="R805">
        <v>42</v>
      </c>
      <c r="S805">
        <v>10</v>
      </c>
      <c r="T805">
        <v>4</v>
      </c>
      <c r="U805">
        <v>11</v>
      </c>
      <c r="V805">
        <v>8</v>
      </c>
      <c r="W805">
        <v>3</v>
      </c>
      <c r="X805">
        <v>3</v>
      </c>
      <c r="Y805">
        <v>117</v>
      </c>
      <c r="Z805">
        <v>3</v>
      </c>
      <c r="AA805">
        <v>1</v>
      </c>
      <c r="AB805">
        <v>7</v>
      </c>
      <c r="AC805">
        <v>0</v>
      </c>
      <c r="AD805">
        <v>1</v>
      </c>
      <c r="AE805">
        <v>1</v>
      </c>
      <c r="AF805">
        <v>1</v>
      </c>
      <c r="AK805">
        <v>6</v>
      </c>
      <c r="AL805">
        <v>1</v>
      </c>
      <c r="AM805">
        <v>0</v>
      </c>
      <c r="AN805">
        <v>0</v>
      </c>
      <c r="AT805">
        <v>1</v>
      </c>
      <c r="BC805">
        <v>0</v>
      </c>
      <c r="BD805">
        <v>6</v>
      </c>
      <c r="BE805">
        <v>294</v>
      </c>
      <c r="BF805">
        <v>294</v>
      </c>
      <c r="BG805">
        <v>435</v>
      </c>
      <c r="BJ805">
        <v>1</v>
      </c>
      <c r="BL805" t="s">
        <v>1736</v>
      </c>
      <c r="BM805" s="4">
        <v>43282.999861111108</v>
      </c>
      <c r="BN805" s="4">
        <v>43283.005428240744</v>
      </c>
      <c r="BO805" s="4">
        <v>43283.005428240744</v>
      </c>
      <c r="BP805" t="s">
        <v>339</v>
      </c>
      <c r="BQ805" t="s">
        <v>340</v>
      </c>
      <c r="BR805" t="s">
        <v>94</v>
      </c>
    </row>
    <row r="806" spans="1:70" x14ac:dyDescent="0.3">
      <c r="A806" t="str">
        <f>"200470E0600"</f>
        <v>200470E0600</v>
      </c>
      <c r="B806" s="2" t="s">
        <v>1737</v>
      </c>
      <c r="C806">
        <v>20</v>
      </c>
      <c r="D806" t="s">
        <v>88</v>
      </c>
      <c r="E806">
        <v>66</v>
      </c>
      <c r="F806" t="s">
        <v>1713</v>
      </c>
      <c r="G806">
        <v>470</v>
      </c>
      <c r="H806">
        <v>6</v>
      </c>
      <c r="I806" t="s">
        <v>156</v>
      </c>
      <c r="J806">
        <v>0</v>
      </c>
      <c r="K806">
        <v>1</v>
      </c>
      <c r="L806">
        <v>5</v>
      </c>
      <c r="M806">
        <v>174</v>
      </c>
      <c r="N806">
        <v>318</v>
      </c>
      <c r="O806">
        <v>7</v>
      </c>
      <c r="P806" t="s">
        <v>105</v>
      </c>
      <c r="Q806">
        <v>62</v>
      </c>
      <c r="R806">
        <v>24</v>
      </c>
      <c r="S806">
        <v>9</v>
      </c>
      <c r="T806">
        <v>16</v>
      </c>
      <c r="U806">
        <v>18</v>
      </c>
      <c r="V806">
        <v>2</v>
      </c>
      <c r="W806">
        <v>8</v>
      </c>
      <c r="X806">
        <v>8</v>
      </c>
      <c r="Y806">
        <v>147</v>
      </c>
      <c r="Z806">
        <v>3</v>
      </c>
      <c r="AA806">
        <v>4</v>
      </c>
      <c r="AB806">
        <v>5</v>
      </c>
      <c r="AC806">
        <v>2</v>
      </c>
      <c r="AD806">
        <v>0</v>
      </c>
      <c r="AE806">
        <v>0</v>
      </c>
      <c r="AF806">
        <v>2</v>
      </c>
      <c r="AK806">
        <v>4</v>
      </c>
      <c r="AL806">
        <v>3</v>
      </c>
      <c r="AM806">
        <v>0</v>
      </c>
      <c r="AN806">
        <v>0</v>
      </c>
      <c r="AT806">
        <v>2</v>
      </c>
      <c r="BC806">
        <v>0</v>
      </c>
      <c r="BD806">
        <v>11</v>
      </c>
      <c r="BE806">
        <v>320</v>
      </c>
      <c r="BF806">
        <v>330</v>
      </c>
      <c r="BG806">
        <v>465</v>
      </c>
      <c r="BJ806">
        <v>1</v>
      </c>
      <c r="BL806" t="s">
        <v>1738</v>
      </c>
      <c r="BM806" s="4">
        <v>43282.951724537037</v>
      </c>
      <c r="BN806" s="4">
        <v>43282.955682870372</v>
      </c>
      <c r="BO806" s="4">
        <v>43282.955682870372</v>
      </c>
      <c r="BP806" t="s">
        <v>339</v>
      </c>
      <c r="BQ806" t="s">
        <v>340</v>
      </c>
      <c r="BR806" t="s">
        <v>94</v>
      </c>
    </row>
    <row r="807" spans="1:70" x14ac:dyDescent="0.3">
      <c r="A807" t="str">
        <f>"200470E0601"</f>
        <v>200470E0601</v>
      </c>
      <c r="B807" s="2" t="s">
        <v>1739</v>
      </c>
      <c r="C807">
        <v>20</v>
      </c>
      <c r="D807" t="s">
        <v>88</v>
      </c>
      <c r="E807">
        <v>66</v>
      </c>
      <c r="F807" t="s">
        <v>1713</v>
      </c>
      <c r="G807">
        <v>470</v>
      </c>
      <c r="H807">
        <v>6</v>
      </c>
      <c r="I807" t="s">
        <v>156</v>
      </c>
      <c r="J807">
        <v>1</v>
      </c>
      <c r="K807">
        <v>1</v>
      </c>
      <c r="L807">
        <v>5</v>
      </c>
      <c r="M807">
        <v>164</v>
      </c>
      <c r="N807">
        <v>321</v>
      </c>
      <c r="O807">
        <v>4</v>
      </c>
      <c r="P807">
        <v>321</v>
      </c>
      <c r="Q807">
        <v>51</v>
      </c>
      <c r="R807">
        <v>17</v>
      </c>
      <c r="S807">
        <v>9</v>
      </c>
      <c r="T807">
        <v>7</v>
      </c>
      <c r="U807">
        <v>16</v>
      </c>
      <c r="V807">
        <v>9</v>
      </c>
      <c r="W807">
        <v>3</v>
      </c>
      <c r="X807">
        <v>6</v>
      </c>
      <c r="Y807">
        <v>171</v>
      </c>
      <c r="Z807">
        <v>2</v>
      </c>
      <c r="AA807">
        <v>1</v>
      </c>
      <c r="AB807">
        <v>5</v>
      </c>
      <c r="AC807">
        <v>0</v>
      </c>
      <c r="AD807">
        <v>0</v>
      </c>
      <c r="AE807">
        <v>1</v>
      </c>
      <c r="AF807">
        <v>0</v>
      </c>
      <c r="AK807">
        <v>6</v>
      </c>
      <c r="AL807">
        <v>1</v>
      </c>
      <c r="AM807">
        <v>0</v>
      </c>
      <c r="AN807">
        <v>2</v>
      </c>
      <c r="AT807">
        <v>1</v>
      </c>
      <c r="BC807">
        <v>0</v>
      </c>
      <c r="BD807">
        <v>5</v>
      </c>
      <c r="BE807">
        <v>313</v>
      </c>
      <c r="BF807">
        <v>313</v>
      </c>
      <c r="BG807">
        <v>464</v>
      </c>
      <c r="BJ807">
        <v>1</v>
      </c>
      <c r="BL807" t="s">
        <v>1740</v>
      </c>
      <c r="BM807" s="4">
        <v>43282.947465277779</v>
      </c>
      <c r="BN807" s="4">
        <v>43282.950810185182</v>
      </c>
      <c r="BO807" s="4">
        <v>43282.950810185182</v>
      </c>
      <c r="BP807" t="s">
        <v>339</v>
      </c>
      <c r="BQ807" t="s">
        <v>340</v>
      </c>
      <c r="BR807" t="s">
        <v>94</v>
      </c>
    </row>
    <row r="808" spans="1:70" x14ac:dyDescent="0.3">
      <c r="A808" t="str">
        <f>"200471B0100"</f>
        <v>200471B0100</v>
      </c>
      <c r="B808" t="s">
        <v>1741</v>
      </c>
      <c r="C808">
        <v>20</v>
      </c>
      <c r="D808" t="s">
        <v>88</v>
      </c>
      <c r="E808">
        <v>66</v>
      </c>
      <c r="F808" t="s">
        <v>1713</v>
      </c>
      <c r="G808">
        <v>471</v>
      </c>
      <c r="H808">
        <v>1</v>
      </c>
      <c r="I808" t="s">
        <v>90</v>
      </c>
      <c r="J808">
        <v>0</v>
      </c>
      <c r="K808">
        <v>1</v>
      </c>
      <c r="L808">
        <v>5</v>
      </c>
      <c r="M808">
        <v>282</v>
      </c>
      <c r="N808">
        <v>410</v>
      </c>
      <c r="O808">
        <v>7</v>
      </c>
      <c r="P808">
        <v>410</v>
      </c>
      <c r="Q808">
        <v>83</v>
      </c>
      <c r="R808">
        <v>39</v>
      </c>
      <c r="S808">
        <v>19</v>
      </c>
      <c r="T808">
        <v>5</v>
      </c>
      <c r="U808">
        <v>17</v>
      </c>
      <c r="V808">
        <v>10</v>
      </c>
      <c r="W808">
        <v>4</v>
      </c>
      <c r="X808">
        <v>6</v>
      </c>
      <c r="Y808">
        <v>199</v>
      </c>
      <c r="Z808">
        <v>10</v>
      </c>
      <c r="AA808">
        <v>2</v>
      </c>
      <c r="AB808">
        <v>2</v>
      </c>
      <c r="AC808">
        <v>3</v>
      </c>
      <c r="AD808">
        <v>0</v>
      </c>
      <c r="AE808">
        <v>0</v>
      </c>
      <c r="AF808">
        <v>0</v>
      </c>
      <c r="AK808">
        <v>3</v>
      </c>
      <c r="AL808">
        <v>4</v>
      </c>
      <c r="AM808">
        <v>1</v>
      </c>
      <c r="AN808">
        <v>0</v>
      </c>
      <c r="AT808">
        <v>1</v>
      </c>
      <c r="BC808">
        <v>0</v>
      </c>
      <c r="BD808">
        <v>2</v>
      </c>
      <c r="BE808">
        <v>410</v>
      </c>
      <c r="BF808">
        <v>410</v>
      </c>
      <c r="BG808">
        <v>672</v>
      </c>
      <c r="BJ808">
        <v>1</v>
      </c>
      <c r="BL808" t="s">
        <v>1742</v>
      </c>
      <c r="BM808" s="4">
        <v>43283.131944444445</v>
      </c>
      <c r="BN808" s="4">
        <v>43283.13521990741</v>
      </c>
      <c r="BO808" s="4">
        <v>43283.13521990741</v>
      </c>
      <c r="BP808" t="s">
        <v>92</v>
      </c>
      <c r="BQ808" t="s">
        <v>93</v>
      </c>
      <c r="BR808" t="s">
        <v>94</v>
      </c>
    </row>
    <row r="809" spans="1:70" x14ac:dyDescent="0.3">
      <c r="A809" t="str">
        <f>"200471C0100"</f>
        <v>200471C0100</v>
      </c>
      <c r="B809" t="s">
        <v>1743</v>
      </c>
      <c r="C809">
        <v>20</v>
      </c>
      <c r="D809" t="s">
        <v>88</v>
      </c>
      <c r="E809">
        <v>66</v>
      </c>
      <c r="F809" t="s">
        <v>1713</v>
      </c>
      <c r="G809">
        <v>471</v>
      </c>
      <c r="H809">
        <v>1</v>
      </c>
      <c r="I809" t="s">
        <v>98</v>
      </c>
      <c r="J809">
        <v>0</v>
      </c>
      <c r="K809">
        <v>1</v>
      </c>
      <c r="L809">
        <v>5</v>
      </c>
      <c r="M809">
        <v>295</v>
      </c>
      <c r="N809">
        <v>399</v>
      </c>
      <c r="O809">
        <v>2</v>
      </c>
      <c r="P809">
        <v>396</v>
      </c>
      <c r="Q809">
        <v>86</v>
      </c>
      <c r="R809">
        <v>36</v>
      </c>
      <c r="S809">
        <v>19</v>
      </c>
      <c r="T809">
        <v>6</v>
      </c>
      <c r="U809">
        <v>13</v>
      </c>
      <c r="V809">
        <v>9</v>
      </c>
      <c r="W809">
        <v>4</v>
      </c>
      <c r="X809">
        <v>4</v>
      </c>
      <c r="Y809">
        <v>161</v>
      </c>
      <c r="Z809">
        <v>3</v>
      </c>
      <c r="AA809">
        <v>3</v>
      </c>
      <c r="AB809">
        <v>0</v>
      </c>
      <c r="AC809">
        <v>3</v>
      </c>
      <c r="AD809">
        <v>1</v>
      </c>
      <c r="AE809">
        <v>0</v>
      </c>
      <c r="AF809">
        <v>0</v>
      </c>
      <c r="AK809">
        <v>2</v>
      </c>
      <c r="AL809">
        <v>0</v>
      </c>
      <c r="AM809">
        <v>0</v>
      </c>
      <c r="AN809">
        <v>0</v>
      </c>
      <c r="AT809">
        <v>0</v>
      </c>
      <c r="BC809">
        <v>0</v>
      </c>
      <c r="BD809">
        <v>15</v>
      </c>
      <c r="BE809">
        <v>365</v>
      </c>
      <c r="BF809">
        <v>365</v>
      </c>
      <c r="BG809">
        <v>672</v>
      </c>
      <c r="BJ809">
        <v>1</v>
      </c>
      <c r="BL809" t="s">
        <v>1744</v>
      </c>
      <c r="BM809" s="4">
        <v>43283.132638888892</v>
      </c>
      <c r="BN809" s="4">
        <v>43283.137615740743</v>
      </c>
      <c r="BO809" s="4">
        <v>43283.137615740743</v>
      </c>
      <c r="BP809" t="s">
        <v>92</v>
      </c>
      <c r="BQ809" t="s">
        <v>93</v>
      </c>
      <c r="BR809" t="s">
        <v>94</v>
      </c>
    </row>
    <row r="810" spans="1:70" x14ac:dyDescent="0.3">
      <c r="A810" t="str">
        <f>"200471C0200"</f>
        <v>200471C0200</v>
      </c>
      <c r="B810" t="s">
        <v>1745</v>
      </c>
      <c r="C810">
        <v>20</v>
      </c>
      <c r="D810" t="s">
        <v>88</v>
      </c>
      <c r="E810">
        <v>66</v>
      </c>
      <c r="F810" t="s">
        <v>1713</v>
      </c>
      <c r="G810">
        <v>471</v>
      </c>
      <c r="H810">
        <v>2</v>
      </c>
      <c r="I810" t="s">
        <v>98</v>
      </c>
      <c r="J810">
        <v>0</v>
      </c>
      <c r="K810">
        <v>1</v>
      </c>
      <c r="L810">
        <v>5</v>
      </c>
      <c r="M810">
        <v>265</v>
      </c>
      <c r="N810">
        <v>13</v>
      </c>
      <c r="O810">
        <v>13</v>
      </c>
      <c r="P810">
        <v>428</v>
      </c>
      <c r="Q810">
        <v>92</v>
      </c>
      <c r="R810">
        <v>44</v>
      </c>
      <c r="S810">
        <v>23</v>
      </c>
      <c r="T810">
        <v>4</v>
      </c>
      <c r="U810">
        <v>15</v>
      </c>
      <c r="V810">
        <v>17</v>
      </c>
      <c r="W810">
        <v>3</v>
      </c>
      <c r="X810">
        <v>4</v>
      </c>
      <c r="Y810">
        <v>184</v>
      </c>
      <c r="Z810">
        <v>4</v>
      </c>
      <c r="AA810">
        <v>2</v>
      </c>
      <c r="AB810">
        <v>10</v>
      </c>
      <c r="AC810">
        <v>3</v>
      </c>
      <c r="AD810">
        <v>0</v>
      </c>
      <c r="AE810">
        <v>1</v>
      </c>
      <c r="AF810">
        <v>0</v>
      </c>
      <c r="AK810">
        <v>5</v>
      </c>
      <c r="AL810">
        <v>3</v>
      </c>
      <c r="AM810">
        <v>0</v>
      </c>
      <c r="AN810">
        <v>0</v>
      </c>
      <c r="AT810">
        <v>0</v>
      </c>
      <c r="BC810">
        <v>0</v>
      </c>
      <c r="BD810">
        <v>14</v>
      </c>
      <c r="BE810">
        <v>428</v>
      </c>
      <c r="BF810">
        <v>428</v>
      </c>
      <c r="BG810">
        <v>672</v>
      </c>
      <c r="BJ810">
        <v>1</v>
      </c>
      <c r="BL810" s="2" t="s">
        <v>1746</v>
      </c>
      <c r="BM810" s="4">
        <v>43283.131944444445</v>
      </c>
      <c r="BN810" s="4">
        <v>43283.136840277781</v>
      </c>
      <c r="BO810" s="4">
        <v>43283.136840277781</v>
      </c>
      <c r="BP810" t="s">
        <v>92</v>
      </c>
      <c r="BQ810" t="s">
        <v>93</v>
      </c>
      <c r="BR810" t="s">
        <v>94</v>
      </c>
    </row>
    <row r="811" spans="1:70" x14ac:dyDescent="0.3">
      <c r="A811" t="str">
        <f>"200471C0300"</f>
        <v>200471C0300</v>
      </c>
      <c r="B811" t="s">
        <v>1747</v>
      </c>
      <c r="C811">
        <v>20</v>
      </c>
      <c r="D811" t="s">
        <v>88</v>
      </c>
      <c r="E811">
        <v>66</v>
      </c>
      <c r="F811" t="s">
        <v>1713</v>
      </c>
      <c r="G811">
        <v>471</v>
      </c>
      <c r="H811">
        <v>3</v>
      </c>
      <c r="I811" t="s">
        <v>98</v>
      </c>
      <c r="J811">
        <v>0</v>
      </c>
      <c r="K811">
        <v>1</v>
      </c>
      <c r="L811">
        <v>5</v>
      </c>
      <c r="M811">
        <v>249</v>
      </c>
      <c r="N811">
        <v>429</v>
      </c>
      <c r="O811">
        <v>8</v>
      </c>
      <c r="P811">
        <v>429</v>
      </c>
      <c r="Q811">
        <v>79</v>
      </c>
      <c r="R811">
        <v>51</v>
      </c>
      <c r="S811">
        <v>11</v>
      </c>
      <c r="T811">
        <v>6</v>
      </c>
      <c r="U811">
        <v>14</v>
      </c>
      <c r="V811">
        <v>16</v>
      </c>
      <c r="W811">
        <v>4</v>
      </c>
      <c r="X811">
        <v>6</v>
      </c>
      <c r="Y811">
        <v>196</v>
      </c>
      <c r="Z811">
        <v>6</v>
      </c>
      <c r="AA811">
        <v>6</v>
      </c>
      <c r="AB811">
        <v>3</v>
      </c>
      <c r="AC811">
        <v>3</v>
      </c>
      <c r="AD811">
        <v>2</v>
      </c>
      <c r="AE811">
        <v>1</v>
      </c>
      <c r="AF811">
        <v>0</v>
      </c>
      <c r="AK811">
        <v>2</v>
      </c>
      <c r="AL811">
        <v>3</v>
      </c>
      <c r="AM811">
        <v>0</v>
      </c>
      <c r="AN811">
        <v>1</v>
      </c>
      <c r="AT811">
        <v>0</v>
      </c>
      <c r="BC811">
        <v>0</v>
      </c>
      <c r="BD811">
        <v>19</v>
      </c>
      <c r="BE811">
        <v>429</v>
      </c>
      <c r="BF811">
        <v>429</v>
      </c>
      <c r="BG811">
        <v>672</v>
      </c>
      <c r="BJ811">
        <v>1</v>
      </c>
      <c r="BL811" t="s">
        <v>1748</v>
      </c>
      <c r="BM811" s="4">
        <v>43283.199999999997</v>
      </c>
      <c r="BN811" s="4">
        <v>43283.217766203707</v>
      </c>
      <c r="BO811" s="4">
        <v>43283.217766203707</v>
      </c>
      <c r="BP811" t="s">
        <v>92</v>
      </c>
      <c r="BQ811" t="s">
        <v>93</v>
      </c>
      <c r="BR811" t="s">
        <v>94</v>
      </c>
    </row>
    <row r="812" spans="1:70" x14ac:dyDescent="0.3">
      <c r="A812" t="str">
        <f>"200471E0100"</f>
        <v>200471E0100</v>
      </c>
      <c r="B812" s="2" t="s">
        <v>1749</v>
      </c>
      <c r="C812">
        <v>20</v>
      </c>
      <c r="D812" t="s">
        <v>88</v>
      </c>
      <c r="E812">
        <v>66</v>
      </c>
      <c r="F812" t="s">
        <v>1713</v>
      </c>
      <c r="G812">
        <v>471</v>
      </c>
      <c r="H812">
        <v>1</v>
      </c>
      <c r="I812" t="s">
        <v>156</v>
      </c>
      <c r="J812">
        <v>0</v>
      </c>
      <c r="K812">
        <v>1</v>
      </c>
      <c r="L812">
        <v>5</v>
      </c>
      <c r="M812">
        <v>193</v>
      </c>
      <c r="N812">
        <v>331</v>
      </c>
      <c r="O812">
        <v>14</v>
      </c>
      <c r="P812">
        <v>342</v>
      </c>
      <c r="Q812">
        <v>65</v>
      </c>
      <c r="R812">
        <v>51</v>
      </c>
      <c r="S812">
        <v>11</v>
      </c>
      <c r="T812">
        <v>4</v>
      </c>
      <c r="U812">
        <v>19</v>
      </c>
      <c r="V812">
        <v>9</v>
      </c>
      <c r="W812">
        <v>4</v>
      </c>
      <c r="X812">
        <v>3</v>
      </c>
      <c r="Y812">
        <v>145</v>
      </c>
      <c r="Z812">
        <v>1</v>
      </c>
      <c r="AA812">
        <v>3</v>
      </c>
      <c r="AB812">
        <v>6</v>
      </c>
      <c r="AC812">
        <v>2</v>
      </c>
      <c r="AD812">
        <v>0</v>
      </c>
      <c r="AE812">
        <v>0</v>
      </c>
      <c r="AF812">
        <v>0</v>
      </c>
      <c r="AK812">
        <v>4</v>
      </c>
      <c r="AL812">
        <v>4</v>
      </c>
      <c r="AM812">
        <v>2</v>
      </c>
      <c r="AN812">
        <v>1</v>
      </c>
      <c r="AT812">
        <v>2</v>
      </c>
      <c r="BC812">
        <v>0</v>
      </c>
      <c r="BD812">
        <v>6</v>
      </c>
      <c r="BE812">
        <v>342</v>
      </c>
      <c r="BF812">
        <v>342</v>
      </c>
      <c r="BG812">
        <v>502</v>
      </c>
      <c r="BJ812">
        <v>1</v>
      </c>
      <c r="BL812" t="s">
        <v>1750</v>
      </c>
      <c r="BM812" s="4">
        <v>43282.998784722222</v>
      </c>
      <c r="BN812" s="4">
        <v>43283.002893518518</v>
      </c>
      <c r="BO812" s="4">
        <v>43283.002893518518</v>
      </c>
      <c r="BP812" t="s">
        <v>339</v>
      </c>
      <c r="BQ812" t="s">
        <v>340</v>
      </c>
      <c r="BR812" t="s">
        <v>94</v>
      </c>
    </row>
    <row r="813" spans="1:70" x14ac:dyDescent="0.3">
      <c r="A813" t="str">
        <f>"200471E0101"</f>
        <v>200471E0101</v>
      </c>
      <c r="B813" s="2" t="s">
        <v>1751</v>
      </c>
      <c r="C813">
        <v>20</v>
      </c>
      <c r="D813" t="s">
        <v>88</v>
      </c>
      <c r="E813">
        <v>66</v>
      </c>
      <c r="F813" t="s">
        <v>1713</v>
      </c>
      <c r="G813">
        <v>471</v>
      </c>
      <c r="H813">
        <v>1</v>
      </c>
      <c r="I813" t="s">
        <v>156</v>
      </c>
      <c r="J813">
        <v>1</v>
      </c>
      <c r="K813">
        <v>1</v>
      </c>
      <c r="L813">
        <v>5</v>
      </c>
      <c r="M813">
        <v>159</v>
      </c>
      <c r="N813">
        <v>327</v>
      </c>
      <c r="O813">
        <v>9</v>
      </c>
      <c r="P813">
        <v>325</v>
      </c>
      <c r="Q813">
        <v>58</v>
      </c>
      <c r="R813">
        <v>55</v>
      </c>
      <c r="S813">
        <v>10</v>
      </c>
      <c r="T813">
        <v>2</v>
      </c>
      <c r="U813">
        <v>15</v>
      </c>
      <c r="V813">
        <v>8</v>
      </c>
      <c r="W813">
        <v>2</v>
      </c>
      <c r="X813">
        <v>5</v>
      </c>
      <c r="Y813">
        <v>137</v>
      </c>
      <c r="Z813">
        <v>5</v>
      </c>
      <c r="AA813">
        <v>0</v>
      </c>
      <c r="AB813">
        <v>13</v>
      </c>
      <c r="AC813">
        <v>0</v>
      </c>
      <c r="AD813">
        <v>0</v>
      </c>
      <c r="AE813">
        <v>3</v>
      </c>
      <c r="AF813">
        <v>0</v>
      </c>
      <c r="AK813">
        <v>2</v>
      </c>
      <c r="AL813">
        <v>3</v>
      </c>
      <c r="AM813">
        <v>0</v>
      </c>
      <c r="AN813">
        <v>1</v>
      </c>
      <c r="AT813">
        <v>1</v>
      </c>
      <c r="BC813">
        <v>0</v>
      </c>
      <c r="BD813">
        <v>5</v>
      </c>
      <c r="BE813">
        <v>325</v>
      </c>
      <c r="BF813">
        <v>325</v>
      </c>
      <c r="BG813">
        <v>501</v>
      </c>
      <c r="BJ813">
        <v>1</v>
      </c>
      <c r="BL813" t="s">
        <v>1752</v>
      </c>
      <c r="BM813" s="4">
        <v>43283.012928240743</v>
      </c>
      <c r="BN813" s="4">
        <v>43283.01667824074</v>
      </c>
      <c r="BO813" s="4">
        <v>43283.01667824074</v>
      </c>
      <c r="BP813" t="s">
        <v>339</v>
      </c>
      <c r="BQ813" t="s">
        <v>340</v>
      </c>
      <c r="BR813" t="s">
        <v>94</v>
      </c>
    </row>
    <row r="814" spans="1:70" x14ac:dyDescent="0.3">
      <c r="A814" t="str">
        <f>"200471E0102"</f>
        <v>200471E0102</v>
      </c>
      <c r="B814" s="2" t="s">
        <v>1753</v>
      </c>
      <c r="C814">
        <v>20</v>
      </c>
      <c r="D814" t="s">
        <v>88</v>
      </c>
      <c r="E814">
        <v>66</v>
      </c>
      <c r="F814" t="s">
        <v>1713</v>
      </c>
      <c r="G814">
        <v>471</v>
      </c>
      <c r="H814">
        <v>1</v>
      </c>
      <c r="I814" t="s">
        <v>156</v>
      </c>
      <c r="J814">
        <v>2</v>
      </c>
      <c r="K814">
        <v>1</v>
      </c>
      <c r="L814">
        <v>5</v>
      </c>
      <c r="M814">
        <v>212</v>
      </c>
      <c r="N814">
        <v>313</v>
      </c>
      <c r="O814">
        <v>11</v>
      </c>
      <c r="P814">
        <v>296</v>
      </c>
      <c r="Q814">
        <v>59</v>
      </c>
      <c r="R814">
        <v>41</v>
      </c>
      <c r="S814">
        <v>9</v>
      </c>
      <c r="T814">
        <v>5</v>
      </c>
      <c r="U814">
        <v>13</v>
      </c>
      <c r="V814">
        <v>5</v>
      </c>
      <c r="W814">
        <v>3</v>
      </c>
      <c r="X814">
        <v>3</v>
      </c>
      <c r="Y814">
        <v>143</v>
      </c>
      <c r="Z814">
        <v>6</v>
      </c>
      <c r="AA814">
        <v>3</v>
      </c>
      <c r="AB814">
        <v>4</v>
      </c>
      <c r="AC814">
        <v>1</v>
      </c>
      <c r="AD814">
        <v>1</v>
      </c>
      <c r="AE814">
        <v>0</v>
      </c>
      <c r="AF814">
        <v>0</v>
      </c>
      <c r="AK814">
        <v>1</v>
      </c>
      <c r="AL814">
        <v>0</v>
      </c>
      <c r="AM814">
        <v>0</v>
      </c>
      <c r="AN814">
        <v>0</v>
      </c>
      <c r="AT814">
        <v>1</v>
      </c>
      <c r="BC814">
        <v>0</v>
      </c>
      <c r="BD814">
        <v>6</v>
      </c>
      <c r="BE814">
        <v>296</v>
      </c>
      <c r="BF814">
        <v>304</v>
      </c>
      <c r="BG814">
        <v>501</v>
      </c>
      <c r="BJ814">
        <v>1</v>
      </c>
      <c r="BL814" t="s">
        <v>1754</v>
      </c>
      <c r="BM814" s="4">
        <v>43282.899629629632</v>
      </c>
      <c r="BN814" s="4">
        <v>43282.905925925923</v>
      </c>
      <c r="BO814" s="4">
        <v>43282.905925925923</v>
      </c>
      <c r="BP814" t="s">
        <v>339</v>
      </c>
      <c r="BQ814" t="s">
        <v>340</v>
      </c>
      <c r="BR814" t="s">
        <v>94</v>
      </c>
    </row>
    <row r="815" spans="1:70" x14ac:dyDescent="0.3">
      <c r="A815" t="str">
        <f>"200471E0200"</f>
        <v>200471E0200</v>
      </c>
      <c r="B815" s="2" t="s">
        <v>1755</v>
      </c>
      <c r="C815">
        <v>20</v>
      </c>
      <c r="D815" t="s">
        <v>88</v>
      </c>
      <c r="E815">
        <v>66</v>
      </c>
      <c r="F815" t="s">
        <v>1713</v>
      </c>
      <c r="G815">
        <v>471</v>
      </c>
      <c r="H815">
        <v>2</v>
      </c>
      <c r="I815" t="s">
        <v>156</v>
      </c>
      <c r="J815">
        <v>0</v>
      </c>
      <c r="K815">
        <v>1</v>
      </c>
      <c r="L815">
        <v>5</v>
      </c>
      <c r="M815">
        <v>274</v>
      </c>
      <c r="N815">
        <v>422</v>
      </c>
      <c r="O815">
        <v>4</v>
      </c>
      <c r="P815">
        <v>422</v>
      </c>
      <c r="Q815">
        <v>77</v>
      </c>
      <c r="R815">
        <v>33</v>
      </c>
      <c r="S815">
        <v>28</v>
      </c>
      <c r="T815">
        <v>9</v>
      </c>
      <c r="U815">
        <v>13</v>
      </c>
      <c r="V815">
        <v>11</v>
      </c>
      <c r="W815">
        <v>7</v>
      </c>
      <c r="X815">
        <v>5</v>
      </c>
      <c r="Y815">
        <v>198</v>
      </c>
      <c r="Z815">
        <v>6</v>
      </c>
      <c r="AA815">
        <v>2</v>
      </c>
      <c r="AB815">
        <v>7</v>
      </c>
      <c r="AC815">
        <v>1</v>
      </c>
      <c r="AD815">
        <v>2</v>
      </c>
      <c r="AE815">
        <v>1</v>
      </c>
      <c r="AF815">
        <v>0</v>
      </c>
      <c r="AK815">
        <v>5</v>
      </c>
      <c r="AL815">
        <v>6</v>
      </c>
      <c r="AM815">
        <v>0</v>
      </c>
      <c r="AN815">
        <v>1</v>
      </c>
      <c r="AT815">
        <v>0</v>
      </c>
      <c r="BC815">
        <v>0</v>
      </c>
      <c r="BD815">
        <v>10</v>
      </c>
      <c r="BE815">
        <v>422</v>
      </c>
      <c r="BF815">
        <v>422</v>
      </c>
      <c r="BG815">
        <v>704</v>
      </c>
      <c r="BJ815">
        <v>1</v>
      </c>
      <c r="BL815" t="s">
        <v>1756</v>
      </c>
      <c r="BM815" s="4">
        <v>43283.055405092593</v>
      </c>
      <c r="BN815" s="4">
        <v>43283.059247685182</v>
      </c>
      <c r="BO815" s="4">
        <v>43283.059247685182</v>
      </c>
      <c r="BP815" t="s">
        <v>339</v>
      </c>
      <c r="BQ815" t="s">
        <v>340</v>
      </c>
      <c r="BR815" t="s">
        <v>94</v>
      </c>
    </row>
    <row r="816" spans="1:70" x14ac:dyDescent="0.3">
      <c r="A816" t="str">
        <f>"200471E0201"</f>
        <v>200471E0201</v>
      </c>
      <c r="B816" s="2" t="s">
        <v>1757</v>
      </c>
      <c r="C816">
        <v>20</v>
      </c>
      <c r="D816" t="s">
        <v>88</v>
      </c>
      <c r="E816">
        <v>66</v>
      </c>
      <c r="F816" t="s">
        <v>1713</v>
      </c>
      <c r="G816">
        <v>471</v>
      </c>
      <c r="H816">
        <v>2</v>
      </c>
      <c r="I816" t="s">
        <v>156</v>
      </c>
      <c r="J816">
        <v>1</v>
      </c>
      <c r="K816">
        <v>1</v>
      </c>
      <c r="L816">
        <v>5</v>
      </c>
      <c r="M816">
        <v>295</v>
      </c>
      <c r="N816">
        <v>417</v>
      </c>
      <c r="O816">
        <v>6</v>
      </c>
      <c r="P816">
        <v>421</v>
      </c>
      <c r="Q816">
        <v>84</v>
      </c>
      <c r="R816">
        <v>27</v>
      </c>
      <c r="S816">
        <v>15</v>
      </c>
      <c r="T816">
        <v>6</v>
      </c>
      <c r="U816">
        <v>19</v>
      </c>
      <c r="V816">
        <v>11</v>
      </c>
      <c r="W816">
        <v>6</v>
      </c>
      <c r="X816">
        <v>2</v>
      </c>
      <c r="Y816">
        <v>197</v>
      </c>
      <c r="Z816">
        <v>11</v>
      </c>
      <c r="AA816">
        <v>2</v>
      </c>
      <c r="AB816">
        <v>8</v>
      </c>
      <c r="AC816">
        <v>4</v>
      </c>
      <c r="AD816">
        <v>2</v>
      </c>
      <c r="AE816">
        <v>0</v>
      </c>
      <c r="AF816">
        <v>0</v>
      </c>
      <c r="AK816">
        <v>8</v>
      </c>
      <c r="AL816">
        <v>3</v>
      </c>
      <c r="AM816">
        <v>0</v>
      </c>
      <c r="AN816">
        <v>1</v>
      </c>
      <c r="AT816">
        <v>1</v>
      </c>
      <c r="BC816">
        <v>0</v>
      </c>
      <c r="BD816">
        <v>14</v>
      </c>
      <c r="BE816">
        <v>421</v>
      </c>
      <c r="BF816">
        <v>421</v>
      </c>
      <c r="BG816">
        <v>704</v>
      </c>
      <c r="BJ816">
        <v>1</v>
      </c>
      <c r="BL816" t="s">
        <v>1758</v>
      </c>
      <c r="BM816" s="4">
        <v>43283.05777777778</v>
      </c>
      <c r="BN816" s="4">
        <v>43283.0621875</v>
      </c>
      <c r="BO816" s="4">
        <v>43283.0621875</v>
      </c>
      <c r="BP816" t="s">
        <v>339</v>
      </c>
      <c r="BQ816" t="s">
        <v>340</v>
      </c>
      <c r="BR816" t="s">
        <v>94</v>
      </c>
    </row>
    <row r="817" spans="1:70" x14ac:dyDescent="0.3">
      <c r="A817" t="str">
        <f>"200471E0202"</f>
        <v>200471E0202</v>
      </c>
      <c r="B817" s="2" t="s">
        <v>1759</v>
      </c>
      <c r="C817">
        <v>20</v>
      </c>
      <c r="D817" t="s">
        <v>88</v>
      </c>
      <c r="E817">
        <v>66</v>
      </c>
      <c r="F817" t="s">
        <v>1713</v>
      </c>
      <c r="G817">
        <v>471</v>
      </c>
      <c r="H817">
        <v>2</v>
      </c>
      <c r="I817" t="s">
        <v>156</v>
      </c>
      <c r="J817">
        <v>2</v>
      </c>
      <c r="K817">
        <v>1</v>
      </c>
      <c r="L817">
        <v>5</v>
      </c>
      <c r="M817">
        <v>313</v>
      </c>
      <c r="N817">
        <v>423</v>
      </c>
      <c r="O817">
        <v>7</v>
      </c>
      <c r="P817">
        <v>413</v>
      </c>
      <c r="Q817">
        <v>83</v>
      </c>
      <c r="R817">
        <v>46</v>
      </c>
      <c r="S817">
        <v>18</v>
      </c>
      <c r="T817">
        <v>6</v>
      </c>
      <c r="U817">
        <v>12</v>
      </c>
      <c r="V817">
        <v>13</v>
      </c>
      <c r="W817">
        <v>7</v>
      </c>
      <c r="X817">
        <v>3</v>
      </c>
      <c r="Y817">
        <v>179</v>
      </c>
      <c r="Z817">
        <v>12</v>
      </c>
      <c r="AA817">
        <v>4</v>
      </c>
      <c r="AB817">
        <v>6</v>
      </c>
      <c r="AC817">
        <v>2</v>
      </c>
      <c r="AD817">
        <v>1</v>
      </c>
      <c r="AE817">
        <v>1</v>
      </c>
      <c r="AF817">
        <v>0</v>
      </c>
      <c r="AK817">
        <v>0</v>
      </c>
      <c r="AL817">
        <v>0</v>
      </c>
      <c r="AM817">
        <v>0</v>
      </c>
      <c r="AN817">
        <v>0</v>
      </c>
      <c r="AT817">
        <v>0</v>
      </c>
      <c r="BC817">
        <v>0</v>
      </c>
      <c r="BD817">
        <v>15</v>
      </c>
      <c r="BE817">
        <v>413</v>
      </c>
      <c r="BF817">
        <v>408</v>
      </c>
      <c r="BG817">
        <v>704</v>
      </c>
      <c r="BJ817">
        <v>1</v>
      </c>
      <c r="BL817" t="s">
        <v>1760</v>
      </c>
      <c r="BM817" s="4">
        <v>43283.059629629628</v>
      </c>
      <c r="BN817" s="4">
        <v>43283.068912037037</v>
      </c>
      <c r="BO817" s="4">
        <v>43283.068912037037</v>
      </c>
      <c r="BP817" t="s">
        <v>339</v>
      </c>
      <c r="BQ817" t="s">
        <v>340</v>
      </c>
      <c r="BR817" t="s">
        <v>94</v>
      </c>
    </row>
    <row r="818" spans="1:70" x14ac:dyDescent="0.3">
      <c r="A818" t="str">
        <f>"200472B0100"</f>
        <v>200472B0100</v>
      </c>
      <c r="B818" t="s">
        <v>1761</v>
      </c>
      <c r="C818">
        <v>20</v>
      </c>
      <c r="D818" t="s">
        <v>88</v>
      </c>
      <c r="E818">
        <v>66</v>
      </c>
      <c r="F818" t="s">
        <v>1713</v>
      </c>
      <c r="G818">
        <v>472</v>
      </c>
      <c r="H818">
        <v>1</v>
      </c>
      <c r="I818" t="s">
        <v>90</v>
      </c>
      <c r="J818">
        <v>0</v>
      </c>
      <c r="K818">
        <v>1</v>
      </c>
      <c r="L818">
        <v>5</v>
      </c>
      <c r="M818">
        <v>279</v>
      </c>
      <c r="N818">
        <v>458</v>
      </c>
      <c r="O818">
        <v>3</v>
      </c>
      <c r="P818">
        <v>459</v>
      </c>
      <c r="Q818">
        <v>121</v>
      </c>
      <c r="R818">
        <v>65</v>
      </c>
      <c r="S818">
        <v>14</v>
      </c>
      <c r="T818">
        <v>7</v>
      </c>
      <c r="U818">
        <v>7</v>
      </c>
      <c r="V818">
        <v>6</v>
      </c>
      <c r="W818">
        <v>21</v>
      </c>
      <c r="X818">
        <v>4</v>
      </c>
      <c r="Y818">
        <v>173</v>
      </c>
      <c r="Z818">
        <v>3</v>
      </c>
      <c r="AA818">
        <v>8</v>
      </c>
      <c r="AB818">
        <v>10</v>
      </c>
      <c r="AC818">
        <v>1</v>
      </c>
      <c r="AD818">
        <v>3</v>
      </c>
      <c r="AE818">
        <v>1</v>
      </c>
      <c r="AF818">
        <v>1</v>
      </c>
      <c r="AK818">
        <v>4</v>
      </c>
      <c r="AL818">
        <v>1</v>
      </c>
      <c r="AM818">
        <v>0</v>
      </c>
      <c r="AN818">
        <v>0</v>
      </c>
      <c r="AT818">
        <v>2</v>
      </c>
      <c r="BC818">
        <v>0</v>
      </c>
      <c r="BD818">
        <v>7</v>
      </c>
      <c r="BE818">
        <v>459</v>
      </c>
      <c r="BF818">
        <v>459</v>
      </c>
      <c r="BG818">
        <v>716</v>
      </c>
      <c r="BJ818">
        <v>1</v>
      </c>
      <c r="BL818" t="s">
        <v>1762</v>
      </c>
      <c r="BM818" s="4">
        <v>43282.943425925929</v>
      </c>
      <c r="BN818" s="4">
        <v>43282.949571759258</v>
      </c>
      <c r="BO818" s="4">
        <v>43282.949571759258</v>
      </c>
      <c r="BP818" t="s">
        <v>339</v>
      </c>
      <c r="BQ818" t="s">
        <v>340</v>
      </c>
      <c r="BR818" t="s">
        <v>94</v>
      </c>
    </row>
    <row r="819" spans="1:70" x14ac:dyDescent="0.3">
      <c r="A819" t="str">
        <f>"200472C0100"</f>
        <v>200472C0100</v>
      </c>
      <c r="B819" t="s">
        <v>1763</v>
      </c>
      <c r="C819">
        <v>20</v>
      </c>
      <c r="D819" t="s">
        <v>88</v>
      </c>
      <c r="E819">
        <v>66</v>
      </c>
      <c r="F819" t="s">
        <v>1713</v>
      </c>
      <c r="G819">
        <v>472</v>
      </c>
      <c r="H819">
        <v>1</v>
      </c>
      <c r="I819" t="s">
        <v>98</v>
      </c>
      <c r="J819">
        <v>0</v>
      </c>
      <c r="K819">
        <v>1</v>
      </c>
      <c r="L819">
        <v>5</v>
      </c>
      <c r="M819">
        <v>289</v>
      </c>
      <c r="N819">
        <v>450</v>
      </c>
      <c r="O819">
        <v>3</v>
      </c>
      <c r="P819">
        <v>449</v>
      </c>
      <c r="Q819">
        <v>104</v>
      </c>
      <c r="R819">
        <v>46</v>
      </c>
      <c r="S819">
        <v>18</v>
      </c>
      <c r="T819">
        <v>4</v>
      </c>
      <c r="U819">
        <v>24</v>
      </c>
      <c r="V819">
        <v>11</v>
      </c>
      <c r="W819">
        <v>18</v>
      </c>
      <c r="X819">
        <v>5</v>
      </c>
      <c r="Y819">
        <v>186</v>
      </c>
      <c r="Z819">
        <v>3</v>
      </c>
      <c r="AA819">
        <v>8</v>
      </c>
      <c r="AB819">
        <v>10</v>
      </c>
      <c r="AC819">
        <v>0</v>
      </c>
      <c r="AD819">
        <v>0</v>
      </c>
      <c r="AE819">
        <v>0</v>
      </c>
      <c r="AF819">
        <v>0</v>
      </c>
      <c r="AK819">
        <v>4</v>
      </c>
      <c r="AL819">
        <v>0</v>
      </c>
      <c r="AM819">
        <v>0</v>
      </c>
      <c r="AN819">
        <v>1</v>
      </c>
      <c r="AT819">
        <v>1</v>
      </c>
      <c r="BC819">
        <v>0</v>
      </c>
      <c r="BD819">
        <v>6</v>
      </c>
      <c r="BE819">
        <v>449</v>
      </c>
      <c r="BF819">
        <v>449</v>
      </c>
      <c r="BG819">
        <v>716</v>
      </c>
      <c r="BJ819">
        <v>1</v>
      </c>
      <c r="BL819" t="s">
        <v>1764</v>
      </c>
      <c r="BM819" s="4">
        <v>43282.937511574077</v>
      </c>
      <c r="BN819" s="4">
        <v>43282.940520833334</v>
      </c>
      <c r="BO819" s="4">
        <v>43282.940520833334</v>
      </c>
      <c r="BP819" t="s">
        <v>339</v>
      </c>
      <c r="BQ819" t="s">
        <v>340</v>
      </c>
      <c r="BR819" t="s">
        <v>94</v>
      </c>
    </row>
    <row r="820" spans="1:70" x14ac:dyDescent="0.3">
      <c r="A820" t="str">
        <f>"200472C0200"</f>
        <v>200472C0200</v>
      </c>
      <c r="B820" t="s">
        <v>1765</v>
      </c>
      <c r="C820">
        <v>20</v>
      </c>
      <c r="D820" t="s">
        <v>88</v>
      </c>
      <c r="E820">
        <v>66</v>
      </c>
      <c r="F820" t="s">
        <v>1713</v>
      </c>
      <c r="G820">
        <v>472</v>
      </c>
      <c r="H820">
        <v>2</v>
      </c>
      <c r="I820" t="s">
        <v>98</v>
      </c>
      <c r="J820">
        <v>0</v>
      </c>
      <c r="K820">
        <v>1</v>
      </c>
      <c r="L820">
        <v>5</v>
      </c>
      <c r="M820">
        <v>246</v>
      </c>
      <c r="N820">
        <v>493</v>
      </c>
      <c r="O820">
        <v>2</v>
      </c>
      <c r="P820">
        <v>491</v>
      </c>
      <c r="Q820">
        <v>103</v>
      </c>
      <c r="R820">
        <v>75</v>
      </c>
      <c r="S820">
        <v>15</v>
      </c>
      <c r="T820">
        <v>8</v>
      </c>
      <c r="U820">
        <v>14</v>
      </c>
      <c r="V820">
        <v>9</v>
      </c>
      <c r="W820">
        <v>12</v>
      </c>
      <c r="X820">
        <v>11</v>
      </c>
      <c r="Y820">
        <v>210</v>
      </c>
      <c r="Z820">
        <v>2</v>
      </c>
      <c r="AA820">
        <v>3</v>
      </c>
      <c r="AB820">
        <v>11</v>
      </c>
      <c r="AC820">
        <v>1</v>
      </c>
      <c r="AD820">
        <v>2</v>
      </c>
      <c r="AE820">
        <v>0</v>
      </c>
      <c r="AF820">
        <v>0</v>
      </c>
      <c r="AK820">
        <v>2</v>
      </c>
      <c r="AL820">
        <v>1</v>
      </c>
      <c r="AM820">
        <v>0</v>
      </c>
      <c r="AN820">
        <v>0</v>
      </c>
      <c r="AT820">
        <v>1</v>
      </c>
      <c r="BC820">
        <v>0</v>
      </c>
      <c r="BD820">
        <v>1</v>
      </c>
      <c r="BE820" t="s">
        <v>105</v>
      </c>
      <c r="BF820">
        <v>481</v>
      </c>
      <c r="BG820">
        <v>716</v>
      </c>
      <c r="BJ820">
        <v>1</v>
      </c>
      <c r="BL820" t="s">
        <v>1766</v>
      </c>
      <c r="BM820" s="4">
        <v>43282.971851851849</v>
      </c>
      <c r="BN820" s="4">
        <v>43282.974374999998</v>
      </c>
      <c r="BO820" s="4">
        <v>43282.974374999998</v>
      </c>
      <c r="BP820" t="s">
        <v>339</v>
      </c>
      <c r="BQ820" t="s">
        <v>340</v>
      </c>
      <c r="BR820" t="s">
        <v>94</v>
      </c>
    </row>
    <row r="821" spans="1:70" x14ac:dyDescent="0.3">
      <c r="A821" t="str">
        <f>"200472C0300"</f>
        <v>200472C0300</v>
      </c>
      <c r="B821" t="s">
        <v>1767</v>
      </c>
      <c r="C821">
        <v>20</v>
      </c>
      <c r="D821" t="s">
        <v>88</v>
      </c>
      <c r="E821">
        <v>66</v>
      </c>
      <c r="F821" t="s">
        <v>1713</v>
      </c>
      <c r="G821">
        <v>472</v>
      </c>
      <c r="H821">
        <v>3</v>
      </c>
      <c r="I821" t="s">
        <v>98</v>
      </c>
      <c r="J821">
        <v>0</v>
      </c>
      <c r="K821">
        <v>1</v>
      </c>
      <c r="L821">
        <v>5</v>
      </c>
      <c r="M821">
        <v>245</v>
      </c>
      <c r="N821">
        <v>493</v>
      </c>
      <c r="O821">
        <v>6</v>
      </c>
      <c r="P821">
        <v>493</v>
      </c>
      <c r="Q821">
        <v>82</v>
      </c>
      <c r="R821">
        <v>71</v>
      </c>
      <c r="S821">
        <v>17</v>
      </c>
      <c r="T821">
        <v>17</v>
      </c>
      <c r="U821">
        <v>14</v>
      </c>
      <c r="V821">
        <v>10</v>
      </c>
      <c r="W821">
        <v>20</v>
      </c>
      <c r="X821">
        <v>4</v>
      </c>
      <c r="Y821">
        <v>225</v>
      </c>
      <c r="Z821">
        <v>3</v>
      </c>
      <c r="AA821">
        <v>3</v>
      </c>
      <c r="AB821">
        <v>2</v>
      </c>
      <c r="AC821">
        <v>2</v>
      </c>
      <c r="AD821">
        <v>0</v>
      </c>
      <c r="AE821">
        <v>0</v>
      </c>
      <c r="AF821">
        <v>0</v>
      </c>
      <c r="AK821">
        <v>7</v>
      </c>
      <c r="AL821">
        <v>0</v>
      </c>
      <c r="AM821">
        <v>0</v>
      </c>
      <c r="AN821">
        <v>2</v>
      </c>
      <c r="AT821">
        <v>1</v>
      </c>
      <c r="BC821">
        <v>0</v>
      </c>
      <c r="BD821">
        <v>12</v>
      </c>
      <c r="BE821">
        <v>492</v>
      </c>
      <c r="BF821">
        <v>492</v>
      </c>
      <c r="BG821">
        <v>716</v>
      </c>
      <c r="BJ821">
        <v>1</v>
      </c>
      <c r="BL821" t="s">
        <v>1768</v>
      </c>
      <c r="BM821" s="4">
        <v>43282.960046296299</v>
      </c>
      <c r="BN821" s="4">
        <v>43282.964189814818</v>
      </c>
      <c r="BO821" s="4">
        <v>43282.964189814818</v>
      </c>
      <c r="BP821" t="s">
        <v>339</v>
      </c>
      <c r="BQ821" t="s">
        <v>340</v>
      </c>
      <c r="BR821" t="s">
        <v>94</v>
      </c>
    </row>
    <row r="822" spans="1:70" x14ac:dyDescent="0.3">
      <c r="A822" t="str">
        <f>"200473B0100"</f>
        <v>200473B0100</v>
      </c>
      <c r="B822" t="s">
        <v>1769</v>
      </c>
      <c r="C822">
        <v>20</v>
      </c>
      <c r="D822" t="s">
        <v>88</v>
      </c>
      <c r="E822">
        <v>66</v>
      </c>
      <c r="F822" t="s">
        <v>1713</v>
      </c>
      <c r="G822">
        <v>473</v>
      </c>
      <c r="H822">
        <v>1</v>
      </c>
      <c r="I822" t="s">
        <v>90</v>
      </c>
      <c r="J822">
        <v>0</v>
      </c>
      <c r="K822">
        <v>1</v>
      </c>
      <c r="L822">
        <v>5</v>
      </c>
      <c r="M822">
        <v>191</v>
      </c>
      <c r="N822">
        <v>401</v>
      </c>
      <c r="O822">
        <v>8</v>
      </c>
      <c r="P822">
        <v>406</v>
      </c>
      <c r="Q822">
        <v>61</v>
      </c>
      <c r="R822">
        <v>50</v>
      </c>
      <c r="S822">
        <v>11</v>
      </c>
      <c r="T822">
        <v>3</v>
      </c>
      <c r="U822">
        <v>17</v>
      </c>
      <c r="V822">
        <v>9</v>
      </c>
      <c r="W822">
        <v>6</v>
      </c>
      <c r="X822">
        <v>2</v>
      </c>
      <c r="Y822">
        <v>207</v>
      </c>
      <c r="Z822">
        <v>6</v>
      </c>
      <c r="AA822">
        <v>4</v>
      </c>
      <c r="AB822">
        <v>5</v>
      </c>
      <c r="AC822">
        <v>1</v>
      </c>
      <c r="AD822">
        <v>0</v>
      </c>
      <c r="AE822">
        <v>0</v>
      </c>
      <c r="AF822">
        <v>0</v>
      </c>
      <c r="AK822">
        <v>4</v>
      </c>
      <c r="AL822">
        <v>2</v>
      </c>
      <c r="AM822">
        <v>1</v>
      </c>
      <c r="AN822">
        <v>0</v>
      </c>
      <c r="AT822">
        <v>1</v>
      </c>
      <c r="BC822">
        <v>0</v>
      </c>
      <c r="BD822">
        <v>16</v>
      </c>
      <c r="BE822">
        <v>406</v>
      </c>
      <c r="BF822">
        <v>406</v>
      </c>
      <c r="BG822">
        <v>570</v>
      </c>
      <c r="BJ822">
        <v>1</v>
      </c>
      <c r="BL822" t="s">
        <v>1770</v>
      </c>
      <c r="BM822" s="4">
        <v>43283.038888888892</v>
      </c>
      <c r="BN822" s="4">
        <v>43283.044756944444</v>
      </c>
      <c r="BO822" s="4">
        <v>43283.044756944444</v>
      </c>
      <c r="BP822" t="s">
        <v>92</v>
      </c>
      <c r="BQ822" t="s">
        <v>93</v>
      </c>
      <c r="BR822" t="s">
        <v>94</v>
      </c>
    </row>
    <row r="823" spans="1:70" x14ac:dyDescent="0.3">
      <c r="A823" t="str">
        <f>"200473C0100"</f>
        <v>200473C0100</v>
      </c>
      <c r="B823" t="s">
        <v>1771</v>
      </c>
      <c r="C823">
        <v>20</v>
      </c>
      <c r="D823" t="s">
        <v>88</v>
      </c>
      <c r="E823">
        <v>66</v>
      </c>
      <c r="F823" t="s">
        <v>1713</v>
      </c>
      <c r="G823">
        <v>473</v>
      </c>
      <c r="H823">
        <v>1</v>
      </c>
      <c r="I823" t="s">
        <v>98</v>
      </c>
      <c r="J823">
        <v>0</v>
      </c>
      <c r="K823">
        <v>1</v>
      </c>
      <c r="L823">
        <v>5</v>
      </c>
      <c r="M823">
        <v>219</v>
      </c>
      <c r="N823">
        <v>370</v>
      </c>
      <c r="O823">
        <v>9</v>
      </c>
      <c r="P823">
        <v>4</v>
      </c>
      <c r="Q823">
        <v>61</v>
      </c>
      <c r="R823">
        <v>37</v>
      </c>
      <c r="S823">
        <v>25</v>
      </c>
      <c r="T823">
        <v>1</v>
      </c>
      <c r="U823">
        <v>14</v>
      </c>
      <c r="V823">
        <v>3</v>
      </c>
      <c r="W823">
        <v>9</v>
      </c>
      <c r="X823">
        <v>6</v>
      </c>
      <c r="Y823">
        <v>168</v>
      </c>
      <c r="Z823">
        <v>7</v>
      </c>
      <c r="AA823">
        <v>2</v>
      </c>
      <c r="AB823">
        <v>5</v>
      </c>
      <c r="AC823">
        <v>2</v>
      </c>
      <c r="AD823" t="s">
        <v>105</v>
      </c>
      <c r="AE823">
        <v>1</v>
      </c>
      <c r="AF823" t="s">
        <v>105</v>
      </c>
      <c r="AK823">
        <v>6</v>
      </c>
      <c r="AL823">
        <v>1</v>
      </c>
      <c r="AM823" t="s">
        <v>105</v>
      </c>
      <c r="AN823">
        <v>1</v>
      </c>
      <c r="AT823">
        <v>1</v>
      </c>
      <c r="BC823" t="s">
        <v>105</v>
      </c>
      <c r="BD823">
        <v>14</v>
      </c>
      <c r="BE823">
        <v>367</v>
      </c>
      <c r="BF823">
        <v>364</v>
      </c>
      <c r="BG823">
        <v>570</v>
      </c>
      <c r="BI823" t="s">
        <v>106</v>
      </c>
      <c r="BJ823">
        <v>1</v>
      </c>
      <c r="BL823" t="s">
        <v>1772</v>
      </c>
      <c r="BM823" s="4">
        <v>43283.040972222225</v>
      </c>
      <c r="BN823" s="4">
        <v>43283.049791666665</v>
      </c>
      <c r="BO823" s="4">
        <v>43283.049791666665</v>
      </c>
      <c r="BP823" t="s">
        <v>92</v>
      </c>
      <c r="BQ823" t="s">
        <v>93</v>
      </c>
      <c r="BR823" t="s">
        <v>94</v>
      </c>
    </row>
    <row r="824" spans="1:70" x14ac:dyDescent="0.3">
      <c r="A824" t="str">
        <f>"200473C0200"</f>
        <v>200473C0200</v>
      </c>
      <c r="B824" t="s">
        <v>1773</v>
      </c>
      <c r="C824">
        <v>20</v>
      </c>
      <c r="D824" t="s">
        <v>88</v>
      </c>
      <c r="E824">
        <v>66</v>
      </c>
      <c r="F824" t="s">
        <v>1713</v>
      </c>
      <c r="G824">
        <v>473</v>
      </c>
      <c r="H824">
        <v>2</v>
      </c>
      <c r="I824" t="s">
        <v>98</v>
      </c>
      <c r="J824">
        <v>0</v>
      </c>
      <c r="K824">
        <v>1</v>
      </c>
      <c r="L824">
        <v>5</v>
      </c>
      <c r="M824">
        <v>199</v>
      </c>
      <c r="N824">
        <v>392</v>
      </c>
      <c r="O824">
        <v>10</v>
      </c>
      <c r="P824">
        <v>381</v>
      </c>
      <c r="Q824">
        <v>57</v>
      </c>
      <c r="R824">
        <v>43</v>
      </c>
      <c r="S824">
        <v>16</v>
      </c>
      <c r="T824">
        <v>6</v>
      </c>
      <c r="U824">
        <v>16</v>
      </c>
      <c r="V824">
        <v>12</v>
      </c>
      <c r="W824">
        <v>11</v>
      </c>
      <c r="X824">
        <v>5</v>
      </c>
      <c r="Y824">
        <v>183</v>
      </c>
      <c r="Z824">
        <v>9</v>
      </c>
      <c r="AA824">
        <v>0</v>
      </c>
      <c r="AB824">
        <v>12</v>
      </c>
      <c r="AC824">
        <v>1</v>
      </c>
      <c r="AD824">
        <v>0</v>
      </c>
      <c r="AE824">
        <v>0</v>
      </c>
      <c r="AF824">
        <v>0</v>
      </c>
      <c r="AK824">
        <v>9</v>
      </c>
      <c r="AL824">
        <v>2</v>
      </c>
      <c r="AM824">
        <v>0</v>
      </c>
      <c r="AN824">
        <v>0</v>
      </c>
      <c r="AT824">
        <v>1</v>
      </c>
      <c r="BC824">
        <v>0</v>
      </c>
      <c r="BD824">
        <v>9</v>
      </c>
      <c r="BE824">
        <v>392</v>
      </c>
      <c r="BF824">
        <v>392</v>
      </c>
      <c r="BG824">
        <v>569</v>
      </c>
      <c r="BJ824">
        <v>1</v>
      </c>
      <c r="BL824" t="s">
        <v>1774</v>
      </c>
      <c r="BM824" s="4">
        <v>43283.038194444445</v>
      </c>
      <c r="BN824" s="4">
        <v>43283.047164351854</v>
      </c>
      <c r="BO824" s="4">
        <v>43283.047164351854</v>
      </c>
      <c r="BP824" t="s">
        <v>92</v>
      </c>
      <c r="BQ824" t="s">
        <v>93</v>
      </c>
      <c r="BR824" t="s">
        <v>94</v>
      </c>
    </row>
    <row r="825" spans="1:70" x14ac:dyDescent="0.3">
      <c r="A825" t="str">
        <f>"200474B0100"</f>
        <v>200474B0100</v>
      </c>
      <c r="B825" t="s">
        <v>1775</v>
      </c>
      <c r="C825">
        <v>20</v>
      </c>
      <c r="D825" t="s">
        <v>88</v>
      </c>
      <c r="E825">
        <v>66</v>
      </c>
      <c r="F825" t="s">
        <v>1713</v>
      </c>
      <c r="G825">
        <v>474</v>
      </c>
      <c r="H825">
        <v>1</v>
      </c>
      <c r="I825" t="s">
        <v>90</v>
      </c>
      <c r="J825">
        <v>0</v>
      </c>
      <c r="K825">
        <v>1</v>
      </c>
      <c r="L825">
        <v>5</v>
      </c>
      <c r="M825">
        <v>243</v>
      </c>
      <c r="N825">
        <v>369</v>
      </c>
      <c r="O825">
        <v>9</v>
      </c>
      <c r="P825">
        <v>369</v>
      </c>
      <c r="Q825">
        <v>63</v>
      </c>
      <c r="R825">
        <v>61</v>
      </c>
      <c r="S825">
        <v>2</v>
      </c>
      <c r="T825">
        <v>7</v>
      </c>
      <c r="U825">
        <v>18</v>
      </c>
      <c r="V825">
        <v>3</v>
      </c>
      <c r="W825">
        <v>6</v>
      </c>
      <c r="X825">
        <v>5</v>
      </c>
      <c r="Y825">
        <v>161</v>
      </c>
      <c r="Z825">
        <v>6</v>
      </c>
      <c r="AA825">
        <v>2</v>
      </c>
      <c r="AB825">
        <v>6</v>
      </c>
      <c r="AC825">
        <v>2</v>
      </c>
      <c r="AD825">
        <v>2</v>
      </c>
      <c r="AE825">
        <v>2</v>
      </c>
      <c r="AF825">
        <v>0</v>
      </c>
      <c r="AK825">
        <v>1</v>
      </c>
      <c r="AL825">
        <v>4</v>
      </c>
      <c r="AM825">
        <v>1</v>
      </c>
      <c r="AN825">
        <v>1</v>
      </c>
      <c r="AT825">
        <v>6</v>
      </c>
      <c r="BC825">
        <v>0</v>
      </c>
      <c r="BD825">
        <v>10</v>
      </c>
      <c r="BE825">
        <v>369</v>
      </c>
      <c r="BF825">
        <v>369</v>
      </c>
      <c r="BG825">
        <v>590</v>
      </c>
      <c r="BJ825">
        <v>1</v>
      </c>
      <c r="BL825" t="s">
        <v>1776</v>
      </c>
      <c r="BM825" s="4">
        <v>43283.037499999999</v>
      </c>
      <c r="BN825" s="4">
        <v>43283.042662037034</v>
      </c>
      <c r="BO825" s="4">
        <v>43283.042662037034</v>
      </c>
      <c r="BP825" t="s">
        <v>92</v>
      </c>
      <c r="BQ825" t="s">
        <v>93</v>
      </c>
      <c r="BR825" t="s">
        <v>94</v>
      </c>
    </row>
    <row r="826" spans="1:70" x14ac:dyDescent="0.3">
      <c r="A826" t="str">
        <f>"200474C0100"</f>
        <v>200474C0100</v>
      </c>
      <c r="B826" t="s">
        <v>1777</v>
      </c>
      <c r="C826">
        <v>20</v>
      </c>
      <c r="D826" t="s">
        <v>88</v>
      </c>
      <c r="E826">
        <v>66</v>
      </c>
      <c r="F826" t="s">
        <v>1713</v>
      </c>
      <c r="G826">
        <v>474</v>
      </c>
      <c r="H826">
        <v>1</v>
      </c>
      <c r="I826" t="s">
        <v>98</v>
      </c>
      <c r="J826">
        <v>0</v>
      </c>
      <c r="K826">
        <v>1</v>
      </c>
      <c r="L826">
        <v>5</v>
      </c>
      <c r="M826">
        <v>225</v>
      </c>
      <c r="N826">
        <v>385</v>
      </c>
      <c r="O826">
        <v>5</v>
      </c>
      <c r="P826">
        <v>385</v>
      </c>
      <c r="Q826">
        <v>80</v>
      </c>
      <c r="R826">
        <v>38</v>
      </c>
      <c r="S826">
        <v>18</v>
      </c>
      <c r="T826">
        <v>11</v>
      </c>
      <c r="U826">
        <v>15</v>
      </c>
      <c r="V826">
        <v>7</v>
      </c>
      <c r="W826">
        <v>4</v>
      </c>
      <c r="X826">
        <v>2</v>
      </c>
      <c r="Y826">
        <v>170</v>
      </c>
      <c r="Z826">
        <v>4</v>
      </c>
      <c r="AA826">
        <v>2</v>
      </c>
      <c r="AB826">
        <v>7</v>
      </c>
      <c r="AC826">
        <v>3</v>
      </c>
      <c r="AD826">
        <v>0</v>
      </c>
      <c r="AE826">
        <v>1</v>
      </c>
      <c r="AF826">
        <v>1</v>
      </c>
      <c r="AK826">
        <v>5</v>
      </c>
      <c r="AL826">
        <v>2</v>
      </c>
      <c r="AM826">
        <v>0</v>
      </c>
      <c r="AN826">
        <v>1</v>
      </c>
      <c r="AT826">
        <v>4</v>
      </c>
      <c r="BC826" t="s">
        <v>105</v>
      </c>
      <c r="BD826">
        <v>10</v>
      </c>
      <c r="BE826">
        <v>385</v>
      </c>
      <c r="BF826">
        <v>385</v>
      </c>
      <c r="BG826">
        <v>589</v>
      </c>
      <c r="BI826" t="s">
        <v>106</v>
      </c>
      <c r="BJ826">
        <v>1</v>
      </c>
      <c r="BL826" t="s">
        <v>1778</v>
      </c>
      <c r="BM826" s="4">
        <v>43283.039583333331</v>
      </c>
      <c r="BN826" s="4">
        <v>43283.043645833335</v>
      </c>
      <c r="BO826" s="4">
        <v>43283.043645833335</v>
      </c>
      <c r="BP826" t="s">
        <v>92</v>
      </c>
      <c r="BQ826" t="s">
        <v>93</v>
      </c>
      <c r="BR826" t="s">
        <v>94</v>
      </c>
    </row>
    <row r="827" spans="1:70" x14ac:dyDescent="0.3">
      <c r="A827" t="str">
        <f>"200474C0200"</f>
        <v>200474C0200</v>
      </c>
      <c r="B827" t="s">
        <v>1779</v>
      </c>
      <c r="C827">
        <v>20</v>
      </c>
      <c r="D827" t="s">
        <v>88</v>
      </c>
      <c r="E827">
        <v>66</v>
      </c>
      <c r="F827" t="s">
        <v>1713</v>
      </c>
      <c r="G827">
        <v>474</v>
      </c>
      <c r="H827">
        <v>2</v>
      </c>
      <c r="I827" t="s">
        <v>98</v>
      </c>
      <c r="J827">
        <v>0</v>
      </c>
      <c r="K827">
        <v>1</v>
      </c>
      <c r="L827">
        <v>5</v>
      </c>
      <c r="M827">
        <v>208</v>
      </c>
      <c r="N827">
        <v>401</v>
      </c>
      <c r="O827">
        <v>5</v>
      </c>
      <c r="P827">
        <v>401</v>
      </c>
      <c r="Q827">
        <v>75</v>
      </c>
      <c r="R827">
        <v>55</v>
      </c>
      <c r="S827">
        <v>10</v>
      </c>
      <c r="T827">
        <v>4</v>
      </c>
      <c r="U827">
        <v>18</v>
      </c>
      <c r="V827">
        <v>9</v>
      </c>
      <c r="W827">
        <v>4</v>
      </c>
      <c r="X827">
        <v>3</v>
      </c>
      <c r="Y827">
        <v>180</v>
      </c>
      <c r="Z827">
        <v>3</v>
      </c>
      <c r="AA827">
        <v>1</v>
      </c>
      <c r="AB827">
        <v>5</v>
      </c>
      <c r="AC827">
        <v>2</v>
      </c>
      <c r="AD827">
        <v>1</v>
      </c>
      <c r="AE827">
        <v>0</v>
      </c>
      <c r="AF827">
        <v>0</v>
      </c>
      <c r="AK827">
        <v>10</v>
      </c>
      <c r="AL827">
        <v>2</v>
      </c>
      <c r="AM827">
        <v>1</v>
      </c>
      <c r="AN827">
        <v>2</v>
      </c>
      <c r="AT827">
        <v>3</v>
      </c>
      <c r="BC827">
        <v>0</v>
      </c>
      <c r="BD827">
        <v>12</v>
      </c>
      <c r="BE827">
        <v>401</v>
      </c>
      <c r="BF827">
        <v>400</v>
      </c>
      <c r="BG827">
        <v>589</v>
      </c>
      <c r="BJ827">
        <v>1</v>
      </c>
      <c r="BL827" t="s">
        <v>1780</v>
      </c>
      <c r="BM827" s="4">
        <v>43283.037499999999</v>
      </c>
      <c r="BN827" s="4">
        <v>43283.041550925926</v>
      </c>
      <c r="BO827" s="4">
        <v>43283.041550925926</v>
      </c>
      <c r="BP827" t="s">
        <v>92</v>
      </c>
      <c r="BQ827" t="s">
        <v>93</v>
      </c>
      <c r="BR827" t="s">
        <v>94</v>
      </c>
    </row>
    <row r="828" spans="1:70" x14ac:dyDescent="0.3">
      <c r="A828" t="str">
        <f>"200475B0100"</f>
        <v>200475B0100</v>
      </c>
      <c r="B828" t="s">
        <v>1781</v>
      </c>
      <c r="C828">
        <v>20</v>
      </c>
      <c r="D828" t="s">
        <v>88</v>
      </c>
      <c r="E828">
        <v>66</v>
      </c>
      <c r="F828" t="s">
        <v>1713</v>
      </c>
      <c r="G828">
        <v>475</v>
      </c>
      <c r="H828">
        <v>1</v>
      </c>
      <c r="I828" t="s">
        <v>90</v>
      </c>
      <c r="J828">
        <v>0</v>
      </c>
      <c r="K828">
        <v>1</v>
      </c>
      <c r="L828">
        <v>5</v>
      </c>
      <c r="M828">
        <v>240</v>
      </c>
      <c r="N828">
        <v>388</v>
      </c>
      <c r="O828">
        <v>3</v>
      </c>
      <c r="P828">
        <v>388</v>
      </c>
      <c r="Q828">
        <v>77</v>
      </c>
      <c r="R828">
        <v>44</v>
      </c>
      <c r="S828">
        <v>15</v>
      </c>
      <c r="T828">
        <v>10</v>
      </c>
      <c r="U828">
        <v>12</v>
      </c>
      <c r="V828">
        <v>10</v>
      </c>
      <c r="W828">
        <v>2</v>
      </c>
      <c r="X828">
        <v>6</v>
      </c>
      <c r="Y828">
        <v>173</v>
      </c>
      <c r="Z828">
        <v>7</v>
      </c>
      <c r="AA828">
        <v>1</v>
      </c>
      <c r="AB828">
        <v>3</v>
      </c>
      <c r="AC828">
        <v>2</v>
      </c>
      <c r="AD828">
        <v>0</v>
      </c>
      <c r="AE828">
        <v>0</v>
      </c>
      <c r="AF828">
        <v>0</v>
      </c>
      <c r="AK828">
        <v>8</v>
      </c>
      <c r="AL828">
        <v>1</v>
      </c>
      <c r="AM828">
        <v>1</v>
      </c>
      <c r="AN828">
        <v>2</v>
      </c>
      <c r="AT828">
        <v>0</v>
      </c>
      <c r="BC828">
        <v>0</v>
      </c>
      <c r="BD828">
        <v>13</v>
      </c>
      <c r="BE828">
        <v>387</v>
      </c>
      <c r="BF828">
        <v>387</v>
      </c>
      <c r="BG828">
        <v>604</v>
      </c>
      <c r="BJ828">
        <v>1</v>
      </c>
      <c r="BL828" t="s">
        <v>1782</v>
      </c>
      <c r="BM828" s="4">
        <v>43283.157638888886</v>
      </c>
      <c r="BN828" s="4">
        <v>43283.178055555552</v>
      </c>
      <c r="BO828" s="4">
        <v>43283.178055555552</v>
      </c>
      <c r="BP828" t="s">
        <v>92</v>
      </c>
      <c r="BQ828" t="s">
        <v>93</v>
      </c>
      <c r="BR828" t="s">
        <v>94</v>
      </c>
    </row>
    <row r="829" spans="1:70" x14ac:dyDescent="0.3">
      <c r="A829" t="str">
        <f>"200475C0100"</f>
        <v>200475C0100</v>
      </c>
      <c r="B829" t="s">
        <v>1783</v>
      </c>
      <c r="C829">
        <v>20</v>
      </c>
      <c r="D829" t="s">
        <v>88</v>
      </c>
      <c r="E829">
        <v>66</v>
      </c>
      <c r="F829" t="s">
        <v>1713</v>
      </c>
      <c r="G829">
        <v>475</v>
      </c>
      <c r="H829">
        <v>1</v>
      </c>
      <c r="I829" t="s">
        <v>98</v>
      </c>
      <c r="J829">
        <v>0</v>
      </c>
      <c r="K829">
        <v>1</v>
      </c>
      <c r="L829">
        <v>5</v>
      </c>
      <c r="M829">
        <v>273</v>
      </c>
      <c r="N829">
        <v>350</v>
      </c>
      <c r="O829" t="s">
        <v>105</v>
      </c>
      <c r="P829">
        <v>350</v>
      </c>
      <c r="Q829">
        <v>60</v>
      </c>
      <c r="R829">
        <v>39</v>
      </c>
      <c r="S829">
        <v>9</v>
      </c>
      <c r="T829">
        <v>6</v>
      </c>
      <c r="U829">
        <v>9</v>
      </c>
      <c r="V829">
        <v>11</v>
      </c>
      <c r="W829">
        <v>8</v>
      </c>
      <c r="X829">
        <v>3</v>
      </c>
      <c r="Y829">
        <v>165</v>
      </c>
      <c r="Z829">
        <v>2</v>
      </c>
      <c r="AA829">
        <v>1</v>
      </c>
      <c r="AB829">
        <v>4</v>
      </c>
      <c r="AC829">
        <v>1</v>
      </c>
      <c r="AD829">
        <v>1</v>
      </c>
      <c r="AE829">
        <v>0</v>
      </c>
      <c r="AF829">
        <v>0</v>
      </c>
      <c r="AK829">
        <v>7</v>
      </c>
      <c r="AL829">
        <v>1</v>
      </c>
      <c r="AM829">
        <v>0</v>
      </c>
      <c r="AN829">
        <v>0</v>
      </c>
      <c r="AT829">
        <v>5</v>
      </c>
      <c r="BC829">
        <v>0</v>
      </c>
      <c r="BD829">
        <v>18</v>
      </c>
      <c r="BE829">
        <v>350</v>
      </c>
      <c r="BF829">
        <v>350</v>
      </c>
      <c r="BG829">
        <v>603</v>
      </c>
      <c r="BJ829">
        <v>1</v>
      </c>
      <c r="BL829" t="s">
        <v>1784</v>
      </c>
      <c r="BM829" s="4">
        <v>43283.156944444447</v>
      </c>
      <c r="BN829" s="4">
        <v>43283.175671296296</v>
      </c>
      <c r="BO829" s="4">
        <v>43283.175671296296</v>
      </c>
      <c r="BP829" t="s">
        <v>92</v>
      </c>
      <c r="BQ829" t="s">
        <v>93</v>
      </c>
      <c r="BR829" t="s">
        <v>94</v>
      </c>
    </row>
    <row r="830" spans="1:70" x14ac:dyDescent="0.3">
      <c r="A830" t="str">
        <f>"200475C0200"</f>
        <v>200475C0200</v>
      </c>
      <c r="B830" t="s">
        <v>1785</v>
      </c>
      <c r="C830">
        <v>20</v>
      </c>
      <c r="D830" t="s">
        <v>88</v>
      </c>
      <c r="E830">
        <v>66</v>
      </c>
      <c r="F830" t="s">
        <v>1713</v>
      </c>
      <c r="G830">
        <v>475</v>
      </c>
      <c r="H830">
        <v>2</v>
      </c>
      <c r="I830" t="s">
        <v>98</v>
      </c>
      <c r="J830">
        <v>0</v>
      </c>
      <c r="K830">
        <v>1</v>
      </c>
      <c r="L830">
        <v>5</v>
      </c>
      <c r="M830">
        <v>220</v>
      </c>
      <c r="N830">
        <v>406</v>
      </c>
      <c r="O830">
        <v>3</v>
      </c>
      <c r="P830">
        <v>405</v>
      </c>
      <c r="Q830">
        <v>81</v>
      </c>
      <c r="R830">
        <v>54</v>
      </c>
      <c r="S830">
        <v>9</v>
      </c>
      <c r="T830">
        <v>4</v>
      </c>
      <c r="U830">
        <v>8</v>
      </c>
      <c r="V830">
        <v>14</v>
      </c>
      <c r="W830">
        <v>5</v>
      </c>
      <c r="X830">
        <v>3</v>
      </c>
      <c r="Y830">
        <v>190</v>
      </c>
      <c r="Z830">
        <v>2</v>
      </c>
      <c r="AA830">
        <v>3</v>
      </c>
      <c r="AB830">
        <v>6</v>
      </c>
      <c r="AC830">
        <v>5</v>
      </c>
      <c r="AD830">
        <v>0</v>
      </c>
      <c r="AE830">
        <v>0</v>
      </c>
      <c r="AF830">
        <v>0</v>
      </c>
      <c r="AK830">
        <v>7</v>
      </c>
      <c r="AL830">
        <v>3</v>
      </c>
      <c r="AM830">
        <v>0</v>
      </c>
      <c r="AN830">
        <v>0</v>
      </c>
      <c r="AT830">
        <v>5</v>
      </c>
      <c r="BC830">
        <v>0</v>
      </c>
      <c r="BD830">
        <v>6</v>
      </c>
      <c r="BE830">
        <v>405</v>
      </c>
      <c r="BF830">
        <v>405</v>
      </c>
      <c r="BG830">
        <v>603</v>
      </c>
      <c r="BJ830">
        <v>1</v>
      </c>
      <c r="BL830" t="s">
        <v>1786</v>
      </c>
      <c r="BM830" s="4">
        <v>43283.161111111112</v>
      </c>
      <c r="BN830" s="4">
        <v>43283.176736111112</v>
      </c>
      <c r="BO830" s="4">
        <v>43283.176736111112</v>
      </c>
      <c r="BP830" t="s">
        <v>92</v>
      </c>
      <c r="BQ830" t="s">
        <v>93</v>
      </c>
      <c r="BR830" t="s">
        <v>94</v>
      </c>
    </row>
    <row r="831" spans="1:70" x14ac:dyDescent="0.3">
      <c r="A831" t="str">
        <f>"200476B0100"</f>
        <v>200476B0100</v>
      </c>
      <c r="B831" t="s">
        <v>1787</v>
      </c>
      <c r="C831">
        <v>20</v>
      </c>
      <c r="D831" t="s">
        <v>88</v>
      </c>
      <c r="E831">
        <v>66</v>
      </c>
      <c r="F831" t="s">
        <v>1713</v>
      </c>
      <c r="G831">
        <v>476</v>
      </c>
      <c r="H831">
        <v>1</v>
      </c>
      <c r="I831" t="s">
        <v>90</v>
      </c>
      <c r="J831">
        <v>0</v>
      </c>
      <c r="K831">
        <v>1</v>
      </c>
      <c r="L831">
        <v>5</v>
      </c>
      <c r="M831">
        <v>178</v>
      </c>
      <c r="N831">
        <v>399</v>
      </c>
      <c r="O831">
        <v>7</v>
      </c>
      <c r="P831">
        <v>399</v>
      </c>
      <c r="Q831">
        <v>74</v>
      </c>
      <c r="R831">
        <v>100</v>
      </c>
      <c r="S831">
        <v>15</v>
      </c>
      <c r="T831">
        <v>4</v>
      </c>
      <c r="U831">
        <v>8</v>
      </c>
      <c r="V831">
        <v>4</v>
      </c>
      <c r="W831">
        <v>31</v>
      </c>
      <c r="X831">
        <v>8</v>
      </c>
      <c r="Y831">
        <v>128</v>
      </c>
      <c r="Z831">
        <v>2</v>
      </c>
      <c r="AA831">
        <v>1</v>
      </c>
      <c r="AB831">
        <v>10</v>
      </c>
      <c r="AC831">
        <v>0</v>
      </c>
      <c r="AD831">
        <v>0</v>
      </c>
      <c r="AE831">
        <v>2</v>
      </c>
      <c r="AF831">
        <v>0</v>
      </c>
      <c r="AK831">
        <v>2</v>
      </c>
      <c r="AL831">
        <v>0</v>
      </c>
      <c r="AM831">
        <v>0</v>
      </c>
      <c r="AN831">
        <v>0</v>
      </c>
      <c r="AT831">
        <v>1</v>
      </c>
      <c r="BC831">
        <v>0</v>
      </c>
      <c r="BD831">
        <v>6</v>
      </c>
      <c r="BE831">
        <v>396</v>
      </c>
      <c r="BF831">
        <v>396</v>
      </c>
      <c r="BG831">
        <v>556</v>
      </c>
      <c r="BJ831">
        <v>1</v>
      </c>
      <c r="BL831" t="s">
        <v>1788</v>
      </c>
      <c r="BM831" s="4">
        <v>43283.103472222225</v>
      </c>
      <c r="BN831" s="4">
        <v>43283.108078703706</v>
      </c>
      <c r="BO831" s="4">
        <v>43283.108078703706</v>
      </c>
      <c r="BP831" t="s">
        <v>92</v>
      </c>
      <c r="BQ831" t="s">
        <v>93</v>
      </c>
      <c r="BR831" t="s">
        <v>94</v>
      </c>
    </row>
    <row r="832" spans="1:70" x14ac:dyDescent="0.3">
      <c r="A832" t="str">
        <f>"200476C0100"</f>
        <v>200476C0100</v>
      </c>
      <c r="B832" t="s">
        <v>1789</v>
      </c>
      <c r="C832">
        <v>20</v>
      </c>
      <c r="D832" t="s">
        <v>88</v>
      </c>
      <c r="E832">
        <v>66</v>
      </c>
      <c r="F832" t="s">
        <v>1713</v>
      </c>
      <c r="G832">
        <v>476</v>
      </c>
      <c r="H832">
        <v>1</v>
      </c>
      <c r="I832" t="s">
        <v>98</v>
      </c>
      <c r="J832">
        <v>0</v>
      </c>
      <c r="K832">
        <v>1</v>
      </c>
      <c r="L832">
        <v>5</v>
      </c>
      <c r="M832">
        <v>185</v>
      </c>
      <c r="N832">
        <v>393</v>
      </c>
      <c r="O832">
        <v>6</v>
      </c>
      <c r="P832">
        <v>394</v>
      </c>
      <c r="Q832">
        <v>91</v>
      </c>
      <c r="R832">
        <v>93</v>
      </c>
      <c r="S832">
        <v>15</v>
      </c>
      <c r="T832">
        <v>6</v>
      </c>
      <c r="U832">
        <v>10</v>
      </c>
      <c r="V832">
        <v>7</v>
      </c>
      <c r="W832">
        <v>29</v>
      </c>
      <c r="X832">
        <v>10</v>
      </c>
      <c r="Y832">
        <v>103</v>
      </c>
      <c r="Z832">
        <v>5</v>
      </c>
      <c r="AA832">
        <v>7</v>
      </c>
      <c r="AB832">
        <v>3</v>
      </c>
      <c r="AC832">
        <v>2</v>
      </c>
      <c r="AD832">
        <v>0</v>
      </c>
      <c r="AE832">
        <v>0</v>
      </c>
      <c r="AF832">
        <v>0</v>
      </c>
      <c r="AK832">
        <v>0</v>
      </c>
      <c r="AL832">
        <v>1</v>
      </c>
      <c r="AM832">
        <v>0</v>
      </c>
      <c r="AN832">
        <v>1</v>
      </c>
      <c r="AT832">
        <v>0</v>
      </c>
      <c r="BC832">
        <v>0</v>
      </c>
      <c r="BD832">
        <v>11</v>
      </c>
      <c r="BE832">
        <v>394</v>
      </c>
      <c r="BF832">
        <v>394</v>
      </c>
      <c r="BG832">
        <v>556</v>
      </c>
      <c r="BJ832">
        <v>1</v>
      </c>
      <c r="BL832" t="s">
        <v>1790</v>
      </c>
      <c r="BM832" s="4">
        <v>43283.101388888892</v>
      </c>
      <c r="BN832" s="4">
        <v>43283.104942129627</v>
      </c>
      <c r="BO832" s="4">
        <v>43283.104942129627</v>
      </c>
      <c r="BP832" t="s">
        <v>92</v>
      </c>
      <c r="BQ832" t="s">
        <v>93</v>
      </c>
      <c r="BR832" t="s">
        <v>94</v>
      </c>
    </row>
    <row r="833" spans="1:70" x14ac:dyDescent="0.3">
      <c r="A833" t="str">
        <f>"200476C0200"</f>
        <v>200476C0200</v>
      </c>
      <c r="B833" t="s">
        <v>1791</v>
      </c>
      <c r="C833">
        <v>20</v>
      </c>
      <c r="D833" t="s">
        <v>88</v>
      </c>
      <c r="E833">
        <v>66</v>
      </c>
      <c r="F833" t="s">
        <v>1713</v>
      </c>
      <c r="G833">
        <v>476</v>
      </c>
      <c r="H833">
        <v>2</v>
      </c>
      <c r="I833" t="s">
        <v>98</v>
      </c>
      <c r="J833">
        <v>0</v>
      </c>
      <c r="K833">
        <v>1</v>
      </c>
      <c r="L833">
        <v>5</v>
      </c>
      <c r="M833">
        <v>186</v>
      </c>
      <c r="N833">
        <v>391</v>
      </c>
      <c r="O833">
        <v>8</v>
      </c>
      <c r="P833">
        <v>393</v>
      </c>
      <c r="Q833">
        <v>82</v>
      </c>
      <c r="R833">
        <v>91</v>
      </c>
      <c r="S833">
        <v>15</v>
      </c>
      <c r="T833">
        <v>4</v>
      </c>
      <c r="U833">
        <v>13</v>
      </c>
      <c r="V833">
        <v>9</v>
      </c>
      <c r="W833">
        <v>18</v>
      </c>
      <c r="X833">
        <v>3</v>
      </c>
      <c r="Y833">
        <v>124</v>
      </c>
      <c r="Z833">
        <v>5</v>
      </c>
      <c r="AA833">
        <v>3</v>
      </c>
      <c r="AB833">
        <v>5</v>
      </c>
      <c r="AC833">
        <v>0</v>
      </c>
      <c r="AD833">
        <v>0</v>
      </c>
      <c r="AE833">
        <v>0</v>
      </c>
      <c r="AF833">
        <v>0</v>
      </c>
      <c r="AK833">
        <v>0</v>
      </c>
      <c r="AL833">
        <v>5</v>
      </c>
      <c r="AM833">
        <v>0</v>
      </c>
      <c r="AN833">
        <v>2</v>
      </c>
      <c r="AT833">
        <v>5</v>
      </c>
      <c r="BC833">
        <v>0</v>
      </c>
      <c r="BD833">
        <v>9</v>
      </c>
      <c r="BE833">
        <v>393</v>
      </c>
      <c r="BF833">
        <v>393</v>
      </c>
      <c r="BG833">
        <v>555</v>
      </c>
      <c r="BJ833">
        <v>1</v>
      </c>
      <c r="BL833" t="s">
        <v>1792</v>
      </c>
      <c r="BM833" s="4">
        <v>43283.094444444447</v>
      </c>
      <c r="BN833" s="4">
        <v>43283.099062499998</v>
      </c>
      <c r="BO833" s="4">
        <v>43283.099062499998</v>
      </c>
      <c r="BP833" t="s">
        <v>92</v>
      </c>
      <c r="BQ833" t="s">
        <v>93</v>
      </c>
      <c r="BR833" t="s">
        <v>94</v>
      </c>
    </row>
    <row r="834" spans="1:70" x14ac:dyDescent="0.3">
      <c r="A834" t="str">
        <f>"200477B0100"</f>
        <v>200477B0100</v>
      </c>
      <c r="B834" t="s">
        <v>1793</v>
      </c>
      <c r="C834">
        <v>20</v>
      </c>
      <c r="D834" t="s">
        <v>88</v>
      </c>
      <c r="E834">
        <v>66</v>
      </c>
      <c r="F834" t="s">
        <v>1713</v>
      </c>
      <c r="G834">
        <v>477</v>
      </c>
      <c r="H834">
        <v>1</v>
      </c>
      <c r="I834" t="s">
        <v>90</v>
      </c>
      <c r="J834">
        <v>0</v>
      </c>
      <c r="K834">
        <v>1</v>
      </c>
      <c r="L834">
        <v>5</v>
      </c>
      <c r="BG834">
        <v>679</v>
      </c>
      <c r="BI834" t="s">
        <v>122</v>
      </c>
      <c r="BJ834">
        <v>0</v>
      </c>
      <c r="BL834" t="s">
        <v>1794</v>
      </c>
      <c r="BM834" s="4">
        <v>43283.550694444442</v>
      </c>
      <c r="BN834" s="4">
        <v>43283.556087962963</v>
      </c>
      <c r="BO834" s="4">
        <v>43283.556087962963</v>
      </c>
      <c r="BP834" t="s">
        <v>92</v>
      </c>
      <c r="BQ834" t="s">
        <v>93</v>
      </c>
      <c r="BR834" t="s">
        <v>94</v>
      </c>
    </row>
    <row r="835" spans="1:70" x14ac:dyDescent="0.3">
      <c r="A835" t="str">
        <f>"200477C0100"</f>
        <v>200477C0100</v>
      </c>
      <c r="B835" t="s">
        <v>1795</v>
      </c>
      <c r="C835">
        <v>20</v>
      </c>
      <c r="D835" t="s">
        <v>88</v>
      </c>
      <c r="E835">
        <v>66</v>
      </c>
      <c r="F835" t="s">
        <v>1713</v>
      </c>
      <c r="G835">
        <v>477</v>
      </c>
      <c r="H835">
        <v>1</v>
      </c>
      <c r="I835" t="s">
        <v>98</v>
      </c>
      <c r="J835">
        <v>0</v>
      </c>
      <c r="K835">
        <v>1</v>
      </c>
      <c r="L835">
        <v>5</v>
      </c>
      <c r="M835">
        <v>284</v>
      </c>
      <c r="N835">
        <v>424</v>
      </c>
      <c r="O835">
        <v>14</v>
      </c>
      <c r="P835">
        <v>424</v>
      </c>
      <c r="Q835">
        <v>76</v>
      </c>
      <c r="R835">
        <v>85</v>
      </c>
      <c r="S835">
        <v>8</v>
      </c>
      <c r="T835">
        <v>8</v>
      </c>
      <c r="U835">
        <v>17</v>
      </c>
      <c r="V835">
        <v>11</v>
      </c>
      <c r="W835">
        <v>4</v>
      </c>
      <c r="X835">
        <v>9</v>
      </c>
      <c r="Y835">
        <v>144</v>
      </c>
      <c r="Z835">
        <v>6</v>
      </c>
      <c r="AA835">
        <v>1</v>
      </c>
      <c r="AB835">
        <v>5</v>
      </c>
      <c r="AC835">
        <v>5</v>
      </c>
      <c r="AD835">
        <v>1</v>
      </c>
      <c r="AE835">
        <v>0</v>
      </c>
      <c r="AF835">
        <v>0</v>
      </c>
      <c r="AK835">
        <v>2</v>
      </c>
      <c r="AL835">
        <v>3</v>
      </c>
      <c r="AM835">
        <v>0</v>
      </c>
      <c r="AN835">
        <v>0</v>
      </c>
      <c r="AT835">
        <v>5</v>
      </c>
      <c r="BC835">
        <v>0</v>
      </c>
      <c r="BD835">
        <v>18</v>
      </c>
      <c r="BE835" t="s">
        <v>105</v>
      </c>
      <c r="BF835">
        <v>408</v>
      </c>
      <c r="BG835">
        <v>679</v>
      </c>
      <c r="BJ835">
        <v>1</v>
      </c>
      <c r="BL835" t="s">
        <v>1796</v>
      </c>
      <c r="BM835" s="4">
        <v>43283.081250000003</v>
      </c>
      <c r="BN835" s="4">
        <v>43283.086516203701</v>
      </c>
      <c r="BO835" s="4">
        <v>43283.086516203701</v>
      </c>
      <c r="BP835" t="s">
        <v>92</v>
      </c>
      <c r="BQ835" t="s">
        <v>93</v>
      </c>
      <c r="BR835" t="s">
        <v>94</v>
      </c>
    </row>
    <row r="836" spans="1:70" x14ac:dyDescent="0.3">
      <c r="A836" t="str">
        <f>"200477C0200"</f>
        <v>200477C0200</v>
      </c>
      <c r="B836" t="s">
        <v>1797</v>
      </c>
      <c r="C836">
        <v>20</v>
      </c>
      <c r="D836" t="s">
        <v>88</v>
      </c>
      <c r="E836">
        <v>66</v>
      </c>
      <c r="F836" t="s">
        <v>1713</v>
      </c>
      <c r="G836">
        <v>477</v>
      </c>
      <c r="H836">
        <v>2</v>
      </c>
      <c r="I836" t="s">
        <v>98</v>
      </c>
      <c r="J836">
        <v>0</v>
      </c>
      <c r="K836">
        <v>1</v>
      </c>
      <c r="L836">
        <v>5</v>
      </c>
      <c r="M836">
        <v>252</v>
      </c>
      <c r="N836">
        <v>448</v>
      </c>
      <c r="O836">
        <v>7</v>
      </c>
      <c r="P836" t="s">
        <v>105</v>
      </c>
      <c r="Q836">
        <v>89</v>
      </c>
      <c r="R836">
        <v>54</v>
      </c>
      <c r="S836">
        <v>8</v>
      </c>
      <c r="T836">
        <v>7</v>
      </c>
      <c r="U836">
        <v>26</v>
      </c>
      <c r="V836">
        <v>13</v>
      </c>
      <c r="W836">
        <v>10</v>
      </c>
      <c r="X836">
        <v>5</v>
      </c>
      <c r="Y836">
        <v>175</v>
      </c>
      <c r="Z836">
        <v>10</v>
      </c>
      <c r="AA836">
        <v>4</v>
      </c>
      <c r="AB836">
        <v>9</v>
      </c>
      <c r="AC836">
        <v>2</v>
      </c>
      <c r="AD836">
        <v>0</v>
      </c>
      <c r="AE836">
        <v>0</v>
      </c>
      <c r="AF836">
        <v>0</v>
      </c>
      <c r="AK836">
        <v>2</v>
      </c>
      <c r="AL836">
        <v>3</v>
      </c>
      <c r="AM836">
        <v>0</v>
      </c>
      <c r="AN836">
        <v>0</v>
      </c>
      <c r="AT836">
        <v>3</v>
      </c>
      <c r="BC836">
        <v>0</v>
      </c>
      <c r="BD836" t="s">
        <v>127</v>
      </c>
      <c r="BE836">
        <v>448</v>
      </c>
      <c r="BF836">
        <v>420</v>
      </c>
      <c r="BG836">
        <v>679</v>
      </c>
      <c r="BI836" t="s">
        <v>106</v>
      </c>
      <c r="BJ836">
        <v>1</v>
      </c>
      <c r="BL836" t="s">
        <v>1798</v>
      </c>
      <c r="BM836" s="4">
        <v>43283.085416666669</v>
      </c>
      <c r="BN836" s="4">
        <v>43283.094641203701</v>
      </c>
      <c r="BO836" s="4">
        <v>43283.094641203701</v>
      </c>
      <c r="BP836" t="s">
        <v>92</v>
      </c>
      <c r="BQ836" t="s">
        <v>93</v>
      </c>
      <c r="BR836" t="s">
        <v>94</v>
      </c>
    </row>
    <row r="837" spans="1:70" x14ac:dyDescent="0.3">
      <c r="A837" t="str">
        <f>"200478B0100"</f>
        <v>200478B0100</v>
      </c>
      <c r="B837" t="s">
        <v>1799</v>
      </c>
      <c r="C837">
        <v>20</v>
      </c>
      <c r="D837" t="s">
        <v>88</v>
      </c>
      <c r="E837">
        <v>66</v>
      </c>
      <c r="F837" t="s">
        <v>1713</v>
      </c>
      <c r="G837">
        <v>478</v>
      </c>
      <c r="H837">
        <v>1</v>
      </c>
      <c r="I837" t="s">
        <v>90</v>
      </c>
      <c r="J837">
        <v>0</v>
      </c>
      <c r="K837">
        <v>1</v>
      </c>
      <c r="L837">
        <v>5</v>
      </c>
      <c r="M837">
        <v>256</v>
      </c>
      <c r="N837">
        <v>437</v>
      </c>
      <c r="O837">
        <v>5</v>
      </c>
      <c r="P837">
        <v>432</v>
      </c>
      <c r="Q837">
        <v>77</v>
      </c>
      <c r="R837">
        <v>52</v>
      </c>
      <c r="S837">
        <v>14</v>
      </c>
      <c r="T837">
        <v>6</v>
      </c>
      <c r="U837">
        <v>17</v>
      </c>
      <c r="V837">
        <v>9</v>
      </c>
      <c r="W837">
        <v>7</v>
      </c>
      <c r="X837">
        <v>7</v>
      </c>
      <c r="Y837">
        <v>188</v>
      </c>
      <c r="Z837">
        <v>10</v>
      </c>
      <c r="AA837">
        <v>3</v>
      </c>
      <c r="AB837">
        <v>18</v>
      </c>
      <c r="AC837">
        <v>3</v>
      </c>
      <c r="AD837">
        <v>2</v>
      </c>
      <c r="AE837">
        <v>0</v>
      </c>
      <c r="AF837">
        <v>0</v>
      </c>
      <c r="AK837">
        <v>3</v>
      </c>
      <c r="AL837">
        <v>1</v>
      </c>
      <c r="AM837">
        <v>0</v>
      </c>
      <c r="AN837">
        <v>1</v>
      </c>
      <c r="AT837">
        <v>4</v>
      </c>
      <c r="BC837">
        <v>0</v>
      </c>
      <c r="BD837">
        <v>10</v>
      </c>
      <c r="BE837">
        <v>432</v>
      </c>
      <c r="BF837">
        <v>432</v>
      </c>
      <c r="BG837">
        <v>676</v>
      </c>
      <c r="BJ837">
        <v>1</v>
      </c>
      <c r="BL837" t="s">
        <v>1800</v>
      </c>
      <c r="BM837" s="4">
        <v>43283.085416666669</v>
      </c>
      <c r="BN837" s="4">
        <v>43283.090011574073</v>
      </c>
      <c r="BO837" s="4">
        <v>43283.090011574073</v>
      </c>
      <c r="BP837" t="s">
        <v>92</v>
      </c>
      <c r="BQ837" t="s">
        <v>93</v>
      </c>
      <c r="BR837" t="s">
        <v>94</v>
      </c>
    </row>
    <row r="838" spans="1:70" x14ac:dyDescent="0.3">
      <c r="A838" t="str">
        <f>"200478C0100"</f>
        <v>200478C0100</v>
      </c>
      <c r="B838" t="s">
        <v>1801</v>
      </c>
      <c r="C838">
        <v>20</v>
      </c>
      <c r="D838" t="s">
        <v>88</v>
      </c>
      <c r="E838">
        <v>66</v>
      </c>
      <c r="F838" t="s">
        <v>1713</v>
      </c>
      <c r="G838">
        <v>478</v>
      </c>
      <c r="H838">
        <v>1</v>
      </c>
      <c r="I838" t="s">
        <v>98</v>
      </c>
      <c r="J838">
        <v>0</v>
      </c>
      <c r="K838">
        <v>1</v>
      </c>
      <c r="L838">
        <v>5</v>
      </c>
      <c r="M838">
        <v>265</v>
      </c>
      <c r="N838">
        <v>433</v>
      </c>
      <c r="O838">
        <v>3</v>
      </c>
      <c r="P838">
        <v>446</v>
      </c>
      <c r="Q838">
        <v>75</v>
      </c>
      <c r="R838">
        <v>49</v>
      </c>
      <c r="S838">
        <v>10</v>
      </c>
      <c r="T838">
        <v>14</v>
      </c>
      <c r="U838">
        <v>24</v>
      </c>
      <c r="V838">
        <v>8</v>
      </c>
      <c r="W838">
        <v>4</v>
      </c>
      <c r="X838">
        <v>4</v>
      </c>
      <c r="Y838">
        <v>211</v>
      </c>
      <c r="Z838">
        <v>11</v>
      </c>
      <c r="AA838">
        <v>5</v>
      </c>
      <c r="AB838">
        <v>8</v>
      </c>
      <c r="AC838">
        <v>2</v>
      </c>
      <c r="AD838">
        <v>0</v>
      </c>
      <c r="AE838">
        <v>0</v>
      </c>
      <c r="AF838">
        <v>0</v>
      </c>
      <c r="AK838">
        <v>5</v>
      </c>
      <c r="AL838">
        <v>2</v>
      </c>
      <c r="AM838">
        <v>0</v>
      </c>
      <c r="AN838">
        <v>0</v>
      </c>
      <c r="AT838">
        <v>4</v>
      </c>
      <c r="BC838">
        <v>0</v>
      </c>
      <c r="BD838">
        <v>8</v>
      </c>
      <c r="BE838" t="s">
        <v>105</v>
      </c>
      <c r="BF838">
        <v>444</v>
      </c>
      <c r="BG838">
        <v>676</v>
      </c>
      <c r="BJ838">
        <v>1</v>
      </c>
      <c r="BL838" t="s">
        <v>1802</v>
      </c>
      <c r="BM838" s="4">
        <v>43283.100694444445</v>
      </c>
      <c r="BN838" s="4">
        <v>43283.109907407408</v>
      </c>
      <c r="BO838" s="4">
        <v>43283.109907407408</v>
      </c>
      <c r="BP838" t="s">
        <v>92</v>
      </c>
      <c r="BQ838" t="s">
        <v>93</v>
      </c>
      <c r="BR838" t="s">
        <v>94</v>
      </c>
    </row>
    <row r="839" spans="1:70" x14ac:dyDescent="0.3">
      <c r="A839" t="str">
        <f>"200478C0200"</f>
        <v>200478C0200</v>
      </c>
      <c r="B839" t="s">
        <v>1803</v>
      </c>
      <c r="C839">
        <v>20</v>
      </c>
      <c r="D839" t="s">
        <v>88</v>
      </c>
      <c r="E839">
        <v>66</v>
      </c>
      <c r="F839" t="s">
        <v>1713</v>
      </c>
      <c r="G839">
        <v>478</v>
      </c>
      <c r="H839">
        <v>2</v>
      </c>
      <c r="I839" t="s">
        <v>98</v>
      </c>
      <c r="J839">
        <v>0</v>
      </c>
      <c r="K839">
        <v>1</v>
      </c>
      <c r="L839">
        <v>5</v>
      </c>
      <c r="M839" t="s">
        <v>127</v>
      </c>
      <c r="N839" t="s">
        <v>127</v>
      </c>
      <c r="O839" t="s">
        <v>127</v>
      </c>
      <c r="P839" t="s">
        <v>127</v>
      </c>
      <c r="Q839" t="s">
        <v>127</v>
      </c>
      <c r="R839" t="s">
        <v>127</v>
      </c>
      <c r="S839" t="s">
        <v>127</v>
      </c>
      <c r="T839" t="s">
        <v>127</v>
      </c>
      <c r="U839" t="s">
        <v>127</v>
      </c>
      <c r="V839" t="s">
        <v>127</v>
      </c>
      <c r="W839" t="s">
        <v>127</v>
      </c>
      <c r="X839" t="s">
        <v>127</v>
      </c>
      <c r="Y839" t="s">
        <v>127</v>
      </c>
      <c r="Z839" t="s">
        <v>127</v>
      </c>
      <c r="AA839" t="s">
        <v>127</v>
      </c>
      <c r="AB839" t="s">
        <v>127</v>
      </c>
      <c r="AC839" t="s">
        <v>127</v>
      </c>
      <c r="AD839" t="s">
        <v>127</v>
      </c>
      <c r="AE839">
        <v>0</v>
      </c>
      <c r="AF839">
        <v>0</v>
      </c>
      <c r="AK839" t="s">
        <v>127</v>
      </c>
      <c r="AL839" t="s">
        <v>127</v>
      </c>
      <c r="AM839" t="s">
        <v>127</v>
      </c>
      <c r="AN839" t="s">
        <v>127</v>
      </c>
      <c r="AT839" t="s">
        <v>127</v>
      </c>
      <c r="BC839" t="s">
        <v>127</v>
      </c>
      <c r="BD839" t="s">
        <v>127</v>
      </c>
      <c r="BE839" t="s">
        <v>127</v>
      </c>
      <c r="BF839">
        <v>0</v>
      </c>
      <c r="BG839">
        <v>676</v>
      </c>
      <c r="BI839" t="s">
        <v>106</v>
      </c>
      <c r="BJ839">
        <v>1</v>
      </c>
      <c r="BL839" t="s">
        <v>1804</v>
      </c>
      <c r="BM839" s="4">
        <v>43283.316666666666</v>
      </c>
      <c r="BN839" s="4">
        <v>43283.364328703705</v>
      </c>
      <c r="BO839" s="4">
        <v>43283.364328703705</v>
      </c>
      <c r="BP839" t="s">
        <v>92</v>
      </c>
      <c r="BQ839" t="s">
        <v>93</v>
      </c>
      <c r="BR839" t="s">
        <v>94</v>
      </c>
    </row>
    <row r="840" spans="1:70" x14ac:dyDescent="0.3">
      <c r="A840" t="str">
        <f>"200478C0300"</f>
        <v>200478C0300</v>
      </c>
      <c r="B840" t="s">
        <v>1805</v>
      </c>
      <c r="C840">
        <v>20</v>
      </c>
      <c r="D840" t="s">
        <v>88</v>
      </c>
      <c r="E840">
        <v>66</v>
      </c>
      <c r="F840" t="s">
        <v>1713</v>
      </c>
      <c r="G840">
        <v>478</v>
      </c>
      <c r="H840">
        <v>3</v>
      </c>
      <c r="I840" t="s">
        <v>98</v>
      </c>
      <c r="J840">
        <v>0</v>
      </c>
      <c r="K840">
        <v>1</v>
      </c>
      <c r="L840">
        <v>5</v>
      </c>
      <c r="M840">
        <v>256</v>
      </c>
      <c r="N840">
        <v>442</v>
      </c>
      <c r="O840">
        <v>1</v>
      </c>
      <c r="P840">
        <v>446</v>
      </c>
      <c r="Q840">
        <v>83</v>
      </c>
      <c r="R840">
        <v>47</v>
      </c>
      <c r="S840">
        <v>20</v>
      </c>
      <c r="T840">
        <v>13</v>
      </c>
      <c r="U840">
        <v>17</v>
      </c>
      <c r="V840">
        <v>14</v>
      </c>
      <c r="W840">
        <v>5</v>
      </c>
      <c r="X840">
        <v>4</v>
      </c>
      <c r="Y840">
        <v>199</v>
      </c>
      <c r="Z840">
        <v>6</v>
      </c>
      <c r="AA840">
        <v>2</v>
      </c>
      <c r="AB840">
        <v>12</v>
      </c>
      <c r="AC840">
        <v>3</v>
      </c>
      <c r="AD840">
        <v>0</v>
      </c>
      <c r="AE840">
        <v>1</v>
      </c>
      <c r="AF840">
        <v>0</v>
      </c>
      <c r="AK840">
        <v>3</v>
      </c>
      <c r="AL840">
        <v>2</v>
      </c>
      <c r="AM840">
        <v>0</v>
      </c>
      <c r="AN840">
        <v>1</v>
      </c>
      <c r="AT840">
        <v>0</v>
      </c>
      <c r="BC840">
        <v>0</v>
      </c>
      <c r="BD840">
        <v>14</v>
      </c>
      <c r="BE840">
        <v>446</v>
      </c>
      <c r="BF840">
        <v>446</v>
      </c>
      <c r="BG840">
        <v>676</v>
      </c>
      <c r="BJ840">
        <v>1</v>
      </c>
      <c r="BL840" t="s">
        <v>1806</v>
      </c>
      <c r="BM840" s="4">
        <v>43283.105555555558</v>
      </c>
      <c r="BN840" s="4">
        <v>43283.111944444441</v>
      </c>
      <c r="BO840" s="4">
        <v>43283.111944444441</v>
      </c>
      <c r="BP840" t="s">
        <v>92</v>
      </c>
      <c r="BQ840" t="s">
        <v>93</v>
      </c>
      <c r="BR840" t="s">
        <v>94</v>
      </c>
    </row>
    <row r="841" spans="1:70" x14ac:dyDescent="0.3">
      <c r="A841" t="str">
        <f>"200478C0400"</f>
        <v>200478C0400</v>
      </c>
      <c r="B841" t="s">
        <v>1807</v>
      </c>
      <c r="C841">
        <v>20</v>
      </c>
      <c r="D841" t="s">
        <v>88</v>
      </c>
      <c r="E841">
        <v>66</v>
      </c>
      <c r="F841" t="s">
        <v>1713</v>
      </c>
      <c r="G841">
        <v>478</v>
      </c>
      <c r="H841">
        <v>4</v>
      </c>
      <c r="I841" t="s">
        <v>98</v>
      </c>
      <c r="J841">
        <v>0</v>
      </c>
      <c r="K841">
        <v>1</v>
      </c>
      <c r="L841">
        <v>5</v>
      </c>
      <c r="M841">
        <v>269</v>
      </c>
      <c r="N841">
        <v>429</v>
      </c>
      <c r="O841">
        <v>4</v>
      </c>
      <c r="P841">
        <v>429</v>
      </c>
      <c r="Q841">
        <v>67</v>
      </c>
      <c r="R841">
        <v>63</v>
      </c>
      <c r="S841">
        <v>12</v>
      </c>
      <c r="T841">
        <v>11</v>
      </c>
      <c r="U841">
        <v>12</v>
      </c>
      <c r="V841">
        <v>7</v>
      </c>
      <c r="W841">
        <v>4</v>
      </c>
      <c r="X841">
        <v>4</v>
      </c>
      <c r="Y841">
        <v>191</v>
      </c>
      <c r="Z841">
        <v>8</v>
      </c>
      <c r="AA841">
        <v>5</v>
      </c>
      <c r="AB841">
        <v>13</v>
      </c>
      <c r="AC841">
        <v>2</v>
      </c>
      <c r="AD841">
        <v>0</v>
      </c>
      <c r="AE841">
        <v>1</v>
      </c>
      <c r="AF841">
        <v>0</v>
      </c>
      <c r="AK841">
        <v>7</v>
      </c>
      <c r="AL841">
        <v>2</v>
      </c>
      <c r="AM841">
        <v>0</v>
      </c>
      <c r="AN841">
        <v>0</v>
      </c>
      <c r="AT841">
        <v>2</v>
      </c>
      <c r="BC841">
        <v>1</v>
      </c>
      <c r="BD841">
        <v>12</v>
      </c>
      <c r="BE841">
        <v>424</v>
      </c>
      <c r="BF841">
        <v>424</v>
      </c>
      <c r="BG841">
        <v>676</v>
      </c>
      <c r="BJ841">
        <v>1</v>
      </c>
      <c r="BL841" t="s">
        <v>1808</v>
      </c>
      <c r="BM841" s="4">
        <v>43283.104861111111</v>
      </c>
      <c r="BN841" s="4">
        <v>43283.109675925924</v>
      </c>
      <c r="BO841" s="4">
        <v>43283.109675925924</v>
      </c>
      <c r="BP841" t="s">
        <v>92</v>
      </c>
      <c r="BQ841" t="s">
        <v>93</v>
      </c>
      <c r="BR841" t="s">
        <v>94</v>
      </c>
    </row>
    <row r="842" spans="1:70" x14ac:dyDescent="0.3">
      <c r="A842" t="str">
        <f>"200479B0100"</f>
        <v>200479B0100</v>
      </c>
      <c r="B842" t="s">
        <v>1809</v>
      </c>
      <c r="C842">
        <v>20</v>
      </c>
      <c r="D842" t="s">
        <v>88</v>
      </c>
      <c r="E842">
        <v>66</v>
      </c>
      <c r="F842" t="s">
        <v>1713</v>
      </c>
      <c r="G842">
        <v>479</v>
      </c>
      <c r="H842">
        <v>1</v>
      </c>
      <c r="I842" t="s">
        <v>90</v>
      </c>
      <c r="J842">
        <v>0</v>
      </c>
      <c r="K842">
        <v>1</v>
      </c>
      <c r="L842">
        <v>5</v>
      </c>
      <c r="M842">
        <v>256</v>
      </c>
      <c r="N842">
        <v>369</v>
      </c>
      <c r="O842">
        <v>6</v>
      </c>
      <c r="P842">
        <v>369</v>
      </c>
      <c r="Q842">
        <v>48</v>
      </c>
      <c r="R842">
        <v>61</v>
      </c>
      <c r="S842">
        <v>18</v>
      </c>
      <c r="T842">
        <v>5</v>
      </c>
      <c r="U842">
        <v>14</v>
      </c>
      <c r="V842">
        <v>5</v>
      </c>
      <c r="W842">
        <v>7</v>
      </c>
      <c r="X842">
        <v>3</v>
      </c>
      <c r="Y842">
        <v>167</v>
      </c>
      <c r="Z842">
        <v>9</v>
      </c>
      <c r="AA842">
        <v>2</v>
      </c>
      <c r="AB842">
        <v>18</v>
      </c>
      <c r="AC842">
        <v>1</v>
      </c>
      <c r="AD842">
        <v>0</v>
      </c>
      <c r="AE842">
        <v>0</v>
      </c>
      <c r="AF842">
        <v>0</v>
      </c>
      <c r="AK842">
        <v>2</v>
      </c>
      <c r="AL842">
        <v>1</v>
      </c>
      <c r="AM842">
        <v>0</v>
      </c>
      <c r="AN842">
        <v>0</v>
      </c>
      <c r="AT842">
        <v>4</v>
      </c>
      <c r="BC842">
        <v>0</v>
      </c>
      <c r="BD842">
        <v>4</v>
      </c>
      <c r="BE842">
        <v>369</v>
      </c>
      <c r="BF842">
        <v>369</v>
      </c>
      <c r="BG842">
        <v>603</v>
      </c>
      <c r="BJ842">
        <v>1</v>
      </c>
      <c r="BL842" t="s">
        <v>1810</v>
      </c>
      <c r="BM842" s="4">
        <v>43283.086805555555</v>
      </c>
      <c r="BN842" s="4">
        <v>43283.090567129628</v>
      </c>
      <c r="BO842" s="4">
        <v>43283.090567129628</v>
      </c>
      <c r="BP842" t="s">
        <v>92</v>
      </c>
      <c r="BQ842" t="s">
        <v>93</v>
      </c>
      <c r="BR842" t="s">
        <v>94</v>
      </c>
    </row>
    <row r="843" spans="1:70" x14ac:dyDescent="0.3">
      <c r="A843" t="str">
        <f>"200479C0100"</f>
        <v>200479C0100</v>
      </c>
      <c r="B843" t="s">
        <v>1811</v>
      </c>
      <c r="C843">
        <v>20</v>
      </c>
      <c r="D843" t="s">
        <v>88</v>
      </c>
      <c r="E843">
        <v>66</v>
      </c>
      <c r="F843" t="s">
        <v>1713</v>
      </c>
      <c r="G843">
        <v>479</v>
      </c>
      <c r="H843">
        <v>1</v>
      </c>
      <c r="I843" t="s">
        <v>98</v>
      </c>
      <c r="J843">
        <v>0</v>
      </c>
      <c r="K843">
        <v>1</v>
      </c>
      <c r="L843">
        <v>5</v>
      </c>
      <c r="M843">
        <v>238</v>
      </c>
      <c r="N843">
        <v>387</v>
      </c>
      <c r="O843">
        <v>10</v>
      </c>
      <c r="P843">
        <v>385</v>
      </c>
      <c r="Q843">
        <v>66</v>
      </c>
      <c r="R843">
        <v>44</v>
      </c>
      <c r="S843">
        <v>12</v>
      </c>
      <c r="T843">
        <v>11</v>
      </c>
      <c r="U843">
        <v>19</v>
      </c>
      <c r="V843">
        <v>9</v>
      </c>
      <c r="W843">
        <v>13</v>
      </c>
      <c r="X843">
        <v>4</v>
      </c>
      <c r="Y843">
        <v>176</v>
      </c>
      <c r="Z843">
        <v>2</v>
      </c>
      <c r="AA843">
        <v>2</v>
      </c>
      <c r="AB843">
        <v>7</v>
      </c>
      <c r="AC843">
        <v>3</v>
      </c>
      <c r="AD843">
        <v>0</v>
      </c>
      <c r="AE843">
        <v>0</v>
      </c>
      <c r="AF843">
        <v>0</v>
      </c>
      <c r="AK843">
        <v>3</v>
      </c>
      <c r="AL843">
        <v>3</v>
      </c>
      <c r="AM843">
        <v>0</v>
      </c>
      <c r="AN843">
        <v>2</v>
      </c>
      <c r="AT843">
        <v>0</v>
      </c>
      <c r="BC843">
        <v>0</v>
      </c>
      <c r="BD843">
        <v>11</v>
      </c>
      <c r="BE843">
        <v>387</v>
      </c>
      <c r="BF843">
        <v>387</v>
      </c>
      <c r="BG843">
        <v>603</v>
      </c>
      <c r="BJ843">
        <v>1</v>
      </c>
      <c r="BL843" t="s">
        <v>1812</v>
      </c>
      <c r="BM843" s="4">
        <v>43283.125694444447</v>
      </c>
      <c r="BN843" s="4">
        <v>43283.13177083333</v>
      </c>
      <c r="BO843" s="4">
        <v>43283.13177083333</v>
      </c>
      <c r="BP843" t="s">
        <v>92</v>
      </c>
      <c r="BQ843" t="s">
        <v>93</v>
      </c>
      <c r="BR843" t="s">
        <v>94</v>
      </c>
    </row>
    <row r="844" spans="1:70" x14ac:dyDescent="0.3">
      <c r="A844" t="str">
        <f>"200479C0200"</f>
        <v>200479C0200</v>
      </c>
      <c r="B844" t="s">
        <v>1813</v>
      </c>
      <c r="C844">
        <v>20</v>
      </c>
      <c r="D844" t="s">
        <v>88</v>
      </c>
      <c r="E844">
        <v>66</v>
      </c>
      <c r="F844" t="s">
        <v>1713</v>
      </c>
      <c r="G844">
        <v>479</v>
      </c>
      <c r="H844">
        <v>2</v>
      </c>
      <c r="I844" t="s">
        <v>98</v>
      </c>
      <c r="J844">
        <v>0</v>
      </c>
      <c r="K844">
        <v>1</v>
      </c>
      <c r="L844">
        <v>5</v>
      </c>
      <c r="M844">
        <v>235</v>
      </c>
      <c r="N844">
        <v>387</v>
      </c>
      <c r="O844">
        <v>7</v>
      </c>
      <c r="P844">
        <v>387</v>
      </c>
      <c r="Q844">
        <v>66</v>
      </c>
      <c r="R844">
        <v>46</v>
      </c>
      <c r="S844">
        <v>17</v>
      </c>
      <c r="T844">
        <v>6</v>
      </c>
      <c r="U844">
        <v>15</v>
      </c>
      <c r="V844">
        <v>5</v>
      </c>
      <c r="W844">
        <v>7</v>
      </c>
      <c r="X844">
        <v>3</v>
      </c>
      <c r="Y844">
        <v>177</v>
      </c>
      <c r="Z844">
        <v>4</v>
      </c>
      <c r="AA844">
        <v>3</v>
      </c>
      <c r="AB844">
        <v>11</v>
      </c>
      <c r="AC844">
        <v>0</v>
      </c>
      <c r="AD844">
        <v>1</v>
      </c>
      <c r="AE844">
        <v>0</v>
      </c>
      <c r="AF844">
        <v>0</v>
      </c>
      <c r="AK844">
        <v>10</v>
      </c>
      <c r="AL844">
        <v>0</v>
      </c>
      <c r="AM844">
        <v>0</v>
      </c>
      <c r="AN844">
        <v>3</v>
      </c>
      <c r="AT844">
        <v>3</v>
      </c>
      <c r="BC844">
        <v>0</v>
      </c>
      <c r="BD844">
        <v>10</v>
      </c>
      <c r="BE844">
        <v>387</v>
      </c>
      <c r="BF844">
        <v>387</v>
      </c>
      <c r="BG844">
        <v>603</v>
      </c>
      <c r="BJ844">
        <v>1</v>
      </c>
      <c r="BL844" t="s">
        <v>1814</v>
      </c>
      <c r="BM844" s="4">
        <v>43283.084027777775</v>
      </c>
      <c r="BN844" s="4">
        <v>43283.088414351849</v>
      </c>
      <c r="BO844" s="4">
        <v>43283.088414351849</v>
      </c>
      <c r="BP844" t="s">
        <v>92</v>
      </c>
      <c r="BQ844" t="s">
        <v>93</v>
      </c>
      <c r="BR844" t="s">
        <v>94</v>
      </c>
    </row>
    <row r="845" spans="1:70" x14ac:dyDescent="0.3">
      <c r="A845" t="str">
        <f>"200480B0100"</f>
        <v>200480B0100</v>
      </c>
      <c r="B845" t="s">
        <v>1815</v>
      </c>
      <c r="C845">
        <v>20</v>
      </c>
      <c r="D845" t="s">
        <v>88</v>
      </c>
      <c r="E845">
        <v>66</v>
      </c>
      <c r="F845" t="s">
        <v>1713</v>
      </c>
      <c r="G845">
        <v>480</v>
      </c>
      <c r="H845">
        <v>1</v>
      </c>
      <c r="I845" t="s">
        <v>90</v>
      </c>
      <c r="J845">
        <v>0</v>
      </c>
      <c r="K845">
        <v>1</v>
      </c>
      <c r="L845">
        <v>5</v>
      </c>
      <c r="M845">
        <v>225</v>
      </c>
      <c r="N845">
        <v>446</v>
      </c>
      <c r="O845">
        <v>8</v>
      </c>
      <c r="P845">
        <v>445</v>
      </c>
      <c r="Q845">
        <v>89</v>
      </c>
      <c r="R845">
        <v>142</v>
      </c>
      <c r="S845">
        <v>8</v>
      </c>
      <c r="T845">
        <v>10</v>
      </c>
      <c r="U845">
        <v>21</v>
      </c>
      <c r="V845">
        <v>9</v>
      </c>
      <c r="W845">
        <v>6</v>
      </c>
      <c r="X845">
        <v>8</v>
      </c>
      <c r="Y845">
        <v>126</v>
      </c>
      <c r="Z845">
        <v>8</v>
      </c>
      <c r="AA845">
        <v>1</v>
      </c>
      <c r="AB845">
        <v>5</v>
      </c>
      <c r="AC845">
        <v>1</v>
      </c>
      <c r="AD845">
        <v>1</v>
      </c>
      <c r="AE845">
        <v>0</v>
      </c>
      <c r="AF845">
        <v>0</v>
      </c>
      <c r="AK845">
        <v>3</v>
      </c>
      <c r="AL845">
        <v>1</v>
      </c>
      <c r="AM845">
        <v>0</v>
      </c>
      <c r="AN845">
        <v>1</v>
      </c>
      <c r="AT845">
        <v>1</v>
      </c>
      <c r="BC845">
        <v>0</v>
      </c>
      <c r="BD845">
        <v>5</v>
      </c>
      <c r="BE845">
        <v>445</v>
      </c>
      <c r="BF845">
        <v>446</v>
      </c>
      <c r="BG845">
        <v>627</v>
      </c>
      <c r="BJ845">
        <v>1</v>
      </c>
      <c r="BL845" t="s">
        <v>1816</v>
      </c>
      <c r="BM845" s="4">
        <v>43283.024305555555</v>
      </c>
      <c r="BN845" s="4">
        <v>43283.030706018515</v>
      </c>
      <c r="BO845" s="4">
        <v>43283.030706018515</v>
      </c>
      <c r="BP845" t="s">
        <v>92</v>
      </c>
      <c r="BQ845" t="s">
        <v>93</v>
      </c>
      <c r="BR845" t="s">
        <v>94</v>
      </c>
    </row>
    <row r="846" spans="1:70" x14ac:dyDescent="0.3">
      <c r="A846" t="str">
        <f>"200480C0100"</f>
        <v>200480C0100</v>
      </c>
      <c r="B846" t="s">
        <v>1817</v>
      </c>
      <c r="C846">
        <v>20</v>
      </c>
      <c r="D846" t="s">
        <v>88</v>
      </c>
      <c r="E846">
        <v>66</v>
      </c>
      <c r="F846" t="s">
        <v>1713</v>
      </c>
      <c r="G846">
        <v>480</v>
      </c>
      <c r="H846">
        <v>1</v>
      </c>
      <c r="I846" t="s">
        <v>98</v>
      </c>
      <c r="J846">
        <v>0</v>
      </c>
      <c r="K846">
        <v>1</v>
      </c>
      <c r="L846">
        <v>5</v>
      </c>
      <c r="M846">
        <v>221</v>
      </c>
      <c r="N846">
        <v>426</v>
      </c>
      <c r="O846">
        <v>9</v>
      </c>
      <c r="P846">
        <v>427</v>
      </c>
      <c r="Q846">
        <v>78</v>
      </c>
      <c r="R846">
        <v>112</v>
      </c>
      <c r="S846">
        <v>8</v>
      </c>
      <c r="T846">
        <v>10</v>
      </c>
      <c r="U846">
        <v>9</v>
      </c>
      <c r="V846">
        <v>7</v>
      </c>
      <c r="W846">
        <v>8</v>
      </c>
      <c r="X846">
        <v>5</v>
      </c>
      <c r="Y846">
        <v>147</v>
      </c>
      <c r="Z846">
        <v>9</v>
      </c>
      <c r="AA846">
        <v>1</v>
      </c>
      <c r="AB846">
        <v>10</v>
      </c>
      <c r="AC846">
        <v>2</v>
      </c>
      <c r="AD846">
        <v>0</v>
      </c>
      <c r="AE846">
        <v>0</v>
      </c>
      <c r="AF846">
        <v>0</v>
      </c>
      <c r="AK846">
        <v>4</v>
      </c>
      <c r="AL846">
        <v>1</v>
      </c>
      <c r="AM846">
        <v>1</v>
      </c>
      <c r="AN846">
        <v>0</v>
      </c>
      <c r="AT846">
        <v>1</v>
      </c>
      <c r="BC846">
        <v>0</v>
      </c>
      <c r="BD846">
        <v>14</v>
      </c>
      <c r="BE846">
        <v>427</v>
      </c>
      <c r="BF846">
        <v>427</v>
      </c>
      <c r="BG846">
        <v>626</v>
      </c>
      <c r="BJ846">
        <v>1</v>
      </c>
      <c r="BL846" t="s">
        <v>1818</v>
      </c>
      <c r="BM846" s="4">
        <v>43282.991666666669</v>
      </c>
      <c r="BN846" s="4">
        <v>43282.996180555558</v>
      </c>
      <c r="BO846" s="4">
        <v>43282.996180555558</v>
      </c>
      <c r="BP846" t="s">
        <v>92</v>
      </c>
      <c r="BQ846" t="s">
        <v>93</v>
      </c>
      <c r="BR846" t="s">
        <v>94</v>
      </c>
    </row>
    <row r="847" spans="1:70" x14ac:dyDescent="0.3">
      <c r="A847" t="str">
        <f>"200480C0200"</f>
        <v>200480C0200</v>
      </c>
      <c r="B847" t="s">
        <v>1819</v>
      </c>
      <c r="C847">
        <v>20</v>
      </c>
      <c r="D847" t="s">
        <v>88</v>
      </c>
      <c r="E847">
        <v>66</v>
      </c>
      <c r="F847" t="s">
        <v>1713</v>
      </c>
      <c r="G847">
        <v>480</v>
      </c>
      <c r="H847">
        <v>2</v>
      </c>
      <c r="I847" t="s">
        <v>98</v>
      </c>
      <c r="J847">
        <v>0</v>
      </c>
      <c r="K847">
        <v>1</v>
      </c>
      <c r="L847">
        <v>5</v>
      </c>
      <c r="M847">
        <v>195</v>
      </c>
      <c r="N847">
        <v>453</v>
      </c>
      <c r="O847">
        <v>9</v>
      </c>
      <c r="P847">
        <v>451</v>
      </c>
      <c r="Q847">
        <v>74</v>
      </c>
      <c r="R847">
        <v>144</v>
      </c>
      <c r="S847">
        <v>7</v>
      </c>
      <c r="T847">
        <v>6</v>
      </c>
      <c r="U847">
        <v>16</v>
      </c>
      <c r="V847">
        <v>6</v>
      </c>
      <c r="W847">
        <v>1</v>
      </c>
      <c r="X847">
        <v>4</v>
      </c>
      <c r="Y847">
        <v>152</v>
      </c>
      <c r="Z847">
        <v>6</v>
      </c>
      <c r="AA847">
        <v>3</v>
      </c>
      <c r="AB847">
        <v>7</v>
      </c>
      <c r="AC847">
        <v>4</v>
      </c>
      <c r="AD847">
        <v>0</v>
      </c>
      <c r="AE847">
        <v>0</v>
      </c>
      <c r="AF847">
        <v>0</v>
      </c>
      <c r="AK847">
        <v>3</v>
      </c>
      <c r="AL847">
        <v>0</v>
      </c>
      <c r="AM847">
        <v>0</v>
      </c>
      <c r="AN847">
        <v>0</v>
      </c>
      <c r="AT847">
        <v>6</v>
      </c>
      <c r="BC847">
        <v>0</v>
      </c>
      <c r="BD847">
        <v>13</v>
      </c>
      <c r="BE847">
        <v>451</v>
      </c>
      <c r="BF847">
        <v>452</v>
      </c>
      <c r="BG847">
        <v>626</v>
      </c>
      <c r="BJ847">
        <v>1</v>
      </c>
      <c r="BL847" t="s">
        <v>1820</v>
      </c>
      <c r="BM847" s="4">
        <v>43283.022222222222</v>
      </c>
      <c r="BN847" s="4">
        <v>43283.026689814818</v>
      </c>
      <c r="BO847" s="4">
        <v>43283.026689814818</v>
      </c>
      <c r="BP847" t="s">
        <v>92</v>
      </c>
      <c r="BQ847" t="s">
        <v>93</v>
      </c>
      <c r="BR847" t="s">
        <v>94</v>
      </c>
    </row>
    <row r="848" spans="1:70" x14ac:dyDescent="0.3">
      <c r="A848" t="str">
        <f>"200481B0100"</f>
        <v>200481B0100</v>
      </c>
      <c r="B848" t="s">
        <v>1821</v>
      </c>
      <c r="C848">
        <v>20</v>
      </c>
      <c r="D848" t="s">
        <v>88</v>
      </c>
      <c r="E848">
        <v>66</v>
      </c>
      <c r="F848" t="s">
        <v>1713</v>
      </c>
      <c r="G848">
        <v>481</v>
      </c>
      <c r="H848">
        <v>1</v>
      </c>
      <c r="I848" t="s">
        <v>90</v>
      </c>
      <c r="J848">
        <v>0</v>
      </c>
      <c r="K848">
        <v>1</v>
      </c>
      <c r="L848">
        <v>5</v>
      </c>
      <c r="M848">
        <v>227</v>
      </c>
      <c r="N848">
        <v>509</v>
      </c>
      <c r="O848">
        <v>3</v>
      </c>
      <c r="P848">
        <v>509</v>
      </c>
      <c r="Q848">
        <v>118</v>
      </c>
      <c r="R848">
        <v>102</v>
      </c>
      <c r="S848">
        <v>18</v>
      </c>
      <c r="T848">
        <v>11</v>
      </c>
      <c r="U848">
        <v>11</v>
      </c>
      <c r="V848">
        <v>8</v>
      </c>
      <c r="W848">
        <v>5</v>
      </c>
      <c r="X848">
        <v>11</v>
      </c>
      <c r="Y848">
        <v>184</v>
      </c>
      <c r="Z848">
        <v>12</v>
      </c>
      <c r="AA848">
        <v>2</v>
      </c>
      <c r="AB848">
        <v>10</v>
      </c>
      <c r="AC848">
        <v>0</v>
      </c>
      <c r="AD848">
        <v>0</v>
      </c>
      <c r="AE848">
        <v>0</v>
      </c>
      <c r="AF848">
        <v>0</v>
      </c>
      <c r="AK848">
        <v>4</v>
      </c>
      <c r="AL848">
        <v>1</v>
      </c>
      <c r="AM848">
        <v>0</v>
      </c>
      <c r="AN848">
        <v>2</v>
      </c>
      <c r="AT848">
        <v>0</v>
      </c>
      <c r="BC848">
        <v>0</v>
      </c>
      <c r="BD848">
        <v>10</v>
      </c>
      <c r="BE848">
        <v>509</v>
      </c>
      <c r="BF848">
        <v>509</v>
      </c>
      <c r="BG848">
        <v>714</v>
      </c>
      <c r="BJ848">
        <v>1</v>
      </c>
      <c r="BL848" t="s">
        <v>1822</v>
      </c>
      <c r="BM848" s="4">
        <v>43283.025000000001</v>
      </c>
      <c r="BN848" s="4">
        <v>43283.029444444444</v>
      </c>
      <c r="BO848" s="4">
        <v>43283.029444444444</v>
      </c>
      <c r="BP848" t="s">
        <v>92</v>
      </c>
      <c r="BQ848" t="s">
        <v>93</v>
      </c>
      <c r="BR848" t="s">
        <v>94</v>
      </c>
    </row>
    <row r="849" spans="1:70" x14ac:dyDescent="0.3">
      <c r="A849" t="str">
        <f>"200481C0100"</f>
        <v>200481C0100</v>
      </c>
      <c r="B849" t="s">
        <v>1823</v>
      </c>
      <c r="C849">
        <v>20</v>
      </c>
      <c r="D849" t="s">
        <v>88</v>
      </c>
      <c r="E849">
        <v>66</v>
      </c>
      <c r="F849" t="s">
        <v>1713</v>
      </c>
      <c r="G849">
        <v>481</v>
      </c>
      <c r="H849">
        <v>1</v>
      </c>
      <c r="I849" t="s">
        <v>98</v>
      </c>
      <c r="J849">
        <v>0</v>
      </c>
      <c r="K849">
        <v>1</v>
      </c>
      <c r="L849">
        <v>5</v>
      </c>
      <c r="M849">
        <v>235</v>
      </c>
      <c r="N849">
        <v>508</v>
      </c>
      <c r="O849">
        <v>7</v>
      </c>
      <c r="P849">
        <v>479</v>
      </c>
      <c r="Q849">
        <v>112</v>
      </c>
      <c r="R849">
        <v>94</v>
      </c>
      <c r="S849">
        <v>17</v>
      </c>
      <c r="T849">
        <v>18</v>
      </c>
      <c r="U849">
        <v>16</v>
      </c>
      <c r="V849">
        <v>12</v>
      </c>
      <c r="W849">
        <v>5</v>
      </c>
      <c r="X849">
        <v>7</v>
      </c>
      <c r="Y849">
        <v>187</v>
      </c>
      <c r="Z849">
        <v>6</v>
      </c>
      <c r="AA849">
        <v>6</v>
      </c>
      <c r="AB849">
        <v>12</v>
      </c>
      <c r="AC849">
        <v>2</v>
      </c>
      <c r="AD849">
        <v>1</v>
      </c>
      <c r="AE849">
        <v>0</v>
      </c>
      <c r="AF849">
        <v>0</v>
      </c>
      <c r="AK849">
        <v>1</v>
      </c>
      <c r="AL849">
        <v>0</v>
      </c>
      <c r="AM849">
        <v>0</v>
      </c>
      <c r="AN849">
        <v>2</v>
      </c>
      <c r="AT849">
        <v>2</v>
      </c>
      <c r="BC849">
        <v>0</v>
      </c>
      <c r="BD849">
        <v>12</v>
      </c>
      <c r="BE849">
        <v>501</v>
      </c>
      <c r="BF849">
        <v>512</v>
      </c>
      <c r="BG849">
        <v>714</v>
      </c>
      <c r="BJ849">
        <v>1</v>
      </c>
      <c r="BL849" t="s">
        <v>1824</v>
      </c>
      <c r="BM849" s="4">
        <v>43283.393055555556</v>
      </c>
      <c r="BN849" s="4">
        <v>43283.398043981484</v>
      </c>
      <c r="BO849" s="4">
        <v>43283.398043981484</v>
      </c>
      <c r="BP849" t="s">
        <v>92</v>
      </c>
      <c r="BQ849" t="s">
        <v>93</v>
      </c>
      <c r="BR849" t="s">
        <v>254</v>
      </c>
    </row>
    <row r="850" spans="1:70" x14ac:dyDescent="0.3">
      <c r="A850" t="str">
        <f>"200481C0200"</f>
        <v>200481C0200</v>
      </c>
      <c r="B850" t="s">
        <v>1825</v>
      </c>
      <c r="C850">
        <v>20</v>
      </c>
      <c r="D850" t="s">
        <v>88</v>
      </c>
      <c r="E850">
        <v>66</v>
      </c>
      <c r="F850" t="s">
        <v>1713</v>
      </c>
      <c r="G850">
        <v>481</v>
      </c>
      <c r="H850">
        <v>2</v>
      </c>
      <c r="I850" t="s">
        <v>98</v>
      </c>
      <c r="J850">
        <v>0</v>
      </c>
      <c r="K850">
        <v>1</v>
      </c>
      <c r="L850">
        <v>5</v>
      </c>
      <c r="M850">
        <v>244</v>
      </c>
      <c r="N850">
        <v>491</v>
      </c>
      <c r="O850">
        <v>4</v>
      </c>
      <c r="P850">
        <v>491</v>
      </c>
      <c r="Q850">
        <v>72</v>
      </c>
      <c r="R850">
        <v>84</v>
      </c>
      <c r="S850">
        <v>14</v>
      </c>
      <c r="T850">
        <v>7</v>
      </c>
      <c r="U850">
        <v>22</v>
      </c>
      <c r="V850">
        <v>7</v>
      </c>
      <c r="W850">
        <v>4</v>
      </c>
      <c r="X850">
        <v>7</v>
      </c>
      <c r="Y850">
        <v>225</v>
      </c>
      <c r="Z850">
        <v>5</v>
      </c>
      <c r="AA850">
        <v>1</v>
      </c>
      <c r="AB850">
        <v>10</v>
      </c>
      <c r="AC850">
        <v>2</v>
      </c>
      <c r="AD850">
        <v>0</v>
      </c>
      <c r="AE850">
        <v>0</v>
      </c>
      <c r="AF850">
        <v>0</v>
      </c>
      <c r="AK850">
        <v>3</v>
      </c>
      <c r="AL850">
        <v>4</v>
      </c>
      <c r="AM850">
        <v>0</v>
      </c>
      <c r="AN850">
        <v>1</v>
      </c>
      <c r="AT850">
        <v>1</v>
      </c>
      <c r="BC850">
        <v>0</v>
      </c>
      <c r="BD850">
        <v>22</v>
      </c>
      <c r="BE850">
        <v>491</v>
      </c>
      <c r="BF850">
        <v>491</v>
      </c>
      <c r="BG850">
        <v>714</v>
      </c>
      <c r="BJ850">
        <v>1</v>
      </c>
      <c r="BL850" t="s">
        <v>1826</v>
      </c>
      <c r="BM850" s="4">
        <v>43283.39166666667</v>
      </c>
      <c r="BN850" s="4">
        <v>43283.398958333331</v>
      </c>
      <c r="BO850" s="4">
        <v>43283.398958333331</v>
      </c>
      <c r="BP850" t="s">
        <v>92</v>
      </c>
      <c r="BQ850" t="s">
        <v>93</v>
      </c>
      <c r="BR850" t="s">
        <v>254</v>
      </c>
    </row>
    <row r="851" spans="1:70" x14ac:dyDescent="0.3">
      <c r="A851" t="str">
        <f>"200481C0300"</f>
        <v>200481C0300</v>
      </c>
      <c r="B851" t="s">
        <v>1827</v>
      </c>
      <c r="C851">
        <v>20</v>
      </c>
      <c r="D851" t="s">
        <v>88</v>
      </c>
      <c r="E851">
        <v>66</v>
      </c>
      <c r="F851" t="s">
        <v>1713</v>
      </c>
      <c r="G851">
        <v>481</v>
      </c>
      <c r="H851">
        <v>3</v>
      </c>
      <c r="I851" t="s">
        <v>98</v>
      </c>
      <c r="J851">
        <v>0</v>
      </c>
      <c r="K851">
        <v>1</v>
      </c>
      <c r="L851">
        <v>5</v>
      </c>
      <c r="M851">
        <v>265</v>
      </c>
      <c r="N851">
        <v>466</v>
      </c>
      <c r="O851">
        <v>1</v>
      </c>
      <c r="P851">
        <v>452</v>
      </c>
      <c r="Q851">
        <v>126</v>
      </c>
      <c r="R851">
        <v>84</v>
      </c>
      <c r="S851">
        <v>11</v>
      </c>
      <c r="T851">
        <v>7</v>
      </c>
      <c r="U851">
        <v>13</v>
      </c>
      <c r="V851">
        <v>7</v>
      </c>
      <c r="W851">
        <v>10</v>
      </c>
      <c r="X851">
        <v>5</v>
      </c>
      <c r="Y851">
        <v>165</v>
      </c>
      <c r="Z851">
        <v>6</v>
      </c>
      <c r="AA851">
        <v>2</v>
      </c>
      <c r="AB851">
        <v>6</v>
      </c>
      <c r="AC851">
        <v>1</v>
      </c>
      <c r="AD851">
        <v>0</v>
      </c>
      <c r="AE851">
        <v>0</v>
      </c>
      <c r="AF851">
        <v>0</v>
      </c>
      <c r="AK851">
        <v>4</v>
      </c>
      <c r="AL851">
        <v>1</v>
      </c>
      <c r="AM851">
        <v>0</v>
      </c>
      <c r="AN851">
        <v>2</v>
      </c>
      <c r="AT851">
        <v>3</v>
      </c>
      <c r="BC851">
        <v>0</v>
      </c>
      <c r="BD851">
        <v>12</v>
      </c>
      <c r="BE851">
        <v>452</v>
      </c>
      <c r="BF851">
        <v>465</v>
      </c>
      <c r="BG851">
        <v>714</v>
      </c>
      <c r="BJ851">
        <v>1</v>
      </c>
      <c r="BL851" t="s">
        <v>1828</v>
      </c>
      <c r="BM851" s="4">
        <v>43283.172222222223</v>
      </c>
      <c r="BN851" s="4">
        <v>43283.18677083333</v>
      </c>
      <c r="BO851" s="4">
        <v>43283.18677083333</v>
      </c>
      <c r="BP851" t="s">
        <v>92</v>
      </c>
      <c r="BQ851" t="s">
        <v>93</v>
      </c>
      <c r="BR851" t="s">
        <v>94</v>
      </c>
    </row>
    <row r="852" spans="1:70" x14ac:dyDescent="0.3">
      <c r="A852" t="str">
        <f>"200481C0400"</f>
        <v>200481C0400</v>
      </c>
      <c r="B852" t="s">
        <v>1829</v>
      </c>
      <c r="C852">
        <v>20</v>
      </c>
      <c r="D852" t="s">
        <v>88</v>
      </c>
      <c r="E852">
        <v>66</v>
      </c>
      <c r="F852" t="s">
        <v>1713</v>
      </c>
      <c r="G852">
        <v>481</v>
      </c>
      <c r="H852">
        <v>4</v>
      </c>
      <c r="I852" t="s">
        <v>98</v>
      </c>
      <c r="J852">
        <v>0</v>
      </c>
      <c r="K852">
        <v>1</v>
      </c>
      <c r="L852">
        <v>5</v>
      </c>
      <c r="M852">
        <v>238</v>
      </c>
      <c r="N852">
        <v>497</v>
      </c>
      <c r="O852">
        <v>5</v>
      </c>
      <c r="P852">
        <v>511</v>
      </c>
      <c r="Q852">
        <v>128</v>
      </c>
      <c r="R852">
        <v>78</v>
      </c>
      <c r="S852">
        <v>16</v>
      </c>
      <c r="T852">
        <v>5</v>
      </c>
      <c r="U852">
        <v>19</v>
      </c>
      <c r="V852">
        <v>8</v>
      </c>
      <c r="W852">
        <v>4</v>
      </c>
      <c r="X852">
        <v>1</v>
      </c>
      <c r="Y852">
        <v>223</v>
      </c>
      <c r="Z852">
        <v>10</v>
      </c>
      <c r="AA852">
        <v>0</v>
      </c>
      <c r="AB852">
        <v>5</v>
      </c>
      <c r="AC852">
        <v>0</v>
      </c>
      <c r="AD852">
        <v>0</v>
      </c>
      <c r="AE852">
        <v>0</v>
      </c>
      <c r="AF852">
        <v>0</v>
      </c>
      <c r="AK852">
        <v>2</v>
      </c>
      <c r="AL852">
        <v>1</v>
      </c>
      <c r="AM852">
        <v>0</v>
      </c>
      <c r="AN852">
        <v>0</v>
      </c>
      <c r="AT852">
        <v>3</v>
      </c>
      <c r="BC852">
        <v>0</v>
      </c>
      <c r="BD852">
        <v>7</v>
      </c>
      <c r="BE852">
        <v>511</v>
      </c>
      <c r="BF852">
        <v>510</v>
      </c>
      <c r="BG852">
        <v>714</v>
      </c>
      <c r="BJ852">
        <v>1</v>
      </c>
      <c r="BL852" t="s">
        <v>1830</v>
      </c>
      <c r="BM852" s="4">
        <v>43283.172222222223</v>
      </c>
      <c r="BN852" s="4">
        <v>43283.19358796296</v>
      </c>
      <c r="BO852" s="4">
        <v>43283.19358796296</v>
      </c>
      <c r="BP852" t="s">
        <v>92</v>
      </c>
      <c r="BQ852" t="s">
        <v>93</v>
      </c>
      <c r="BR852" t="s">
        <v>94</v>
      </c>
    </row>
    <row r="853" spans="1:70" x14ac:dyDescent="0.3">
      <c r="A853" t="str">
        <f>"200482B0100"</f>
        <v>200482B0100</v>
      </c>
      <c r="B853" t="s">
        <v>1831</v>
      </c>
      <c r="C853">
        <v>20</v>
      </c>
      <c r="D853" t="s">
        <v>88</v>
      </c>
      <c r="E853">
        <v>66</v>
      </c>
      <c r="F853" t="s">
        <v>1713</v>
      </c>
      <c r="G853">
        <v>482</v>
      </c>
      <c r="H853">
        <v>1</v>
      </c>
      <c r="I853" t="s">
        <v>90</v>
      </c>
      <c r="J853">
        <v>0</v>
      </c>
      <c r="K853">
        <v>1</v>
      </c>
      <c r="L853">
        <v>5</v>
      </c>
      <c r="M853">
        <v>268</v>
      </c>
      <c r="N853">
        <v>490</v>
      </c>
      <c r="O853">
        <v>0</v>
      </c>
      <c r="P853">
        <v>500</v>
      </c>
      <c r="Q853">
        <v>107</v>
      </c>
      <c r="R853">
        <v>64</v>
      </c>
      <c r="S853">
        <v>19</v>
      </c>
      <c r="T853">
        <v>8</v>
      </c>
      <c r="U853">
        <v>19</v>
      </c>
      <c r="V853">
        <v>12</v>
      </c>
      <c r="W853">
        <v>5</v>
      </c>
      <c r="X853">
        <v>3</v>
      </c>
      <c r="Y853">
        <v>215</v>
      </c>
      <c r="Z853">
        <v>8</v>
      </c>
      <c r="AA853">
        <v>4</v>
      </c>
      <c r="AB853">
        <v>10</v>
      </c>
      <c r="AC853">
        <v>3</v>
      </c>
      <c r="AD853">
        <v>2</v>
      </c>
      <c r="AE853">
        <v>1</v>
      </c>
      <c r="AF853">
        <v>1</v>
      </c>
      <c r="AK853">
        <v>5</v>
      </c>
      <c r="AL853">
        <v>3</v>
      </c>
      <c r="AM853">
        <v>0</v>
      </c>
      <c r="AN853">
        <v>0</v>
      </c>
      <c r="AT853">
        <v>1</v>
      </c>
      <c r="BC853">
        <v>0</v>
      </c>
      <c r="BD853">
        <v>10</v>
      </c>
      <c r="BE853">
        <v>500</v>
      </c>
      <c r="BF853">
        <v>500</v>
      </c>
      <c r="BG853">
        <v>736</v>
      </c>
      <c r="BJ853">
        <v>1</v>
      </c>
      <c r="BL853" t="s">
        <v>1832</v>
      </c>
      <c r="BM853" s="4">
        <v>43283.109722222223</v>
      </c>
      <c r="BN853" s="4">
        <v>43283.114594907405</v>
      </c>
      <c r="BO853" s="4">
        <v>43283.114594907405</v>
      </c>
      <c r="BP853" t="s">
        <v>92</v>
      </c>
      <c r="BQ853" t="s">
        <v>93</v>
      </c>
      <c r="BR853" t="s">
        <v>94</v>
      </c>
    </row>
    <row r="854" spans="1:70" x14ac:dyDescent="0.3">
      <c r="A854" t="str">
        <f>"200482C0100"</f>
        <v>200482C0100</v>
      </c>
      <c r="B854" t="s">
        <v>1833</v>
      </c>
      <c r="C854">
        <v>20</v>
      </c>
      <c r="D854" t="s">
        <v>88</v>
      </c>
      <c r="E854">
        <v>66</v>
      </c>
      <c r="F854" t="s">
        <v>1713</v>
      </c>
      <c r="G854">
        <v>482</v>
      </c>
      <c r="H854">
        <v>1</v>
      </c>
      <c r="I854" t="s">
        <v>98</v>
      </c>
      <c r="J854">
        <v>0</v>
      </c>
      <c r="K854">
        <v>1</v>
      </c>
      <c r="L854">
        <v>5</v>
      </c>
      <c r="M854" t="s">
        <v>105</v>
      </c>
      <c r="N854" t="s">
        <v>105</v>
      </c>
      <c r="O854" t="s">
        <v>105</v>
      </c>
      <c r="P854" t="s">
        <v>105</v>
      </c>
      <c r="Q854">
        <v>8</v>
      </c>
      <c r="R854">
        <v>54</v>
      </c>
      <c r="S854">
        <v>26</v>
      </c>
      <c r="T854">
        <v>11</v>
      </c>
      <c r="U854">
        <v>18</v>
      </c>
      <c r="V854">
        <v>14</v>
      </c>
      <c r="W854">
        <v>12</v>
      </c>
      <c r="X854">
        <v>3</v>
      </c>
      <c r="Y854">
        <v>183</v>
      </c>
      <c r="Z854">
        <v>5</v>
      </c>
      <c r="AA854">
        <v>1</v>
      </c>
      <c r="AB854">
        <v>6</v>
      </c>
      <c r="AC854">
        <v>3</v>
      </c>
      <c r="AD854">
        <v>3</v>
      </c>
      <c r="AE854">
        <v>0</v>
      </c>
      <c r="AF854">
        <v>0</v>
      </c>
      <c r="AK854">
        <v>2</v>
      </c>
      <c r="AL854">
        <v>3</v>
      </c>
      <c r="AM854">
        <v>0</v>
      </c>
      <c r="AN854">
        <v>0</v>
      </c>
      <c r="AT854">
        <v>5</v>
      </c>
      <c r="BC854">
        <v>0</v>
      </c>
      <c r="BD854">
        <v>14</v>
      </c>
      <c r="BE854">
        <v>471</v>
      </c>
      <c r="BF854">
        <v>371</v>
      </c>
      <c r="BG854">
        <v>736</v>
      </c>
      <c r="BJ854">
        <v>1</v>
      </c>
      <c r="BL854" t="s">
        <v>1834</v>
      </c>
      <c r="BM854" s="4">
        <v>43283.104861111111</v>
      </c>
      <c r="BN854" s="4">
        <v>43283.118252314816</v>
      </c>
      <c r="BO854" s="4">
        <v>43283.118252314816</v>
      </c>
      <c r="BP854" t="s">
        <v>92</v>
      </c>
      <c r="BQ854" t="s">
        <v>93</v>
      </c>
      <c r="BR854" t="s">
        <v>94</v>
      </c>
    </row>
    <row r="855" spans="1:70" x14ac:dyDescent="0.3">
      <c r="A855" t="str">
        <f>"200482C0200"</f>
        <v>200482C0200</v>
      </c>
      <c r="B855" t="s">
        <v>1835</v>
      </c>
      <c r="C855">
        <v>20</v>
      </c>
      <c r="D855" t="s">
        <v>88</v>
      </c>
      <c r="E855">
        <v>66</v>
      </c>
      <c r="F855" t="s">
        <v>1713</v>
      </c>
      <c r="G855">
        <v>482</v>
      </c>
      <c r="H855">
        <v>2</v>
      </c>
      <c r="I855" t="s">
        <v>98</v>
      </c>
      <c r="J855">
        <v>0</v>
      </c>
      <c r="K855">
        <v>1</v>
      </c>
      <c r="L855">
        <v>5</v>
      </c>
      <c r="M855">
        <v>300</v>
      </c>
      <c r="N855">
        <v>456</v>
      </c>
      <c r="O855">
        <v>0</v>
      </c>
      <c r="P855">
        <v>456</v>
      </c>
      <c r="Q855">
        <v>102</v>
      </c>
      <c r="R855">
        <v>50</v>
      </c>
      <c r="S855">
        <v>20</v>
      </c>
      <c r="T855">
        <v>8</v>
      </c>
      <c r="U855">
        <v>19</v>
      </c>
      <c r="V855">
        <v>8</v>
      </c>
      <c r="W855">
        <v>10</v>
      </c>
      <c r="X855">
        <v>1</v>
      </c>
      <c r="Y855">
        <v>193</v>
      </c>
      <c r="Z855">
        <v>7</v>
      </c>
      <c r="AA855">
        <v>3</v>
      </c>
      <c r="AB855">
        <v>4</v>
      </c>
      <c r="AC855">
        <v>3</v>
      </c>
      <c r="AD855">
        <v>1</v>
      </c>
      <c r="AE855">
        <v>0</v>
      </c>
      <c r="AF855">
        <v>0</v>
      </c>
      <c r="AK855">
        <v>4</v>
      </c>
      <c r="AL855">
        <v>1</v>
      </c>
      <c r="AM855">
        <v>0</v>
      </c>
      <c r="AN855">
        <v>3</v>
      </c>
      <c r="AT855">
        <v>4</v>
      </c>
      <c r="BC855">
        <v>0</v>
      </c>
      <c r="BD855">
        <v>10</v>
      </c>
      <c r="BE855">
        <v>451</v>
      </c>
      <c r="BF855">
        <v>451</v>
      </c>
      <c r="BG855">
        <v>735</v>
      </c>
      <c r="BJ855">
        <v>1</v>
      </c>
      <c r="BL855" t="s">
        <v>1836</v>
      </c>
      <c r="BM855" s="4">
        <v>43283.107638888891</v>
      </c>
      <c r="BN855" s="4">
        <v>43283.112141203703</v>
      </c>
      <c r="BO855" s="4">
        <v>43283.112141203703</v>
      </c>
      <c r="BP855" t="s">
        <v>92</v>
      </c>
      <c r="BQ855" t="s">
        <v>93</v>
      </c>
      <c r="BR855" t="s">
        <v>94</v>
      </c>
    </row>
    <row r="856" spans="1:70" x14ac:dyDescent="0.3">
      <c r="A856" t="str">
        <f>"200482E0100"</f>
        <v>200482E0100</v>
      </c>
      <c r="B856" s="2" t="s">
        <v>1837</v>
      </c>
      <c r="C856">
        <v>20</v>
      </c>
      <c r="D856" t="s">
        <v>88</v>
      </c>
      <c r="E856">
        <v>66</v>
      </c>
      <c r="F856" t="s">
        <v>1713</v>
      </c>
      <c r="G856">
        <v>482</v>
      </c>
      <c r="H856">
        <v>1</v>
      </c>
      <c r="I856" t="s">
        <v>156</v>
      </c>
      <c r="J856">
        <v>0</v>
      </c>
      <c r="K856">
        <v>1</v>
      </c>
      <c r="L856">
        <v>5</v>
      </c>
      <c r="M856">
        <v>274</v>
      </c>
      <c r="N856">
        <v>435</v>
      </c>
      <c r="O856">
        <v>3</v>
      </c>
      <c r="P856">
        <v>435</v>
      </c>
      <c r="Q856">
        <v>102</v>
      </c>
      <c r="R856">
        <v>58</v>
      </c>
      <c r="S856">
        <v>9</v>
      </c>
      <c r="T856">
        <v>7</v>
      </c>
      <c r="U856">
        <v>17</v>
      </c>
      <c r="V856">
        <v>15</v>
      </c>
      <c r="W856">
        <v>3</v>
      </c>
      <c r="X856">
        <v>1</v>
      </c>
      <c r="Y856">
        <v>185</v>
      </c>
      <c r="Z856">
        <v>3</v>
      </c>
      <c r="AA856">
        <v>5</v>
      </c>
      <c r="AB856">
        <v>0</v>
      </c>
      <c r="AC856">
        <v>3</v>
      </c>
      <c r="AD856">
        <v>2</v>
      </c>
      <c r="AE856">
        <v>1</v>
      </c>
      <c r="AF856">
        <v>0</v>
      </c>
      <c r="AK856">
        <v>0</v>
      </c>
      <c r="AL856">
        <v>1</v>
      </c>
      <c r="AM856">
        <v>0</v>
      </c>
      <c r="AN856">
        <v>5</v>
      </c>
      <c r="AT856">
        <v>3</v>
      </c>
      <c r="BC856">
        <v>0</v>
      </c>
      <c r="BD856">
        <v>15</v>
      </c>
      <c r="BE856">
        <v>435</v>
      </c>
      <c r="BF856">
        <v>435</v>
      </c>
      <c r="BG856">
        <v>689</v>
      </c>
      <c r="BJ856">
        <v>1</v>
      </c>
      <c r="BL856" t="s">
        <v>1838</v>
      </c>
      <c r="BM856" s="4">
        <v>43283.070833333331</v>
      </c>
      <c r="BN856" s="4">
        <v>43283.075925925928</v>
      </c>
      <c r="BO856" s="4">
        <v>43283.075925925928</v>
      </c>
      <c r="BP856" t="s">
        <v>92</v>
      </c>
      <c r="BQ856" t="s">
        <v>93</v>
      </c>
      <c r="BR856" t="s">
        <v>94</v>
      </c>
    </row>
    <row r="857" spans="1:70" x14ac:dyDescent="0.3">
      <c r="A857" t="str">
        <f>"200482E0101"</f>
        <v>200482E0101</v>
      </c>
      <c r="B857" s="2" t="s">
        <v>1839</v>
      </c>
      <c r="C857">
        <v>20</v>
      </c>
      <c r="D857" t="s">
        <v>88</v>
      </c>
      <c r="E857">
        <v>66</v>
      </c>
      <c r="F857" t="s">
        <v>1713</v>
      </c>
      <c r="G857">
        <v>482</v>
      </c>
      <c r="H857">
        <v>1</v>
      </c>
      <c r="I857" t="s">
        <v>156</v>
      </c>
      <c r="J857">
        <v>1</v>
      </c>
      <c r="K857">
        <v>1</v>
      </c>
      <c r="L857">
        <v>5</v>
      </c>
      <c r="M857">
        <v>325</v>
      </c>
      <c r="N857">
        <v>385</v>
      </c>
      <c r="O857">
        <v>6</v>
      </c>
      <c r="P857">
        <v>368</v>
      </c>
      <c r="Q857">
        <v>95</v>
      </c>
      <c r="R857">
        <v>53</v>
      </c>
      <c r="S857">
        <v>15</v>
      </c>
      <c r="T857">
        <v>7</v>
      </c>
      <c r="U857">
        <v>21</v>
      </c>
      <c r="V857">
        <v>14</v>
      </c>
      <c r="W857">
        <v>4</v>
      </c>
      <c r="X857">
        <v>3</v>
      </c>
      <c r="Y857">
        <v>133</v>
      </c>
      <c r="Z857">
        <v>7</v>
      </c>
      <c r="AA857">
        <v>3</v>
      </c>
      <c r="AB857">
        <v>1</v>
      </c>
      <c r="AC857">
        <v>2</v>
      </c>
      <c r="AD857">
        <v>2</v>
      </c>
      <c r="AE857">
        <v>1</v>
      </c>
      <c r="AF857">
        <v>1</v>
      </c>
      <c r="AK857">
        <v>2</v>
      </c>
      <c r="AL857">
        <v>3</v>
      </c>
      <c r="AM857">
        <v>0</v>
      </c>
      <c r="AN857">
        <v>3</v>
      </c>
      <c r="AT857">
        <v>1</v>
      </c>
      <c r="BC857">
        <v>0</v>
      </c>
      <c r="BD857">
        <v>17</v>
      </c>
      <c r="BE857">
        <v>388</v>
      </c>
      <c r="BF857">
        <v>388</v>
      </c>
      <c r="BG857">
        <v>688</v>
      </c>
      <c r="BJ857">
        <v>1</v>
      </c>
      <c r="BL857" t="s">
        <v>1840</v>
      </c>
      <c r="BM857" s="4">
        <v>43283.144444444442</v>
      </c>
      <c r="BN857" s="4">
        <v>43283.152453703704</v>
      </c>
      <c r="BO857" s="4">
        <v>43283.152453703704</v>
      </c>
      <c r="BP857" t="s">
        <v>92</v>
      </c>
      <c r="BQ857" t="s">
        <v>93</v>
      </c>
      <c r="BR857" t="s">
        <v>94</v>
      </c>
    </row>
    <row r="858" spans="1:70" x14ac:dyDescent="0.3">
      <c r="A858" t="str">
        <f>"200482E0200"</f>
        <v>200482E0200</v>
      </c>
      <c r="B858" s="2" t="s">
        <v>1841</v>
      </c>
      <c r="C858">
        <v>20</v>
      </c>
      <c r="D858" t="s">
        <v>88</v>
      </c>
      <c r="E858">
        <v>66</v>
      </c>
      <c r="F858" t="s">
        <v>1713</v>
      </c>
      <c r="G858">
        <v>482</v>
      </c>
      <c r="H858">
        <v>2</v>
      </c>
      <c r="I858" t="s">
        <v>156</v>
      </c>
      <c r="J858">
        <v>0</v>
      </c>
      <c r="K858">
        <v>1</v>
      </c>
      <c r="L858">
        <v>5</v>
      </c>
      <c r="M858">
        <v>216</v>
      </c>
      <c r="N858">
        <v>309</v>
      </c>
      <c r="O858">
        <v>7</v>
      </c>
      <c r="P858">
        <v>306</v>
      </c>
      <c r="Q858">
        <v>71</v>
      </c>
      <c r="R858">
        <v>30</v>
      </c>
      <c r="S858">
        <v>7</v>
      </c>
      <c r="T858">
        <v>8</v>
      </c>
      <c r="U858">
        <v>9</v>
      </c>
      <c r="V858">
        <v>5</v>
      </c>
      <c r="W858">
        <v>4</v>
      </c>
      <c r="X858">
        <v>3</v>
      </c>
      <c r="Y858">
        <v>136</v>
      </c>
      <c r="Z858">
        <v>6</v>
      </c>
      <c r="AA858">
        <v>1</v>
      </c>
      <c r="AB858">
        <v>2</v>
      </c>
      <c r="AC858">
        <v>4</v>
      </c>
      <c r="AD858">
        <v>2</v>
      </c>
      <c r="AE858">
        <v>0</v>
      </c>
      <c r="AF858">
        <v>0</v>
      </c>
      <c r="AK858">
        <v>2</v>
      </c>
      <c r="AL858">
        <v>1</v>
      </c>
      <c r="AM858">
        <v>2</v>
      </c>
      <c r="AN858">
        <v>2</v>
      </c>
      <c r="AT858" t="s">
        <v>105</v>
      </c>
      <c r="BC858" t="s">
        <v>105</v>
      </c>
      <c r="BD858">
        <v>11</v>
      </c>
      <c r="BE858">
        <v>306</v>
      </c>
      <c r="BF858">
        <v>306</v>
      </c>
      <c r="BG858">
        <v>503</v>
      </c>
      <c r="BI858" t="s">
        <v>106</v>
      </c>
      <c r="BJ858">
        <v>1</v>
      </c>
      <c r="BL858" t="s">
        <v>1842</v>
      </c>
      <c r="BM858" s="4">
        <v>43283.068055555559</v>
      </c>
      <c r="BN858" s="4">
        <v>43283.073020833333</v>
      </c>
      <c r="BO858" s="4">
        <v>43283.073020833333</v>
      </c>
      <c r="BP858" t="s">
        <v>92</v>
      </c>
      <c r="BQ858" t="s">
        <v>93</v>
      </c>
      <c r="BR858" t="s">
        <v>94</v>
      </c>
    </row>
    <row r="859" spans="1:70" x14ac:dyDescent="0.3">
      <c r="A859" t="str">
        <f>"200482E0201"</f>
        <v>200482E0201</v>
      </c>
      <c r="B859" s="2" t="s">
        <v>1843</v>
      </c>
      <c r="C859">
        <v>20</v>
      </c>
      <c r="D859" t="s">
        <v>88</v>
      </c>
      <c r="E859">
        <v>66</v>
      </c>
      <c r="F859" t="s">
        <v>1713</v>
      </c>
      <c r="G859">
        <v>482</v>
      </c>
      <c r="H859">
        <v>2</v>
      </c>
      <c r="I859" t="s">
        <v>156</v>
      </c>
      <c r="J859">
        <v>1</v>
      </c>
      <c r="K859">
        <v>1</v>
      </c>
      <c r="L859">
        <v>5</v>
      </c>
      <c r="M859">
        <v>223</v>
      </c>
      <c r="N859">
        <v>302</v>
      </c>
      <c r="O859">
        <v>8</v>
      </c>
      <c r="P859">
        <v>300</v>
      </c>
      <c r="Q859">
        <v>58</v>
      </c>
      <c r="R859">
        <v>34</v>
      </c>
      <c r="S859">
        <v>14</v>
      </c>
      <c r="T859">
        <v>5</v>
      </c>
      <c r="U859">
        <v>21</v>
      </c>
      <c r="V859">
        <v>9</v>
      </c>
      <c r="W859">
        <v>9</v>
      </c>
      <c r="X859">
        <v>1</v>
      </c>
      <c r="Y859">
        <v>115</v>
      </c>
      <c r="Z859">
        <v>2</v>
      </c>
      <c r="AA859">
        <v>2</v>
      </c>
      <c r="AB859">
        <v>4</v>
      </c>
      <c r="AC859">
        <v>3</v>
      </c>
      <c r="AD859">
        <v>0</v>
      </c>
      <c r="AE859">
        <v>0</v>
      </c>
      <c r="AF859">
        <v>0</v>
      </c>
      <c r="AK859">
        <v>5</v>
      </c>
      <c r="AL859">
        <v>2</v>
      </c>
      <c r="AM859">
        <v>0</v>
      </c>
      <c r="AN859">
        <v>0</v>
      </c>
      <c r="AT859">
        <v>2</v>
      </c>
      <c r="BC859">
        <v>0</v>
      </c>
      <c r="BD859">
        <v>14</v>
      </c>
      <c r="BE859">
        <v>300</v>
      </c>
      <c r="BF859">
        <v>300</v>
      </c>
      <c r="BG859">
        <v>503</v>
      </c>
      <c r="BJ859">
        <v>1</v>
      </c>
      <c r="BL859" t="s">
        <v>1844</v>
      </c>
      <c r="BM859" s="4">
        <v>43283.068749999999</v>
      </c>
      <c r="BN859" s="4">
        <v>43283.072789351849</v>
      </c>
      <c r="BO859" s="4">
        <v>43283.072789351849</v>
      </c>
      <c r="BP859" t="s">
        <v>92</v>
      </c>
      <c r="BQ859" t="s">
        <v>93</v>
      </c>
      <c r="BR859" t="s">
        <v>94</v>
      </c>
    </row>
    <row r="860" spans="1:70" x14ac:dyDescent="0.3">
      <c r="A860" t="str">
        <f>"200482E0202"</f>
        <v>200482E0202</v>
      </c>
      <c r="B860" s="2" t="s">
        <v>1845</v>
      </c>
      <c r="C860">
        <v>20</v>
      </c>
      <c r="D860" t="s">
        <v>88</v>
      </c>
      <c r="E860">
        <v>66</v>
      </c>
      <c r="F860" t="s">
        <v>1713</v>
      </c>
      <c r="G860">
        <v>482</v>
      </c>
      <c r="H860">
        <v>2</v>
      </c>
      <c r="I860" t="s">
        <v>156</v>
      </c>
      <c r="J860">
        <v>2</v>
      </c>
      <c r="K860">
        <v>1</v>
      </c>
      <c r="L860">
        <v>5</v>
      </c>
      <c r="M860">
        <v>201</v>
      </c>
      <c r="N860">
        <v>322</v>
      </c>
      <c r="O860">
        <v>4</v>
      </c>
      <c r="P860">
        <v>330</v>
      </c>
      <c r="Q860">
        <v>72</v>
      </c>
      <c r="R860">
        <v>24</v>
      </c>
      <c r="S860">
        <v>16</v>
      </c>
      <c r="T860">
        <v>8</v>
      </c>
      <c r="U860">
        <v>18</v>
      </c>
      <c r="V860">
        <v>6</v>
      </c>
      <c r="W860">
        <v>2</v>
      </c>
      <c r="X860">
        <v>2</v>
      </c>
      <c r="Y860">
        <v>140</v>
      </c>
      <c r="Z860">
        <v>7</v>
      </c>
      <c r="AA860">
        <v>3</v>
      </c>
      <c r="AB860">
        <v>1</v>
      </c>
      <c r="AC860">
        <v>2</v>
      </c>
      <c r="AD860">
        <v>1</v>
      </c>
      <c r="AE860">
        <v>0</v>
      </c>
      <c r="AF860">
        <v>0</v>
      </c>
      <c r="AK860">
        <v>6</v>
      </c>
      <c r="AL860">
        <v>6</v>
      </c>
      <c r="AM860">
        <v>2</v>
      </c>
      <c r="AN860">
        <v>0</v>
      </c>
      <c r="AT860">
        <v>0</v>
      </c>
      <c r="BC860">
        <v>0</v>
      </c>
      <c r="BD860">
        <v>14</v>
      </c>
      <c r="BE860">
        <v>330</v>
      </c>
      <c r="BF860">
        <v>330</v>
      </c>
      <c r="BG860">
        <v>502</v>
      </c>
      <c r="BJ860">
        <v>1</v>
      </c>
      <c r="BL860" t="s">
        <v>1846</v>
      </c>
      <c r="BM860" s="4">
        <v>43283.100694444445</v>
      </c>
      <c r="BN860" s="4">
        <v>43283.105046296296</v>
      </c>
      <c r="BO860" s="4">
        <v>43283.105046296296</v>
      </c>
      <c r="BP860" t="s">
        <v>92</v>
      </c>
      <c r="BQ860" t="s">
        <v>93</v>
      </c>
      <c r="BR860" t="s">
        <v>94</v>
      </c>
    </row>
    <row r="861" spans="1:70" x14ac:dyDescent="0.3">
      <c r="A861" t="str">
        <f>"200483B0100"</f>
        <v>200483B0100</v>
      </c>
      <c r="B861" t="s">
        <v>1847</v>
      </c>
      <c r="C861">
        <v>20</v>
      </c>
      <c r="D861" t="s">
        <v>88</v>
      </c>
      <c r="E861">
        <v>66</v>
      </c>
      <c r="F861" t="s">
        <v>1713</v>
      </c>
      <c r="G861">
        <v>483</v>
      </c>
      <c r="H861">
        <v>1</v>
      </c>
      <c r="I861" t="s">
        <v>90</v>
      </c>
      <c r="J861">
        <v>0</v>
      </c>
      <c r="K861">
        <v>1</v>
      </c>
      <c r="L861">
        <v>5</v>
      </c>
      <c r="M861">
        <v>204</v>
      </c>
      <c r="N861">
        <v>368</v>
      </c>
      <c r="O861">
        <v>6</v>
      </c>
      <c r="P861">
        <v>366</v>
      </c>
      <c r="Q861">
        <v>62</v>
      </c>
      <c r="R861">
        <v>38</v>
      </c>
      <c r="S861">
        <v>15</v>
      </c>
      <c r="T861">
        <v>5</v>
      </c>
      <c r="U861">
        <v>16</v>
      </c>
      <c r="V861">
        <v>3</v>
      </c>
      <c r="W861">
        <v>7</v>
      </c>
      <c r="X861">
        <v>3</v>
      </c>
      <c r="Y861">
        <v>187</v>
      </c>
      <c r="Z861">
        <v>7</v>
      </c>
      <c r="AA861">
        <v>3</v>
      </c>
      <c r="AB861">
        <v>7</v>
      </c>
      <c r="AC861">
        <v>3</v>
      </c>
      <c r="AD861">
        <v>1</v>
      </c>
      <c r="AE861">
        <v>0</v>
      </c>
      <c r="AF861">
        <v>0</v>
      </c>
      <c r="AK861">
        <v>4</v>
      </c>
      <c r="AL861">
        <v>0</v>
      </c>
      <c r="AM861">
        <v>0</v>
      </c>
      <c r="AN861">
        <v>0</v>
      </c>
      <c r="AT861">
        <v>2</v>
      </c>
      <c r="BC861">
        <v>0</v>
      </c>
      <c r="BD861">
        <v>3</v>
      </c>
      <c r="BE861">
        <v>366</v>
      </c>
      <c r="BF861">
        <v>366</v>
      </c>
      <c r="BG861">
        <v>549</v>
      </c>
      <c r="BJ861">
        <v>1</v>
      </c>
      <c r="BL861" t="s">
        <v>1848</v>
      </c>
      <c r="BM861" s="4">
        <v>43283.145833333336</v>
      </c>
      <c r="BN861" s="4">
        <v>43283.154421296298</v>
      </c>
      <c r="BO861" s="4">
        <v>43283.154421296298</v>
      </c>
      <c r="BP861" t="s">
        <v>92</v>
      </c>
      <c r="BQ861" t="s">
        <v>93</v>
      </c>
      <c r="BR861" t="s">
        <v>94</v>
      </c>
    </row>
    <row r="862" spans="1:70" x14ac:dyDescent="0.3">
      <c r="A862" t="str">
        <f>"200483C0100"</f>
        <v>200483C0100</v>
      </c>
      <c r="B862" t="s">
        <v>1849</v>
      </c>
      <c r="C862">
        <v>20</v>
      </c>
      <c r="D862" t="s">
        <v>88</v>
      </c>
      <c r="E862">
        <v>66</v>
      </c>
      <c r="F862" t="s">
        <v>1713</v>
      </c>
      <c r="G862">
        <v>483</v>
      </c>
      <c r="H862">
        <v>1</v>
      </c>
      <c r="I862" t="s">
        <v>98</v>
      </c>
      <c r="J862">
        <v>0</v>
      </c>
      <c r="K862">
        <v>1</v>
      </c>
      <c r="L862">
        <v>5</v>
      </c>
      <c r="M862">
        <v>186</v>
      </c>
      <c r="N862">
        <v>387</v>
      </c>
      <c r="O862">
        <v>8</v>
      </c>
      <c r="P862">
        <v>386</v>
      </c>
      <c r="Q862">
        <v>63</v>
      </c>
      <c r="R862">
        <v>37</v>
      </c>
      <c r="S862">
        <v>10</v>
      </c>
      <c r="T862">
        <v>3</v>
      </c>
      <c r="U862">
        <v>12</v>
      </c>
      <c r="V862">
        <v>16</v>
      </c>
      <c r="W862">
        <v>3</v>
      </c>
      <c r="X862">
        <v>6</v>
      </c>
      <c r="Y862">
        <v>199</v>
      </c>
      <c r="Z862">
        <v>7</v>
      </c>
      <c r="AA862">
        <v>0</v>
      </c>
      <c r="AB862">
        <v>10</v>
      </c>
      <c r="AC862">
        <v>4</v>
      </c>
      <c r="AD862">
        <v>1</v>
      </c>
      <c r="AE862">
        <v>0</v>
      </c>
      <c r="AF862">
        <v>1</v>
      </c>
      <c r="AK862">
        <v>2</v>
      </c>
      <c r="AL862">
        <v>1</v>
      </c>
      <c r="AM862">
        <v>0</v>
      </c>
      <c r="AN862">
        <v>3</v>
      </c>
      <c r="AT862">
        <v>4</v>
      </c>
      <c r="BC862">
        <v>0</v>
      </c>
      <c r="BD862">
        <v>4</v>
      </c>
      <c r="BE862">
        <v>386</v>
      </c>
      <c r="BF862">
        <v>386</v>
      </c>
      <c r="BG862">
        <v>549</v>
      </c>
      <c r="BJ862">
        <v>1</v>
      </c>
      <c r="BL862" t="s">
        <v>1850</v>
      </c>
      <c r="BM862" s="4">
        <v>43283.147222222222</v>
      </c>
      <c r="BN862" s="4">
        <v>43283.155798611115</v>
      </c>
      <c r="BO862" s="4">
        <v>43283.155798611115</v>
      </c>
      <c r="BP862" t="s">
        <v>92</v>
      </c>
      <c r="BQ862" t="s">
        <v>93</v>
      </c>
      <c r="BR862" t="s">
        <v>94</v>
      </c>
    </row>
    <row r="863" spans="1:70" x14ac:dyDescent="0.3">
      <c r="A863" t="str">
        <f>"200483C0200"</f>
        <v>200483C0200</v>
      </c>
      <c r="B863" t="s">
        <v>1851</v>
      </c>
      <c r="C863">
        <v>20</v>
      </c>
      <c r="D863" t="s">
        <v>88</v>
      </c>
      <c r="E863">
        <v>66</v>
      </c>
      <c r="F863" t="s">
        <v>1713</v>
      </c>
      <c r="G863">
        <v>483</v>
      </c>
      <c r="H863">
        <v>2</v>
      </c>
      <c r="I863" t="s">
        <v>98</v>
      </c>
      <c r="J863">
        <v>0</v>
      </c>
      <c r="K863">
        <v>1</v>
      </c>
      <c r="L863">
        <v>5</v>
      </c>
      <c r="M863">
        <v>211</v>
      </c>
      <c r="N863">
        <v>360</v>
      </c>
      <c r="O863">
        <v>6</v>
      </c>
      <c r="P863">
        <v>360</v>
      </c>
      <c r="Q863">
        <v>51</v>
      </c>
      <c r="R863">
        <v>66</v>
      </c>
      <c r="S863">
        <v>4</v>
      </c>
      <c r="T863">
        <v>5</v>
      </c>
      <c r="U863">
        <v>12</v>
      </c>
      <c r="V863">
        <v>10</v>
      </c>
      <c r="W863">
        <v>6</v>
      </c>
      <c r="X863">
        <v>3</v>
      </c>
      <c r="Y863">
        <v>168</v>
      </c>
      <c r="Z863">
        <v>9</v>
      </c>
      <c r="AA863">
        <v>5</v>
      </c>
      <c r="AB863">
        <v>7</v>
      </c>
      <c r="AC863">
        <v>2</v>
      </c>
      <c r="AD863">
        <v>0</v>
      </c>
      <c r="AE863">
        <v>1</v>
      </c>
      <c r="AF863">
        <v>0</v>
      </c>
      <c r="AK863">
        <v>3</v>
      </c>
      <c r="AL863">
        <v>0</v>
      </c>
      <c r="AM863">
        <v>0</v>
      </c>
      <c r="AN863">
        <v>0</v>
      </c>
      <c r="AT863">
        <v>0</v>
      </c>
      <c r="BC863">
        <v>0</v>
      </c>
      <c r="BD863">
        <v>8</v>
      </c>
      <c r="BE863" t="s">
        <v>127</v>
      </c>
      <c r="BF863">
        <v>360</v>
      </c>
      <c r="BG863">
        <v>549</v>
      </c>
      <c r="BJ863">
        <v>1</v>
      </c>
      <c r="BL863" t="s">
        <v>1852</v>
      </c>
      <c r="BM863" s="4">
        <v>43283.318749999999</v>
      </c>
      <c r="BN863" s="4">
        <v>43283.350266203706</v>
      </c>
      <c r="BO863" s="4">
        <v>43283.350266203706</v>
      </c>
      <c r="BP863" t="s">
        <v>92</v>
      </c>
      <c r="BQ863" t="s">
        <v>93</v>
      </c>
      <c r="BR863" t="s">
        <v>94</v>
      </c>
    </row>
    <row r="864" spans="1:70" x14ac:dyDescent="0.3">
      <c r="A864" t="str">
        <f>"200484B0100"</f>
        <v>200484B0100</v>
      </c>
      <c r="B864" t="s">
        <v>1853</v>
      </c>
      <c r="C864">
        <v>20</v>
      </c>
      <c r="D864" t="s">
        <v>88</v>
      </c>
      <c r="E864">
        <v>66</v>
      </c>
      <c r="F864" t="s">
        <v>1713</v>
      </c>
      <c r="G864">
        <v>484</v>
      </c>
      <c r="H864">
        <v>1</v>
      </c>
      <c r="I864" t="s">
        <v>90</v>
      </c>
      <c r="J864">
        <v>0</v>
      </c>
      <c r="K864">
        <v>1</v>
      </c>
      <c r="L864">
        <v>5</v>
      </c>
      <c r="M864">
        <v>198</v>
      </c>
      <c r="N864">
        <v>531</v>
      </c>
      <c r="O864">
        <v>6</v>
      </c>
      <c r="P864">
        <v>536</v>
      </c>
      <c r="Q864">
        <v>105</v>
      </c>
      <c r="R864">
        <v>58</v>
      </c>
      <c r="S864">
        <v>20</v>
      </c>
      <c r="T864">
        <v>5</v>
      </c>
      <c r="U864">
        <v>24</v>
      </c>
      <c r="V864">
        <v>10</v>
      </c>
      <c r="W864">
        <v>9</v>
      </c>
      <c r="X864">
        <v>9</v>
      </c>
      <c r="Y864">
        <v>262</v>
      </c>
      <c r="Z864">
        <v>4</v>
      </c>
      <c r="AA864">
        <v>0</v>
      </c>
      <c r="AB864">
        <v>10</v>
      </c>
      <c r="AC864">
        <v>2</v>
      </c>
      <c r="AD864">
        <v>0</v>
      </c>
      <c r="AE864">
        <v>0</v>
      </c>
      <c r="AF864">
        <v>0</v>
      </c>
      <c r="AK864">
        <v>2</v>
      </c>
      <c r="AL864">
        <v>3</v>
      </c>
      <c r="AM864">
        <v>0</v>
      </c>
      <c r="AN864">
        <v>0</v>
      </c>
      <c r="AT864">
        <v>2</v>
      </c>
      <c r="BC864">
        <v>0</v>
      </c>
      <c r="BD864">
        <v>11</v>
      </c>
      <c r="BE864">
        <v>536</v>
      </c>
      <c r="BF864">
        <v>536</v>
      </c>
      <c r="BG864">
        <v>702</v>
      </c>
      <c r="BJ864">
        <v>1</v>
      </c>
      <c r="BL864" t="s">
        <v>1854</v>
      </c>
      <c r="BM864" s="4">
        <v>43283.138194444444</v>
      </c>
      <c r="BN864" s="4">
        <v>43283.143784722219</v>
      </c>
      <c r="BO864" s="4">
        <v>43283.143784722219</v>
      </c>
      <c r="BP864" t="s">
        <v>92</v>
      </c>
      <c r="BQ864" t="s">
        <v>93</v>
      </c>
      <c r="BR864" t="s">
        <v>94</v>
      </c>
    </row>
    <row r="865" spans="1:70" x14ac:dyDescent="0.3">
      <c r="A865" t="str">
        <f>"200484C0100"</f>
        <v>200484C0100</v>
      </c>
      <c r="B865" t="s">
        <v>1855</v>
      </c>
      <c r="C865">
        <v>20</v>
      </c>
      <c r="D865" t="s">
        <v>88</v>
      </c>
      <c r="E865">
        <v>66</v>
      </c>
      <c r="F865" t="s">
        <v>1713</v>
      </c>
      <c r="G865">
        <v>484</v>
      </c>
      <c r="H865">
        <v>1</v>
      </c>
      <c r="I865" t="s">
        <v>98</v>
      </c>
      <c r="J865">
        <v>0</v>
      </c>
      <c r="K865">
        <v>1</v>
      </c>
      <c r="L865">
        <v>5</v>
      </c>
      <c r="M865">
        <v>214</v>
      </c>
      <c r="N865">
        <v>508</v>
      </c>
      <c r="O865">
        <v>10</v>
      </c>
      <c r="P865">
        <v>497</v>
      </c>
      <c r="Q865">
        <v>87</v>
      </c>
      <c r="R865">
        <v>73</v>
      </c>
      <c r="S865">
        <v>12</v>
      </c>
      <c r="T865">
        <v>8</v>
      </c>
      <c r="U865">
        <v>13</v>
      </c>
      <c r="V865">
        <v>9</v>
      </c>
      <c r="W865">
        <v>10</v>
      </c>
      <c r="X865">
        <v>9</v>
      </c>
      <c r="Y865">
        <v>227</v>
      </c>
      <c r="Z865">
        <v>8</v>
      </c>
      <c r="AA865">
        <v>7</v>
      </c>
      <c r="AB865">
        <v>14</v>
      </c>
      <c r="AC865">
        <v>1</v>
      </c>
      <c r="AD865">
        <v>0</v>
      </c>
      <c r="AE865">
        <v>1</v>
      </c>
      <c r="AF865">
        <v>0</v>
      </c>
      <c r="AK865">
        <v>3</v>
      </c>
      <c r="AL865">
        <v>4</v>
      </c>
      <c r="AM865">
        <v>0</v>
      </c>
      <c r="AN865">
        <v>1</v>
      </c>
      <c r="AT865">
        <v>1</v>
      </c>
      <c r="BC865">
        <v>0</v>
      </c>
      <c r="BD865">
        <v>9</v>
      </c>
      <c r="BE865">
        <v>497</v>
      </c>
      <c r="BF865">
        <v>497</v>
      </c>
      <c r="BG865">
        <v>701</v>
      </c>
      <c r="BJ865">
        <v>1</v>
      </c>
      <c r="BL865" t="s">
        <v>1856</v>
      </c>
      <c r="BM865" s="4">
        <v>43283.143750000003</v>
      </c>
      <c r="BN865" s="4">
        <v>43283.150057870371</v>
      </c>
      <c r="BO865" s="4">
        <v>43283.150057870371</v>
      </c>
      <c r="BP865" t="s">
        <v>92</v>
      </c>
      <c r="BQ865" t="s">
        <v>93</v>
      </c>
      <c r="BR865" t="s">
        <v>94</v>
      </c>
    </row>
    <row r="866" spans="1:70" x14ac:dyDescent="0.3">
      <c r="A866" t="str">
        <f>"200485B0100"</f>
        <v>200485B0100</v>
      </c>
      <c r="B866" t="s">
        <v>1857</v>
      </c>
      <c r="C866">
        <v>20</v>
      </c>
      <c r="D866" t="s">
        <v>88</v>
      </c>
      <c r="E866">
        <v>66</v>
      </c>
      <c r="F866" t="s">
        <v>1713</v>
      </c>
      <c r="G866">
        <v>485</v>
      </c>
      <c r="H866">
        <v>1</v>
      </c>
      <c r="I866" t="s">
        <v>90</v>
      </c>
      <c r="J866">
        <v>0</v>
      </c>
      <c r="K866">
        <v>1</v>
      </c>
      <c r="L866">
        <v>5</v>
      </c>
      <c r="M866">
        <v>197</v>
      </c>
      <c r="N866">
        <v>485</v>
      </c>
      <c r="O866">
        <v>12</v>
      </c>
      <c r="P866">
        <v>484</v>
      </c>
      <c r="Q866">
        <v>98</v>
      </c>
      <c r="R866">
        <v>57</v>
      </c>
      <c r="S866">
        <v>18</v>
      </c>
      <c r="T866">
        <v>10</v>
      </c>
      <c r="U866">
        <v>23</v>
      </c>
      <c r="V866">
        <v>15</v>
      </c>
      <c r="W866">
        <v>15</v>
      </c>
      <c r="X866">
        <v>6</v>
      </c>
      <c r="Y866">
        <v>207</v>
      </c>
      <c r="Z866">
        <v>5</v>
      </c>
      <c r="AA866">
        <v>0</v>
      </c>
      <c r="AB866">
        <v>12</v>
      </c>
      <c r="AC866">
        <v>0</v>
      </c>
      <c r="AD866">
        <v>3</v>
      </c>
      <c r="AE866">
        <v>0</v>
      </c>
      <c r="AF866">
        <v>0</v>
      </c>
      <c r="AK866">
        <v>3</v>
      </c>
      <c r="AL866">
        <v>3</v>
      </c>
      <c r="AM866">
        <v>1</v>
      </c>
      <c r="AN866">
        <v>0</v>
      </c>
      <c r="AT866">
        <v>1</v>
      </c>
      <c r="BC866">
        <v>0</v>
      </c>
      <c r="BD866">
        <v>7</v>
      </c>
      <c r="BE866">
        <v>484</v>
      </c>
      <c r="BF866">
        <v>484</v>
      </c>
      <c r="BG866">
        <v>660</v>
      </c>
      <c r="BJ866">
        <v>1</v>
      </c>
      <c r="BL866" t="s">
        <v>1858</v>
      </c>
      <c r="BM866" s="4">
        <v>43283.099305555559</v>
      </c>
      <c r="BN866" s="4">
        <v>43283.109456018516</v>
      </c>
      <c r="BO866" s="4">
        <v>43283.109456018516</v>
      </c>
      <c r="BP866" t="s">
        <v>92</v>
      </c>
      <c r="BQ866" t="s">
        <v>93</v>
      </c>
      <c r="BR866" t="s">
        <v>94</v>
      </c>
    </row>
    <row r="867" spans="1:70" x14ac:dyDescent="0.3">
      <c r="A867" t="str">
        <f>"200485C0100"</f>
        <v>200485C0100</v>
      </c>
      <c r="B867" t="s">
        <v>1859</v>
      </c>
      <c r="C867">
        <v>20</v>
      </c>
      <c r="D867" t="s">
        <v>88</v>
      </c>
      <c r="E867">
        <v>66</v>
      </c>
      <c r="F867" t="s">
        <v>1713</v>
      </c>
      <c r="G867">
        <v>485</v>
      </c>
      <c r="H867">
        <v>1</v>
      </c>
      <c r="I867" t="s">
        <v>98</v>
      </c>
      <c r="J867">
        <v>0</v>
      </c>
      <c r="K867">
        <v>1</v>
      </c>
      <c r="L867">
        <v>5</v>
      </c>
      <c r="M867">
        <v>192</v>
      </c>
      <c r="N867">
        <v>489</v>
      </c>
      <c r="O867">
        <v>12</v>
      </c>
      <c r="P867">
        <v>490</v>
      </c>
      <c r="Q867">
        <v>87</v>
      </c>
      <c r="R867">
        <v>73</v>
      </c>
      <c r="S867">
        <v>18</v>
      </c>
      <c r="T867">
        <v>14</v>
      </c>
      <c r="U867">
        <v>18</v>
      </c>
      <c r="V867">
        <v>22</v>
      </c>
      <c r="W867">
        <v>12</v>
      </c>
      <c r="X867">
        <v>2</v>
      </c>
      <c r="Y867">
        <v>206</v>
      </c>
      <c r="Z867">
        <v>6</v>
      </c>
      <c r="AA867">
        <v>2</v>
      </c>
      <c r="AB867">
        <v>11</v>
      </c>
      <c r="AC867">
        <v>1</v>
      </c>
      <c r="AD867">
        <v>0</v>
      </c>
      <c r="AE867">
        <v>0</v>
      </c>
      <c r="AF867">
        <v>0</v>
      </c>
      <c r="AK867">
        <v>3</v>
      </c>
      <c r="AL867">
        <v>0</v>
      </c>
      <c r="AM867">
        <v>0</v>
      </c>
      <c r="AN867">
        <v>1</v>
      </c>
      <c r="AT867">
        <v>2</v>
      </c>
      <c r="BC867">
        <v>0</v>
      </c>
      <c r="BD867">
        <v>12</v>
      </c>
      <c r="BE867">
        <v>490</v>
      </c>
      <c r="BF867">
        <v>490</v>
      </c>
      <c r="BG867">
        <v>659</v>
      </c>
      <c r="BJ867">
        <v>1</v>
      </c>
      <c r="BL867" t="s">
        <v>1860</v>
      </c>
      <c r="BM867" s="4">
        <v>43283.105555555558</v>
      </c>
      <c r="BN867" s="4">
        <v>43283.109861111108</v>
      </c>
      <c r="BO867" s="4">
        <v>43283.109861111108</v>
      </c>
      <c r="BP867" t="s">
        <v>92</v>
      </c>
      <c r="BQ867" t="s">
        <v>93</v>
      </c>
      <c r="BR867" t="s">
        <v>94</v>
      </c>
    </row>
    <row r="868" spans="1:70" x14ac:dyDescent="0.3">
      <c r="A868" t="str">
        <f>"200486B0100"</f>
        <v>200486B0100</v>
      </c>
      <c r="B868" t="s">
        <v>1861</v>
      </c>
      <c r="C868">
        <v>20</v>
      </c>
      <c r="D868" t="s">
        <v>88</v>
      </c>
      <c r="E868">
        <v>66</v>
      </c>
      <c r="F868" t="s">
        <v>1713</v>
      </c>
      <c r="G868">
        <v>486</v>
      </c>
      <c r="H868">
        <v>1</v>
      </c>
      <c r="I868" t="s">
        <v>90</v>
      </c>
      <c r="J868">
        <v>0</v>
      </c>
      <c r="K868">
        <v>1</v>
      </c>
      <c r="L868">
        <v>5</v>
      </c>
      <c r="M868">
        <v>208</v>
      </c>
      <c r="N868">
        <v>416</v>
      </c>
      <c r="O868">
        <v>0</v>
      </c>
      <c r="P868">
        <v>423</v>
      </c>
      <c r="Q868">
        <v>79</v>
      </c>
      <c r="R868">
        <v>41</v>
      </c>
      <c r="S868">
        <v>15</v>
      </c>
      <c r="T868">
        <v>5</v>
      </c>
      <c r="U868">
        <v>19</v>
      </c>
      <c r="V868">
        <v>13</v>
      </c>
      <c r="W868">
        <v>4</v>
      </c>
      <c r="X868">
        <v>2</v>
      </c>
      <c r="Y868">
        <v>194</v>
      </c>
      <c r="Z868">
        <v>6</v>
      </c>
      <c r="AA868">
        <v>5</v>
      </c>
      <c r="AB868">
        <v>7</v>
      </c>
      <c r="AC868">
        <v>4</v>
      </c>
      <c r="AD868">
        <v>1</v>
      </c>
      <c r="AE868">
        <v>0</v>
      </c>
      <c r="AF868">
        <v>0</v>
      </c>
      <c r="AK868">
        <v>13</v>
      </c>
      <c r="AL868">
        <v>2</v>
      </c>
      <c r="AM868">
        <v>0</v>
      </c>
      <c r="AN868">
        <v>2</v>
      </c>
      <c r="AT868">
        <v>2</v>
      </c>
      <c r="BC868">
        <v>0</v>
      </c>
      <c r="BD868">
        <v>9</v>
      </c>
      <c r="BE868">
        <v>423</v>
      </c>
      <c r="BF868">
        <v>423</v>
      </c>
      <c r="BG868">
        <v>609</v>
      </c>
      <c r="BJ868">
        <v>1</v>
      </c>
      <c r="BL868" t="s">
        <v>1862</v>
      </c>
      <c r="BM868" s="4">
        <v>43283.111805555556</v>
      </c>
      <c r="BN868" s="4">
        <v>43283.118530092594</v>
      </c>
      <c r="BO868" s="4">
        <v>43283.118530092594</v>
      </c>
      <c r="BP868" t="s">
        <v>92</v>
      </c>
      <c r="BQ868" t="s">
        <v>93</v>
      </c>
      <c r="BR868" t="s">
        <v>94</v>
      </c>
    </row>
    <row r="869" spans="1:70" x14ac:dyDescent="0.3">
      <c r="A869" t="str">
        <f>"200486C0100"</f>
        <v>200486C0100</v>
      </c>
      <c r="B869" t="s">
        <v>1863</v>
      </c>
      <c r="C869">
        <v>20</v>
      </c>
      <c r="D869" t="s">
        <v>88</v>
      </c>
      <c r="E869">
        <v>66</v>
      </c>
      <c r="F869" t="s">
        <v>1713</v>
      </c>
      <c r="G869">
        <v>486</v>
      </c>
      <c r="H869">
        <v>1</v>
      </c>
      <c r="I869" t="s">
        <v>98</v>
      </c>
      <c r="J869">
        <v>0</v>
      </c>
      <c r="K869">
        <v>1</v>
      </c>
      <c r="L869">
        <v>5</v>
      </c>
      <c r="M869">
        <v>218</v>
      </c>
      <c r="N869">
        <v>414</v>
      </c>
      <c r="O869">
        <v>7</v>
      </c>
      <c r="P869">
        <v>406</v>
      </c>
      <c r="Q869">
        <v>99</v>
      </c>
      <c r="R869">
        <v>50</v>
      </c>
      <c r="S869">
        <v>16</v>
      </c>
      <c r="T869">
        <v>7</v>
      </c>
      <c r="U869">
        <v>11</v>
      </c>
      <c r="V869">
        <v>7</v>
      </c>
      <c r="W869">
        <v>4</v>
      </c>
      <c r="X869">
        <v>5</v>
      </c>
      <c r="Y869">
        <v>183</v>
      </c>
      <c r="Z869">
        <v>7</v>
      </c>
      <c r="AA869">
        <v>2</v>
      </c>
      <c r="AB869">
        <v>6</v>
      </c>
      <c r="AC869">
        <v>2</v>
      </c>
      <c r="AD869">
        <v>1</v>
      </c>
      <c r="AE869">
        <v>0</v>
      </c>
      <c r="AF869">
        <v>0</v>
      </c>
      <c r="AK869">
        <v>5</v>
      </c>
      <c r="AL869">
        <v>0</v>
      </c>
      <c r="AM869">
        <v>0</v>
      </c>
      <c r="AN869">
        <v>2</v>
      </c>
      <c r="AT869">
        <v>2</v>
      </c>
      <c r="BC869">
        <v>1</v>
      </c>
      <c r="BD869">
        <v>15</v>
      </c>
      <c r="BE869">
        <v>425</v>
      </c>
      <c r="BF869">
        <v>425</v>
      </c>
      <c r="BG869">
        <v>609</v>
      </c>
      <c r="BJ869">
        <v>1</v>
      </c>
      <c r="BL869" t="s">
        <v>1864</v>
      </c>
      <c r="BM869" s="4">
        <v>43283.111111111109</v>
      </c>
      <c r="BN869" s="4">
        <v>43283.115567129629</v>
      </c>
      <c r="BO869" s="4">
        <v>43283.115567129629</v>
      </c>
      <c r="BP869" t="s">
        <v>92</v>
      </c>
      <c r="BQ869" t="s">
        <v>93</v>
      </c>
      <c r="BR869" t="s">
        <v>94</v>
      </c>
    </row>
    <row r="870" spans="1:70" x14ac:dyDescent="0.3">
      <c r="A870" t="str">
        <f>"200487B0100"</f>
        <v>200487B0100</v>
      </c>
      <c r="B870" t="s">
        <v>1865</v>
      </c>
      <c r="C870">
        <v>20</v>
      </c>
      <c r="D870" t="s">
        <v>88</v>
      </c>
      <c r="E870">
        <v>66</v>
      </c>
      <c r="F870" t="s">
        <v>1713</v>
      </c>
      <c r="G870">
        <v>487</v>
      </c>
      <c r="H870">
        <v>1</v>
      </c>
      <c r="I870" t="s">
        <v>90</v>
      </c>
      <c r="J870">
        <v>0</v>
      </c>
      <c r="K870">
        <v>1</v>
      </c>
      <c r="L870">
        <v>5</v>
      </c>
      <c r="BG870">
        <v>625</v>
      </c>
      <c r="BI870" t="s">
        <v>122</v>
      </c>
      <c r="BJ870">
        <v>0</v>
      </c>
      <c r="BL870" t="s">
        <v>1866</v>
      </c>
      <c r="BM870" s="4">
        <v>43283.550694444442</v>
      </c>
      <c r="BN870" s="4">
        <v>43283.555173611108</v>
      </c>
      <c r="BO870" s="4">
        <v>43283.555173611108</v>
      </c>
      <c r="BP870" t="s">
        <v>92</v>
      </c>
      <c r="BQ870" t="s">
        <v>93</v>
      </c>
      <c r="BR870" t="s">
        <v>94</v>
      </c>
    </row>
    <row r="871" spans="1:70" x14ac:dyDescent="0.3">
      <c r="A871" t="str">
        <f>"200487C0100"</f>
        <v>200487C0100</v>
      </c>
      <c r="B871" t="s">
        <v>1867</v>
      </c>
      <c r="C871">
        <v>20</v>
      </c>
      <c r="D871" t="s">
        <v>88</v>
      </c>
      <c r="E871">
        <v>66</v>
      </c>
      <c r="F871" t="s">
        <v>1713</v>
      </c>
      <c r="G871">
        <v>487</v>
      </c>
      <c r="H871">
        <v>1</v>
      </c>
      <c r="I871" t="s">
        <v>98</v>
      </c>
      <c r="J871">
        <v>0</v>
      </c>
      <c r="K871">
        <v>1</v>
      </c>
      <c r="L871">
        <v>5</v>
      </c>
      <c r="M871">
        <v>291</v>
      </c>
      <c r="N871">
        <v>355</v>
      </c>
      <c r="O871">
        <v>3</v>
      </c>
      <c r="P871">
        <v>356</v>
      </c>
      <c r="Q871">
        <v>79</v>
      </c>
      <c r="R871">
        <v>26</v>
      </c>
      <c r="S871">
        <v>18</v>
      </c>
      <c r="T871">
        <v>14</v>
      </c>
      <c r="U871">
        <v>13</v>
      </c>
      <c r="V871">
        <v>9</v>
      </c>
      <c r="W871">
        <v>3</v>
      </c>
      <c r="X871">
        <v>7</v>
      </c>
      <c r="Y871">
        <v>157</v>
      </c>
      <c r="Z871">
        <v>2</v>
      </c>
      <c r="AA871">
        <v>0</v>
      </c>
      <c r="AB871">
        <v>4</v>
      </c>
      <c r="AC871">
        <v>5</v>
      </c>
      <c r="AD871">
        <v>2</v>
      </c>
      <c r="AE871">
        <v>0</v>
      </c>
      <c r="AF871">
        <v>0</v>
      </c>
      <c r="AK871">
        <v>3</v>
      </c>
      <c r="AL871">
        <v>1</v>
      </c>
      <c r="AM871">
        <v>0</v>
      </c>
      <c r="AN871">
        <v>2</v>
      </c>
      <c r="AT871">
        <v>0</v>
      </c>
      <c r="BC871">
        <v>0</v>
      </c>
      <c r="BD871">
        <v>11</v>
      </c>
      <c r="BE871">
        <v>356</v>
      </c>
      <c r="BF871">
        <v>356</v>
      </c>
      <c r="BG871">
        <v>624</v>
      </c>
      <c r="BJ871">
        <v>1</v>
      </c>
      <c r="BL871" t="s">
        <v>1868</v>
      </c>
      <c r="BM871" s="4">
        <v>43283.111805555556</v>
      </c>
      <c r="BN871" s="4">
        <v>43283.128807870373</v>
      </c>
      <c r="BO871" s="4">
        <v>43283.128807870373</v>
      </c>
      <c r="BP871" t="s">
        <v>92</v>
      </c>
      <c r="BQ871" t="s">
        <v>93</v>
      </c>
      <c r="BR871" t="s">
        <v>94</v>
      </c>
    </row>
    <row r="872" spans="1:70" x14ac:dyDescent="0.3">
      <c r="A872" t="str">
        <f>"200487C0200"</f>
        <v>200487C0200</v>
      </c>
      <c r="B872" t="s">
        <v>1869</v>
      </c>
      <c r="C872">
        <v>20</v>
      </c>
      <c r="D872" t="s">
        <v>88</v>
      </c>
      <c r="E872">
        <v>66</v>
      </c>
      <c r="F872" t="s">
        <v>1713</v>
      </c>
      <c r="G872">
        <v>487</v>
      </c>
      <c r="H872">
        <v>2</v>
      </c>
      <c r="I872" t="s">
        <v>98</v>
      </c>
      <c r="J872">
        <v>0</v>
      </c>
      <c r="K872">
        <v>1</v>
      </c>
      <c r="L872">
        <v>5</v>
      </c>
      <c r="M872">
        <v>264</v>
      </c>
      <c r="N872" t="s">
        <v>105</v>
      </c>
      <c r="O872">
        <v>3</v>
      </c>
      <c r="P872" t="s">
        <v>105</v>
      </c>
      <c r="Q872">
        <v>93</v>
      </c>
      <c r="R872">
        <v>35</v>
      </c>
      <c r="S872">
        <v>14</v>
      </c>
      <c r="T872">
        <v>17</v>
      </c>
      <c r="U872">
        <v>10</v>
      </c>
      <c r="V872">
        <v>7</v>
      </c>
      <c r="W872">
        <v>5</v>
      </c>
      <c r="X872">
        <v>3</v>
      </c>
      <c r="Y872">
        <v>165</v>
      </c>
      <c r="Z872">
        <v>5</v>
      </c>
      <c r="AA872">
        <v>3</v>
      </c>
      <c r="AB872">
        <v>5</v>
      </c>
      <c r="AC872">
        <v>0</v>
      </c>
      <c r="AD872">
        <v>0</v>
      </c>
      <c r="AE872">
        <v>0</v>
      </c>
      <c r="AF872">
        <v>0</v>
      </c>
      <c r="AK872">
        <v>1</v>
      </c>
      <c r="AL872">
        <v>4</v>
      </c>
      <c r="AM872">
        <v>0</v>
      </c>
      <c r="AN872">
        <v>2</v>
      </c>
      <c r="AT872">
        <v>3</v>
      </c>
      <c r="BC872" t="s">
        <v>105</v>
      </c>
      <c r="BD872">
        <v>11</v>
      </c>
      <c r="BE872">
        <v>383</v>
      </c>
      <c r="BF872">
        <v>383</v>
      </c>
      <c r="BG872">
        <v>624</v>
      </c>
      <c r="BI872" t="s">
        <v>106</v>
      </c>
      <c r="BJ872">
        <v>1</v>
      </c>
      <c r="BL872" t="s">
        <v>1870</v>
      </c>
      <c r="BM872" s="4">
        <v>43283.111805555556</v>
      </c>
      <c r="BN872" s="4">
        <v>43283.117569444446</v>
      </c>
      <c r="BO872" s="4">
        <v>43283.117569444446</v>
      </c>
      <c r="BP872" t="s">
        <v>92</v>
      </c>
      <c r="BQ872" t="s">
        <v>93</v>
      </c>
      <c r="BR872" t="s">
        <v>94</v>
      </c>
    </row>
    <row r="873" spans="1:70" x14ac:dyDescent="0.3">
      <c r="A873" t="str">
        <f>"200488B0100"</f>
        <v>200488B0100</v>
      </c>
      <c r="B873" t="s">
        <v>1871</v>
      </c>
      <c r="C873">
        <v>20</v>
      </c>
      <c r="D873" t="s">
        <v>88</v>
      </c>
      <c r="E873">
        <v>66</v>
      </c>
      <c r="F873" t="s">
        <v>1713</v>
      </c>
      <c r="G873">
        <v>488</v>
      </c>
      <c r="H873">
        <v>1</v>
      </c>
      <c r="I873" t="s">
        <v>90</v>
      </c>
      <c r="J873">
        <v>0</v>
      </c>
      <c r="K873">
        <v>1</v>
      </c>
      <c r="L873">
        <v>5</v>
      </c>
      <c r="M873">
        <v>178</v>
      </c>
      <c r="N873">
        <v>352</v>
      </c>
      <c r="O873">
        <v>2</v>
      </c>
      <c r="P873">
        <v>352</v>
      </c>
      <c r="Q873">
        <v>68</v>
      </c>
      <c r="R873">
        <v>44</v>
      </c>
      <c r="S873">
        <v>9</v>
      </c>
      <c r="T873">
        <v>2</v>
      </c>
      <c r="U873">
        <v>11</v>
      </c>
      <c r="V873">
        <v>4</v>
      </c>
      <c r="W873">
        <v>5</v>
      </c>
      <c r="X873">
        <v>11</v>
      </c>
      <c r="Y873">
        <v>163</v>
      </c>
      <c r="Z873">
        <v>7</v>
      </c>
      <c r="AA873">
        <v>0</v>
      </c>
      <c r="AB873">
        <v>6</v>
      </c>
      <c r="AC873">
        <v>3</v>
      </c>
      <c r="AD873">
        <v>1</v>
      </c>
      <c r="AE873">
        <v>0</v>
      </c>
      <c r="AF873">
        <v>0</v>
      </c>
      <c r="AK873">
        <v>2</v>
      </c>
      <c r="AL873">
        <v>0</v>
      </c>
      <c r="AM873">
        <v>0</v>
      </c>
      <c r="AN873">
        <v>1</v>
      </c>
      <c r="AT873">
        <v>1</v>
      </c>
      <c r="BC873">
        <v>0</v>
      </c>
      <c r="BD873">
        <v>14</v>
      </c>
      <c r="BE873">
        <v>352</v>
      </c>
      <c r="BF873">
        <v>352</v>
      </c>
      <c r="BG873">
        <v>508</v>
      </c>
      <c r="BJ873">
        <v>1</v>
      </c>
      <c r="BL873" t="s">
        <v>1872</v>
      </c>
      <c r="BM873" s="4">
        <v>43283.09652777778</v>
      </c>
      <c r="BN873" s="4">
        <v>43283.100601851853</v>
      </c>
      <c r="BO873" s="4">
        <v>43283.100601851853</v>
      </c>
      <c r="BP873" t="s">
        <v>92</v>
      </c>
      <c r="BQ873" t="s">
        <v>93</v>
      </c>
      <c r="BR873" t="s">
        <v>94</v>
      </c>
    </row>
    <row r="874" spans="1:70" x14ac:dyDescent="0.3">
      <c r="A874" t="str">
        <f>"200488C0100"</f>
        <v>200488C0100</v>
      </c>
      <c r="B874" t="s">
        <v>1873</v>
      </c>
      <c r="C874">
        <v>20</v>
      </c>
      <c r="D874" t="s">
        <v>88</v>
      </c>
      <c r="E874">
        <v>66</v>
      </c>
      <c r="F874" t="s">
        <v>1713</v>
      </c>
      <c r="G874">
        <v>488</v>
      </c>
      <c r="H874">
        <v>1</v>
      </c>
      <c r="I874" t="s">
        <v>98</v>
      </c>
      <c r="J874">
        <v>0</v>
      </c>
      <c r="K874">
        <v>1</v>
      </c>
      <c r="L874">
        <v>5</v>
      </c>
      <c r="M874">
        <v>193</v>
      </c>
      <c r="N874">
        <v>337</v>
      </c>
      <c r="O874">
        <v>5</v>
      </c>
      <c r="P874">
        <v>337</v>
      </c>
      <c r="Q874">
        <v>73</v>
      </c>
      <c r="R874">
        <v>47</v>
      </c>
      <c r="S874">
        <v>6</v>
      </c>
      <c r="T874">
        <v>8</v>
      </c>
      <c r="U874">
        <v>15</v>
      </c>
      <c r="V874">
        <v>6</v>
      </c>
      <c r="W874">
        <v>4</v>
      </c>
      <c r="X874">
        <v>4</v>
      </c>
      <c r="Y874">
        <v>141</v>
      </c>
      <c r="Z874">
        <v>4</v>
      </c>
      <c r="AA874">
        <v>1</v>
      </c>
      <c r="AB874">
        <v>11</v>
      </c>
      <c r="AC874">
        <v>2</v>
      </c>
      <c r="AD874">
        <v>0</v>
      </c>
      <c r="AE874">
        <v>0</v>
      </c>
      <c r="AF874">
        <v>0</v>
      </c>
      <c r="AK874">
        <v>6</v>
      </c>
      <c r="AL874">
        <v>0</v>
      </c>
      <c r="AM874">
        <v>0</v>
      </c>
      <c r="AN874">
        <v>1</v>
      </c>
      <c r="AT874">
        <v>2</v>
      </c>
      <c r="BC874">
        <v>0</v>
      </c>
      <c r="BD874">
        <v>6</v>
      </c>
      <c r="BE874">
        <v>337</v>
      </c>
      <c r="BF874">
        <v>337</v>
      </c>
      <c r="BG874">
        <v>508</v>
      </c>
      <c r="BJ874">
        <v>1</v>
      </c>
      <c r="BL874" t="s">
        <v>1874</v>
      </c>
      <c r="BM874" s="4">
        <v>43283.147222222222</v>
      </c>
      <c r="BN874" s="4">
        <v>43283.159675925926</v>
      </c>
      <c r="BO874" s="4">
        <v>43283.159675925926</v>
      </c>
      <c r="BP874" t="s">
        <v>92</v>
      </c>
      <c r="BQ874" t="s">
        <v>93</v>
      </c>
      <c r="BR874" t="s">
        <v>94</v>
      </c>
    </row>
    <row r="875" spans="1:70" x14ac:dyDescent="0.3">
      <c r="A875" t="str">
        <f>"200488C0200"</f>
        <v>200488C0200</v>
      </c>
      <c r="B875" t="s">
        <v>1875</v>
      </c>
      <c r="C875">
        <v>20</v>
      </c>
      <c r="D875" t="s">
        <v>88</v>
      </c>
      <c r="E875">
        <v>66</v>
      </c>
      <c r="F875" t="s">
        <v>1713</v>
      </c>
      <c r="G875">
        <v>488</v>
      </c>
      <c r="H875">
        <v>2</v>
      </c>
      <c r="I875" t="s">
        <v>98</v>
      </c>
      <c r="J875">
        <v>0</v>
      </c>
      <c r="K875">
        <v>1</v>
      </c>
      <c r="L875">
        <v>5</v>
      </c>
      <c r="BG875">
        <v>507</v>
      </c>
      <c r="BI875" t="s">
        <v>122</v>
      </c>
      <c r="BJ875">
        <v>0</v>
      </c>
      <c r="BL875" t="s">
        <v>1876</v>
      </c>
      <c r="BM875" s="4">
        <v>43283.550694444442</v>
      </c>
      <c r="BN875" s="4">
        <v>43283.555081018516</v>
      </c>
      <c r="BO875" s="4">
        <v>43283.555081018516</v>
      </c>
      <c r="BP875" t="s">
        <v>92</v>
      </c>
      <c r="BQ875" t="s">
        <v>93</v>
      </c>
      <c r="BR875" t="s">
        <v>94</v>
      </c>
    </row>
    <row r="876" spans="1:70" x14ac:dyDescent="0.3">
      <c r="A876" t="str">
        <f>"200489B0100"</f>
        <v>200489B0100</v>
      </c>
      <c r="B876" t="s">
        <v>1877</v>
      </c>
      <c r="C876">
        <v>20</v>
      </c>
      <c r="D876" t="s">
        <v>88</v>
      </c>
      <c r="E876">
        <v>66</v>
      </c>
      <c r="F876" t="s">
        <v>1713</v>
      </c>
      <c r="G876">
        <v>489</v>
      </c>
      <c r="H876">
        <v>1</v>
      </c>
      <c r="I876" t="s">
        <v>90</v>
      </c>
      <c r="J876">
        <v>0</v>
      </c>
      <c r="K876">
        <v>1</v>
      </c>
      <c r="L876">
        <v>5</v>
      </c>
      <c r="M876">
        <v>148</v>
      </c>
      <c r="N876">
        <v>391</v>
      </c>
      <c r="O876">
        <v>2</v>
      </c>
      <c r="P876">
        <v>398</v>
      </c>
      <c r="Q876">
        <v>68</v>
      </c>
      <c r="R876">
        <v>109</v>
      </c>
      <c r="S876">
        <v>10</v>
      </c>
      <c r="T876">
        <v>9</v>
      </c>
      <c r="U876">
        <v>16</v>
      </c>
      <c r="V876">
        <v>8</v>
      </c>
      <c r="W876">
        <v>8</v>
      </c>
      <c r="X876">
        <v>2</v>
      </c>
      <c r="Y876">
        <v>136</v>
      </c>
      <c r="Z876">
        <v>8</v>
      </c>
      <c r="AA876">
        <v>1</v>
      </c>
      <c r="AB876">
        <v>7</v>
      </c>
      <c r="AC876">
        <v>2</v>
      </c>
      <c r="AD876">
        <v>0</v>
      </c>
      <c r="AE876">
        <v>0</v>
      </c>
      <c r="AF876">
        <v>0</v>
      </c>
      <c r="AK876">
        <v>5</v>
      </c>
      <c r="AL876">
        <v>0</v>
      </c>
      <c r="AM876">
        <v>0</v>
      </c>
      <c r="AN876">
        <v>0</v>
      </c>
      <c r="AT876">
        <v>3</v>
      </c>
      <c r="BC876">
        <v>0</v>
      </c>
      <c r="BD876">
        <v>6</v>
      </c>
      <c r="BE876">
        <v>398</v>
      </c>
      <c r="BF876">
        <v>398</v>
      </c>
      <c r="BG876">
        <v>517</v>
      </c>
      <c r="BJ876">
        <v>1</v>
      </c>
      <c r="BL876" t="s">
        <v>1878</v>
      </c>
      <c r="BM876" s="4">
        <v>43283.048611111109</v>
      </c>
      <c r="BN876" s="4">
        <v>43283.052662037036</v>
      </c>
      <c r="BO876" s="4">
        <v>43283.052662037036</v>
      </c>
      <c r="BP876" t="s">
        <v>92</v>
      </c>
      <c r="BQ876" t="s">
        <v>93</v>
      </c>
      <c r="BR876" t="s">
        <v>94</v>
      </c>
    </row>
    <row r="877" spans="1:70" x14ac:dyDescent="0.3">
      <c r="A877" t="str">
        <f>"200489C0100"</f>
        <v>200489C0100</v>
      </c>
      <c r="B877" t="s">
        <v>1879</v>
      </c>
      <c r="C877">
        <v>20</v>
      </c>
      <c r="D877" t="s">
        <v>88</v>
      </c>
      <c r="E877">
        <v>66</v>
      </c>
      <c r="F877" t="s">
        <v>1713</v>
      </c>
      <c r="G877">
        <v>489</v>
      </c>
      <c r="H877">
        <v>1</v>
      </c>
      <c r="I877" t="s">
        <v>98</v>
      </c>
      <c r="J877">
        <v>0</v>
      </c>
      <c r="K877">
        <v>1</v>
      </c>
      <c r="L877">
        <v>5</v>
      </c>
      <c r="M877">
        <v>175</v>
      </c>
      <c r="N877">
        <v>365</v>
      </c>
      <c r="O877">
        <v>7</v>
      </c>
      <c r="P877">
        <v>364</v>
      </c>
      <c r="Q877">
        <v>75</v>
      </c>
      <c r="R877">
        <v>84</v>
      </c>
      <c r="S877">
        <v>8</v>
      </c>
      <c r="T877">
        <v>3</v>
      </c>
      <c r="U877">
        <v>12</v>
      </c>
      <c r="V877">
        <v>6</v>
      </c>
      <c r="W877">
        <v>3</v>
      </c>
      <c r="X877">
        <v>6</v>
      </c>
      <c r="Y877">
        <v>130</v>
      </c>
      <c r="Z877">
        <v>5</v>
      </c>
      <c r="AA877">
        <v>2</v>
      </c>
      <c r="AB877">
        <v>10</v>
      </c>
      <c r="AC877">
        <v>1</v>
      </c>
      <c r="AD877">
        <v>0</v>
      </c>
      <c r="AE877">
        <v>0</v>
      </c>
      <c r="AF877">
        <v>0</v>
      </c>
      <c r="AK877">
        <v>4</v>
      </c>
      <c r="AL877">
        <v>1</v>
      </c>
      <c r="AM877">
        <v>0</v>
      </c>
      <c r="AN877">
        <v>0</v>
      </c>
      <c r="AT877">
        <v>1</v>
      </c>
      <c r="BC877">
        <v>0</v>
      </c>
      <c r="BD877">
        <v>12</v>
      </c>
      <c r="BE877">
        <v>364</v>
      </c>
      <c r="BF877">
        <v>363</v>
      </c>
      <c r="BG877">
        <v>517</v>
      </c>
      <c r="BJ877">
        <v>1</v>
      </c>
      <c r="BL877" t="s">
        <v>1880</v>
      </c>
      <c r="BM877" s="4">
        <v>43283.111111111109</v>
      </c>
      <c r="BN877" s="4">
        <v>43283.116249999999</v>
      </c>
      <c r="BO877" s="4">
        <v>43283.116249999999</v>
      </c>
      <c r="BP877" t="s">
        <v>92</v>
      </c>
      <c r="BQ877" t="s">
        <v>93</v>
      </c>
      <c r="BR877" t="s">
        <v>94</v>
      </c>
    </row>
    <row r="878" spans="1:70" x14ac:dyDescent="0.3">
      <c r="A878" t="str">
        <f>"200489C0200"</f>
        <v>200489C0200</v>
      </c>
      <c r="B878" t="s">
        <v>1881</v>
      </c>
      <c r="C878">
        <v>20</v>
      </c>
      <c r="D878" t="s">
        <v>88</v>
      </c>
      <c r="E878">
        <v>66</v>
      </c>
      <c r="F878" t="s">
        <v>1713</v>
      </c>
      <c r="G878">
        <v>489</v>
      </c>
      <c r="H878">
        <v>2</v>
      </c>
      <c r="I878" t="s">
        <v>98</v>
      </c>
      <c r="J878">
        <v>0</v>
      </c>
      <c r="K878">
        <v>1</v>
      </c>
      <c r="L878">
        <v>5</v>
      </c>
      <c r="M878">
        <v>164</v>
      </c>
      <c r="N878">
        <v>375</v>
      </c>
      <c r="O878">
        <v>4</v>
      </c>
      <c r="P878">
        <v>381</v>
      </c>
      <c r="Q878">
        <v>56</v>
      </c>
      <c r="R878">
        <v>105</v>
      </c>
      <c r="S878">
        <v>8</v>
      </c>
      <c r="T878">
        <v>18</v>
      </c>
      <c r="U878">
        <v>7</v>
      </c>
      <c r="V878">
        <v>5</v>
      </c>
      <c r="W878">
        <v>1</v>
      </c>
      <c r="X878">
        <v>5</v>
      </c>
      <c r="Y878">
        <v>141</v>
      </c>
      <c r="Z878">
        <v>8</v>
      </c>
      <c r="AA878">
        <v>5</v>
      </c>
      <c r="AB878">
        <v>13</v>
      </c>
      <c r="AC878">
        <v>3</v>
      </c>
      <c r="AD878">
        <v>0</v>
      </c>
      <c r="AE878">
        <v>0</v>
      </c>
      <c r="AF878">
        <v>0</v>
      </c>
      <c r="AK878">
        <v>2</v>
      </c>
      <c r="AL878">
        <v>2</v>
      </c>
      <c r="AM878">
        <v>0</v>
      </c>
      <c r="AN878">
        <v>0</v>
      </c>
      <c r="AT878">
        <v>0</v>
      </c>
      <c r="BC878">
        <v>0</v>
      </c>
      <c r="BD878">
        <v>2</v>
      </c>
      <c r="BE878">
        <v>381</v>
      </c>
      <c r="BF878">
        <v>381</v>
      </c>
      <c r="BG878">
        <v>517</v>
      </c>
      <c r="BJ878">
        <v>1</v>
      </c>
      <c r="BL878" t="s">
        <v>1882</v>
      </c>
      <c r="BM878" s="4">
        <v>43283.04583333333</v>
      </c>
      <c r="BN878" s="4">
        <v>43283.050335648149</v>
      </c>
      <c r="BO878" s="4">
        <v>43283.050335648149</v>
      </c>
      <c r="BP878" t="s">
        <v>92</v>
      </c>
      <c r="BQ878" t="s">
        <v>93</v>
      </c>
      <c r="BR878" t="s">
        <v>94</v>
      </c>
    </row>
    <row r="879" spans="1:70" x14ac:dyDescent="0.3">
      <c r="A879" t="str">
        <f>"200490B0100"</f>
        <v>200490B0100</v>
      </c>
      <c r="B879" t="s">
        <v>1883</v>
      </c>
      <c r="C879">
        <v>20</v>
      </c>
      <c r="D879" t="s">
        <v>88</v>
      </c>
      <c r="E879">
        <v>66</v>
      </c>
      <c r="F879" t="s">
        <v>1713</v>
      </c>
      <c r="G879">
        <v>490</v>
      </c>
      <c r="H879">
        <v>1</v>
      </c>
      <c r="I879" t="s">
        <v>90</v>
      </c>
      <c r="J879">
        <v>0</v>
      </c>
      <c r="K879">
        <v>1</v>
      </c>
      <c r="L879">
        <v>5</v>
      </c>
      <c r="M879">
        <v>253</v>
      </c>
      <c r="N879">
        <v>488</v>
      </c>
      <c r="O879">
        <v>5</v>
      </c>
      <c r="P879">
        <v>488</v>
      </c>
      <c r="Q879">
        <v>94</v>
      </c>
      <c r="R879">
        <v>86</v>
      </c>
      <c r="S879">
        <v>15</v>
      </c>
      <c r="T879">
        <v>8</v>
      </c>
      <c r="U879">
        <v>18</v>
      </c>
      <c r="V879">
        <v>2</v>
      </c>
      <c r="W879">
        <v>9</v>
      </c>
      <c r="X879">
        <v>10</v>
      </c>
      <c r="Y879">
        <v>182</v>
      </c>
      <c r="Z879">
        <v>7</v>
      </c>
      <c r="AA879">
        <v>2</v>
      </c>
      <c r="AB879">
        <v>16</v>
      </c>
      <c r="AC879">
        <v>4</v>
      </c>
      <c r="AD879">
        <v>2</v>
      </c>
      <c r="AE879">
        <v>0</v>
      </c>
      <c r="AF879">
        <v>0</v>
      </c>
      <c r="AK879">
        <v>3</v>
      </c>
      <c r="AL879">
        <v>0</v>
      </c>
      <c r="AM879">
        <v>0</v>
      </c>
      <c r="AN879">
        <v>0</v>
      </c>
      <c r="AT879">
        <v>1</v>
      </c>
      <c r="BC879">
        <v>0</v>
      </c>
      <c r="BD879">
        <v>15</v>
      </c>
      <c r="BE879">
        <v>474</v>
      </c>
      <c r="BF879">
        <v>474</v>
      </c>
      <c r="BG879">
        <v>720</v>
      </c>
      <c r="BJ879">
        <v>1</v>
      </c>
      <c r="BL879" t="s">
        <v>1884</v>
      </c>
      <c r="BM879" s="4">
        <v>43283.082638888889</v>
      </c>
      <c r="BN879" s="4">
        <v>43283.088877314818</v>
      </c>
      <c r="BO879" s="4">
        <v>43283.088877314818</v>
      </c>
      <c r="BP879" t="s">
        <v>92</v>
      </c>
      <c r="BQ879" t="s">
        <v>93</v>
      </c>
      <c r="BR879" t="s">
        <v>94</v>
      </c>
    </row>
    <row r="880" spans="1:70" x14ac:dyDescent="0.3">
      <c r="A880" t="str">
        <f>"200490C0100"</f>
        <v>200490C0100</v>
      </c>
      <c r="B880" t="s">
        <v>1885</v>
      </c>
      <c r="C880">
        <v>20</v>
      </c>
      <c r="D880" t="s">
        <v>88</v>
      </c>
      <c r="E880">
        <v>66</v>
      </c>
      <c r="F880" t="s">
        <v>1713</v>
      </c>
      <c r="G880">
        <v>490</v>
      </c>
      <c r="H880">
        <v>1</v>
      </c>
      <c r="I880" t="s">
        <v>98</v>
      </c>
      <c r="J880">
        <v>0</v>
      </c>
      <c r="K880">
        <v>1</v>
      </c>
      <c r="L880">
        <v>5</v>
      </c>
      <c r="M880">
        <v>266</v>
      </c>
      <c r="N880">
        <v>477</v>
      </c>
      <c r="O880">
        <v>4</v>
      </c>
      <c r="P880">
        <v>481</v>
      </c>
      <c r="Q880">
        <v>81</v>
      </c>
      <c r="R880">
        <v>111</v>
      </c>
      <c r="S880">
        <v>9</v>
      </c>
      <c r="T880">
        <v>6</v>
      </c>
      <c r="U880">
        <v>10</v>
      </c>
      <c r="V880">
        <v>9</v>
      </c>
      <c r="W880">
        <v>11</v>
      </c>
      <c r="X880">
        <v>11</v>
      </c>
      <c r="Y880">
        <v>185</v>
      </c>
      <c r="Z880">
        <v>13</v>
      </c>
      <c r="AA880">
        <v>2</v>
      </c>
      <c r="AB880">
        <v>15</v>
      </c>
      <c r="AC880">
        <v>1</v>
      </c>
      <c r="AD880">
        <v>2</v>
      </c>
      <c r="AE880">
        <v>0</v>
      </c>
      <c r="AF880">
        <v>0</v>
      </c>
      <c r="AK880">
        <v>4</v>
      </c>
      <c r="AL880">
        <v>0</v>
      </c>
      <c r="AM880">
        <v>0</v>
      </c>
      <c r="AN880">
        <v>2</v>
      </c>
      <c r="AT880">
        <v>0</v>
      </c>
      <c r="BC880">
        <v>0</v>
      </c>
      <c r="BD880">
        <v>17</v>
      </c>
      <c r="BE880">
        <v>481</v>
      </c>
      <c r="BF880">
        <v>489</v>
      </c>
      <c r="BG880">
        <v>720</v>
      </c>
      <c r="BJ880">
        <v>1</v>
      </c>
      <c r="BL880" t="s">
        <v>1886</v>
      </c>
      <c r="BM880" s="4">
        <v>43283.07916666667</v>
      </c>
      <c r="BN880" s="4">
        <v>43283.088356481479</v>
      </c>
      <c r="BO880" s="4">
        <v>43283.088356481479</v>
      </c>
      <c r="BP880" t="s">
        <v>92</v>
      </c>
      <c r="BQ880" t="s">
        <v>93</v>
      </c>
      <c r="BR880" t="s">
        <v>94</v>
      </c>
    </row>
    <row r="881" spans="1:70" x14ac:dyDescent="0.3">
      <c r="A881" t="str">
        <f>"200491B0100"</f>
        <v>200491B0100</v>
      </c>
      <c r="B881" t="s">
        <v>1887</v>
      </c>
      <c r="C881">
        <v>20</v>
      </c>
      <c r="D881" t="s">
        <v>88</v>
      </c>
      <c r="E881">
        <v>66</v>
      </c>
      <c r="F881" t="s">
        <v>1713</v>
      </c>
      <c r="G881">
        <v>491</v>
      </c>
      <c r="H881">
        <v>1</v>
      </c>
      <c r="I881" t="s">
        <v>90</v>
      </c>
      <c r="J881">
        <v>0</v>
      </c>
      <c r="K881">
        <v>1</v>
      </c>
      <c r="L881">
        <v>5</v>
      </c>
      <c r="M881">
        <v>263</v>
      </c>
      <c r="N881">
        <v>478</v>
      </c>
      <c r="O881">
        <v>9</v>
      </c>
      <c r="P881">
        <v>482</v>
      </c>
      <c r="Q881">
        <v>79</v>
      </c>
      <c r="R881">
        <v>72</v>
      </c>
      <c r="S881">
        <v>17</v>
      </c>
      <c r="T881">
        <v>7</v>
      </c>
      <c r="U881">
        <v>11</v>
      </c>
      <c r="V881">
        <v>10</v>
      </c>
      <c r="W881">
        <v>6</v>
      </c>
      <c r="X881">
        <v>7</v>
      </c>
      <c r="Y881">
        <v>225</v>
      </c>
      <c r="Z881">
        <v>4</v>
      </c>
      <c r="AA881">
        <v>1</v>
      </c>
      <c r="AB881">
        <v>7</v>
      </c>
      <c r="AC881">
        <v>3</v>
      </c>
      <c r="AD881">
        <v>0</v>
      </c>
      <c r="AE881">
        <v>0</v>
      </c>
      <c r="AF881">
        <v>1</v>
      </c>
      <c r="AK881">
        <v>5</v>
      </c>
      <c r="AL881">
        <v>1</v>
      </c>
      <c r="AM881">
        <v>0</v>
      </c>
      <c r="AN881">
        <v>3</v>
      </c>
      <c r="AT881">
        <v>3</v>
      </c>
      <c r="BC881">
        <v>0</v>
      </c>
      <c r="BD881">
        <v>20</v>
      </c>
      <c r="BE881">
        <v>482</v>
      </c>
      <c r="BF881">
        <v>482</v>
      </c>
      <c r="BG881">
        <v>718</v>
      </c>
      <c r="BJ881">
        <v>1</v>
      </c>
      <c r="BL881" t="s">
        <v>1888</v>
      </c>
      <c r="BM881" s="4">
        <v>43283.04583333333</v>
      </c>
      <c r="BN881" s="4">
        <v>43283.049270833333</v>
      </c>
      <c r="BO881" s="4">
        <v>43283.049270833333</v>
      </c>
      <c r="BP881" t="s">
        <v>92</v>
      </c>
      <c r="BQ881" t="s">
        <v>93</v>
      </c>
      <c r="BR881" t="s">
        <v>94</v>
      </c>
    </row>
    <row r="882" spans="1:70" x14ac:dyDescent="0.3">
      <c r="A882" t="str">
        <f>"200491C0100"</f>
        <v>200491C0100</v>
      </c>
      <c r="B882" t="s">
        <v>1889</v>
      </c>
      <c r="C882">
        <v>20</v>
      </c>
      <c r="D882" t="s">
        <v>88</v>
      </c>
      <c r="E882">
        <v>66</v>
      </c>
      <c r="F882" t="s">
        <v>1713</v>
      </c>
      <c r="G882">
        <v>491</v>
      </c>
      <c r="H882">
        <v>1</v>
      </c>
      <c r="I882" t="s">
        <v>98</v>
      </c>
      <c r="J882">
        <v>0</v>
      </c>
      <c r="K882">
        <v>1</v>
      </c>
      <c r="L882">
        <v>5</v>
      </c>
      <c r="BG882">
        <v>718</v>
      </c>
      <c r="BI882" t="s">
        <v>122</v>
      </c>
      <c r="BJ882">
        <v>0</v>
      </c>
      <c r="BL882" t="s">
        <v>1890</v>
      </c>
      <c r="BM882" s="4">
        <v>43283.550694444442</v>
      </c>
      <c r="BN882" s="4">
        <v>43283.555243055554</v>
      </c>
      <c r="BO882" s="4">
        <v>43283.555243055554</v>
      </c>
      <c r="BP882" t="s">
        <v>92</v>
      </c>
      <c r="BQ882" t="s">
        <v>93</v>
      </c>
      <c r="BR882" t="s">
        <v>94</v>
      </c>
    </row>
    <row r="883" spans="1:70" x14ac:dyDescent="0.3">
      <c r="A883" t="str">
        <f>"200492B0100"</f>
        <v>200492B0100</v>
      </c>
      <c r="B883" t="s">
        <v>1891</v>
      </c>
      <c r="C883">
        <v>20</v>
      </c>
      <c r="D883" t="s">
        <v>88</v>
      </c>
      <c r="E883">
        <v>66</v>
      </c>
      <c r="F883" t="s">
        <v>1713</v>
      </c>
      <c r="G883">
        <v>492</v>
      </c>
      <c r="H883">
        <v>1</v>
      </c>
      <c r="I883" t="s">
        <v>90</v>
      </c>
      <c r="J883">
        <v>0</v>
      </c>
      <c r="K883">
        <v>1</v>
      </c>
      <c r="L883">
        <v>5</v>
      </c>
      <c r="M883">
        <v>224</v>
      </c>
      <c r="N883">
        <v>339</v>
      </c>
      <c r="O883">
        <v>11</v>
      </c>
      <c r="P883">
        <v>339</v>
      </c>
      <c r="Q883">
        <v>62</v>
      </c>
      <c r="R883">
        <v>35</v>
      </c>
      <c r="S883">
        <v>9</v>
      </c>
      <c r="T883">
        <v>2</v>
      </c>
      <c r="U883">
        <v>14</v>
      </c>
      <c r="V883">
        <v>10</v>
      </c>
      <c r="W883">
        <v>6</v>
      </c>
      <c r="X883">
        <v>3</v>
      </c>
      <c r="Y883">
        <v>159</v>
      </c>
      <c r="Z883">
        <v>8</v>
      </c>
      <c r="AA883">
        <v>3</v>
      </c>
      <c r="AB883">
        <v>11</v>
      </c>
      <c r="AC883">
        <v>0</v>
      </c>
      <c r="AD883">
        <v>0</v>
      </c>
      <c r="AE883">
        <v>0</v>
      </c>
      <c r="AF883">
        <v>0</v>
      </c>
      <c r="AK883">
        <v>7</v>
      </c>
      <c r="AL883">
        <v>0</v>
      </c>
      <c r="AM883">
        <v>0</v>
      </c>
      <c r="AN883">
        <v>0</v>
      </c>
      <c r="AT883">
        <v>0</v>
      </c>
      <c r="BC883">
        <v>0</v>
      </c>
      <c r="BD883">
        <v>10</v>
      </c>
      <c r="BE883">
        <v>339</v>
      </c>
      <c r="BF883">
        <v>339</v>
      </c>
      <c r="BG883">
        <v>541</v>
      </c>
      <c r="BJ883">
        <v>1</v>
      </c>
      <c r="BL883" t="s">
        <v>1892</v>
      </c>
      <c r="BM883" s="4">
        <v>43283.068749999999</v>
      </c>
      <c r="BN883" s="4">
        <v>43283.074953703705</v>
      </c>
      <c r="BO883" s="4">
        <v>43283.074953703705</v>
      </c>
      <c r="BP883" t="s">
        <v>92</v>
      </c>
      <c r="BQ883" t="s">
        <v>93</v>
      </c>
      <c r="BR883" t="s">
        <v>94</v>
      </c>
    </row>
    <row r="884" spans="1:70" x14ac:dyDescent="0.3">
      <c r="A884" t="str">
        <f>"200492C0100"</f>
        <v>200492C0100</v>
      </c>
      <c r="B884" t="s">
        <v>1893</v>
      </c>
      <c r="C884">
        <v>20</v>
      </c>
      <c r="D884" t="s">
        <v>88</v>
      </c>
      <c r="E884">
        <v>66</v>
      </c>
      <c r="F884" t="s">
        <v>1713</v>
      </c>
      <c r="G884">
        <v>492</v>
      </c>
      <c r="H884">
        <v>1</v>
      </c>
      <c r="I884" t="s">
        <v>98</v>
      </c>
      <c r="J884">
        <v>0</v>
      </c>
      <c r="K884">
        <v>1</v>
      </c>
      <c r="L884">
        <v>5</v>
      </c>
      <c r="M884">
        <v>208</v>
      </c>
      <c r="N884">
        <v>354</v>
      </c>
      <c r="O884">
        <v>5</v>
      </c>
      <c r="P884">
        <v>354</v>
      </c>
      <c r="Q884">
        <v>58</v>
      </c>
      <c r="R884">
        <v>34</v>
      </c>
      <c r="S884">
        <v>14</v>
      </c>
      <c r="T884">
        <v>3</v>
      </c>
      <c r="U884">
        <v>16</v>
      </c>
      <c r="V884">
        <v>7</v>
      </c>
      <c r="W884">
        <v>9</v>
      </c>
      <c r="X884">
        <v>2</v>
      </c>
      <c r="Y884">
        <v>161</v>
      </c>
      <c r="Z884">
        <v>4</v>
      </c>
      <c r="AA884">
        <v>1</v>
      </c>
      <c r="AB884">
        <v>12</v>
      </c>
      <c r="AC884">
        <v>1</v>
      </c>
      <c r="AD884">
        <v>1</v>
      </c>
      <c r="AE884">
        <v>0</v>
      </c>
      <c r="AF884">
        <v>0</v>
      </c>
      <c r="AK884">
        <v>3</v>
      </c>
      <c r="AL884">
        <v>0</v>
      </c>
      <c r="AM884">
        <v>1</v>
      </c>
      <c r="AN884">
        <v>1</v>
      </c>
      <c r="AT884">
        <v>4</v>
      </c>
      <c r="BC884">
        <v>0</v>
      </c>
      <c r="BD884">
        <v>9</v>
      </c>
      <c r="BE884">
        <v>341</v>
      </c>
      <c r="BF884">
        <v>341</v>
      </c>
      <c r="BG884">
        <v>540</v>
      </c>
      <c r="BJ884">
        <v>1</v>
      </c>
      <c r="BL884" t="s">
        <v>1894</v>
      </c>
      <c r="BM884" s="4">
        <v>43283.071527777778</v>
      </c>
      <c r="BN884" s="4">
        <v>43283.078240740739</v>
      </c>
      <c r="BO884" s="4">
        <v>43283.078240740739</v>
      </c>
      <c r="BP884" t="s">
        <v>92</v>
      </c>
      <c r="BQ884" t="s">
        <v>93</v>
      </c>
      <c r="BR884" t="s">
        <v>94</v>
      </c>
    </row>
    <row r="885" spans="1:70" x14ac:dyDescent="0.3">
      <c r="A885" t="str">
        <f>"200492C0200"</f>
        <v>200492C0200</v>
      </c>
      <c r="B885" t="s">
        <v>1895</v>
      </c>
      <c r="C885">
        <v>20</v>
      </c>
      <c r="D885" t="s">
        <v>88</v>
      </c>
      <c r="E885">
        <v>66</v>
      </c>
      <c r="F885" t="s">
        <v>1713</v>
      </c>
      <c r="G885">
        <v>492</v>
      </c>
      <c r="H885">
        <v>2</v>
      </c>
      <c r="I885" t="s">
        <v>98</v>
      </c>
      <c r="J885">
        <v>0</v>
      </c>
      <c r="K885">
        <v>1</v>
      </c>
      <c r="L885">
        <v>5</v>
      </c>
      <c r="M885">
        <v>231</v>
      </c>
      <c r="N885">
        <v>331</v>
      </c>
      <c r="O885">
        <v>7</v>
      </c>
      <c r="P885">
        <v>336</v>
      </c>
      <c r="Q885">
        <v>48</v>
      </c>
      <c r="R885">
        <v>37</v>
      </c>
      <c r="S885">
        <v>13</v>
      </c>
      <c r="T885">
        <v>7</v>
      </c>
      <c r="U885">
        <v>18</v>
      </c>
      <c r="V885">
        <v>9</v>
      </c>
      <c r="W885">
        <v>5</v>
      </c>
      <c r="X885">
        <v>2</v>
      </c>
      <c r="Y885">
        <v>148</v>
      </c>
      <c r="Z885">
        <v>6</v>
      </c>
      <c r="AA885">
        <v>3</v>
      </c>
      <c r="AB885">
        <v>10</v>
      </c>
      <c r="AC885">
        <v>1</v>
      </c>
      <c r="AD885">
        <v>2</v>
      </c>
      <c r="AE885">
        <v>0</v>
      </c>
      <c r="AF885" t="s">
        <v>105</v>
      </c>
      <c r="AK885">
        <v>11</v>
      </c>
      <c r="AL885">
        <v>2</v>
      </c>
      <c r="AM885">
        <v>0</v>
      </c>
      <c r="AN885">
        <v>6</v>
      </c>
      <c r="AT885">
        <v>2</v>
      </c>
      <c r="BC885">
        <v>0</v>
      </c>
      <c r="BD885">
        <v>6</v>
      </c>
      <c r="BE885">
        <v>336</v>
      </c>
      <c r="BF885">
        <v>336</v>
      </c>
      <c r="BG885">
        <v>540</v>
      </c>
      <c r="BI885" t="s">
        <v>106</v>
      </c>
      <c r="BJ885">
        <v>1</v>
      </c>
      <c r="BL885" t="s">
        <v>1896</v>
      </c>
      <c r="BM885" s="4">
        <v>43283.076388888891</v>
      </c>
      <c r="BN885" s="4">
        <v>43283.081585648149</v>
      </c>
      <c r="BO885" s="4">
        <v>43283.081585648149</v>
      </c>
      <c r="BP885" t="s">
        <v>92</v>
      </c>
      <c r="BQ885" t="s">
        <v>93</v>
      </c>
      <c r="BR885" t="s">
        <v>94</v>
      </c>
    </row>
    <row r="886" spans="1:70" x14ac:dyDescent="0.3">
      <c r="A886" t="str">
        <f>"200493B0100"</f>
        <v>200493B0100</v>
      </c>
      <c r="B886" t="s">
        <v>1897</v>
      </c>
      <c r="C886">
        <v>20</v>
      </c>
      <c r="D886" t="s">
        <v>88</v>
      </c>
      <c r="E886">
        <v>66</v>
      </c>
      <c r="F886" t="s">
        <v>1713</v>
      </c>
      <c r="G886">
        <v>493</v>
      </c>
      <c r="H886">
        <v>1</v>
      </c>
      <c r="I886" t="s">
        <v>90</v>
      </c>
      <c r="J886">
        <v>0</v>
      </c>
      <c r="K886">
        <v>1</v>
      </c>
      <c r="L886">
        <v>5</v>
      </c>
      <c r="M886">
        <v>262</v>
      </c>
      <c r="N886">
        <v>396</v>
      </c>
      <c r="O886">
        <v>0</v>
      </c>
      <c r="P886">
        <v>401</v>
      </c>
      <c r="Q886">
        <v>82</v>
      </c>
      <c r="R886">
        <v>32</v>
      </c>
      <c r="S886">
        <v>14</v>
      </c>
      <c r="T886">
        <v>5</v>
      </c>
      <c r="U886">
        <v>26</v>
      </c>
      <c r="V886">
        <v>4</v>
      </c>
      <c r="W886">
        <v>3</v>
      </c>
      <c r="X886">
        <v>6</v>
      </c>
      <c r="Y886">
        <v>200</v>
      </c>
      <c r="Z886">
        <v>4</v>
      </c>
      <c r="AA886">
        <v>4</v>
      </c>
      <c r="AB886">
        <v>4</v>
      </c>
      <c r="AC886">
        <v>0</v>
      </c>
      <c r="AD886">
        <v>1</v>
      </c>
      <c r="AE886">
        <v>0</v>
      </c>
      <c r="AF886">
        <v>0</v>
      </c>
      <c r="AK886">
        <v>9</v>
      </c>
      <c r="AL886">
        <v>0</v>
      </c>
      <c r="AM886">
        <v>0</v>
      </c>
      <c r="AN886">
        <v>1</v>
      </c>
      <c r="AT886">
        <v>0</v>
      </c>
      <c r="BC886">
        <v>0</v>
      </c>
      <c r="BD886">
        <v>6</v>
      </c>
      <c r="BE886">
        <v>401</v>
      </c>
      <c r="BF886">
        <v>401</v>
      </c>
      <c r="BG886">
        <v>636</v>
      </c>
      <c r="BJ886">
        <v>1</v>
      </c>
      <c r="BL886" t="s">
        <v>1898</v>
      </c>
      <c r="BM886" s="4">
        <v>43283.074999999997</v>
      </c>
      <c r="BN886" s="4">
        <v>43283.080578703702</v>
      </c>
      <c r="BO886" s="4">
        <v>43283.080578703702</v>
      </c>
      <c r="BP886" t="s">
        <v>92</v>
      </c>
      <c r="BQ886" t="s">
        <v>93</v>
      </c>
      <c r="BR886" t="s">
        <v>94</v>
      </c>
    </row>
    <row r="887" spans="1:70" x14ac:dyDescent="0.3">
      <c r="A887" t="str">
        <f>"200493C0100"</f>
        <v>200493C0100</v>
      </c>
      <c r="B887" t="s">
        <v>1899</v>
      </c>
      <c r="C887">
        <v>20</v>
      </c>
      <c r="D887" t="s">
        <v>88</v>
      </c>
      <c r="E887">
        <v>66</v>
      </c>
      <c r="F887" t="s">
        <v>1713</v>
      </c>
      <c r="G887">
        <v>493</v>
      </c>
      <c r="H887">
        <v>1</v>
      </c>
      <c r="I887" t="s">
        <v>98</v>
      </c>
      <c r="J887">
        <v>0</v>
      </c>
      <c r="K887">
        <v>1</v>
      </c>
      <c r="L887">
        <v>5</v>
      </c>
      <c r="M887">
        <v>253</v>
      </c>
      <c r="N887">
        <v>403</v>
      </c>
      <c r="O887">
        <v>4</v>
      </c>
      <c r="P887">
        <v>399</v>
      </c>
      <c r="Q887">
        <v>62</v>
      </c>
      <c r="R887">
        <v>41</v>
      </c>
      <c r="S887">
        <v>13</v>
      </c>
      <c r="T887">
        <v>4</v>
      </c>
      <c r="U887">
        <v>22</v>
      </c>
      <c r="V887">
        <v>8</v>
      </c>
      <c r="W887">
        <v>3</v>
      </c>
      <c r="X887">
        <v>3</v>
      </c>
      <c r="Y887">
        <v>207</v>
      </c>
      <c r="Z887">
        <v>10</v>
      </c>
      <c r="AA887">
        <v>2</v>
      </c>
      <c r="AB887">
        <v>3</v>
      </c>
      <c r="AC887">
        <v>1</v>
      </c>
      <c r="AD887">
        <v>0</v>
      </c>
      <c r="AE887">
        <v>0</v>
      </c>
      <c r="AF887">
        <v>1</v>
      </c>
      <c r="AK887">
        <v>5</v>
      </c>
      <c r="AL887">
        <v>2</v>
      </c>
      <c r="AM887">
        <v>0</v>
      </c>
      <c r="AN887">
        <v>0</v>
      </c>
      <c r="AT887">
        <v>2</v>
      </c>
      <c r="BC887">
        <v>0</v>
      </c>
      <c r="BD887">
        <v>10</v>
      </c>
      <c r="BE887">
        <v>399</v>
      </c>
      <c r="BF887">
        <v>399</v>
      </c>
      <c r="BG887">
        <v>636</v>
      </c>
      <c r="BJ887">
        <v>1</v>
      </c>
      <c r="BL887" t="s">
        <v>1900</v>
      </c>
      <c r="BM887" s="4">
        <v>43283.070833333331</v>
      </c>
      <c r="BN887" s="4">
        <v>43283.075173611112</v>
      </c>
      <c r="BO887" s="4">
        <v>43283.075173611112</v>
      </c>
      <c r="BP887" t="s">
        <v>92</v>
      </c>
      <c r="BQ887" t="s">
        <v>93</v>
      </c>
      <c r="BR887" t="s">
        <v>94</v>
      </c>
    </row>
    <row r="888" spans="1:70" x14ac:dyDescent="0.3">
      <c r="A888" t="str">
        <f>"200493C0200"</f>
        <v>200493C0200</v>
      </c>
      <c r="B888" t="s">
        <v>1901</v>
      </c>
      <c r="C888">
        <v>20</v>
      </c>
      <c r="D888" t="s">
        <v>88</v>
      </c>
      <c r="E888">
        <v>66</v>
      </c>
      <c r="F888" t="s">
        <v>1713</v>
      </c>
      <c r="G888">
        <v>493</v>
      </c>
      <c r="H888">
        <v>2</v>
      </c>
      <c r="I888" t="s">
        <v>98</v>
      </c>
      <c r="J888">
        <v>0</v>
      </c>
      <c r="K888">
        <v>1</v>
      </c>
      <c r="L888">
        <v>5</v>
      </c>
      <c r="BG888">
        <v>636</v>
      </c>
      <c r="BI888" t="s">
        <v>122</v>
      </c>
      <c r="BJ888">
        <v>0</v>
      </c>
      <c r="BL888" t="s">
        <v>1902</v>
      </c>
      <c r="BM888" s="4">
        <v>43283.550694444442</v>
      </c>
      <c r="BN888" s="4">
        <v>43283.554849537039</v>
      </c>
      <c r="BO888" s="4">
        <v>43283.554849537039</v>
      </c>
      <c r="BP888" t="s">
        <v>92</v>
      </c>
      <c r="BQ888" t="s">
        <v>93</v>
      </c>
      <c r="BR888" t="s">
        <v>94</v>
      </c>
    </row>
    <row r="889" spans="1:70" x14ac:dyDescent="0.3">
      <c r="A889" t="str">
        <f>"200493C0300"</f>
        <v>200493C0300</v>
      </c>
      <c r="B889" t="s">
        <v>1903</v>
      </c>
      <c r="C889">
        <v>20</v>
      </c>
      <c r="D889" t="s">
        <v>88</v>
      </c>
      <c r="E889">
        <v>66</v>
      </c>
      <c r="F889" t="s">
        <v>1713</v>
      </c>
      <c r="G889">
        <v>493</v>
      </c>
      <c r="H889">
        <v>3</v>
      </c>
      <c r="I889" t="s">
        <v>98</v>
      </c>
      <c r="J889">
        <v>0</v>
      </c>
      <c r="K889">
        <v>1</v>
      </c>
      <c r="L889">
        <v>5</v>
      </c>
      <c r="M889">
        <v>251</v>
      </c>
      <c r="N889">
        <v>3</v>
      </c>
      <c r="O889">
        <v>3</v>
      </c>
      <c r="P889">
        <v>407</v>
      </c>
      <c r="Q889">
        <v>67</v>
      </c>
      <c r="R889">
        <v>33</v>
      </c>
      <c r="S889">
        <v>13</v>
      </c>
      <c r="T889">
        <v>6</v>
      </c>
      <c r="U889">
        <v>25</v>
      </c>
      <c r="V889">
        <v>10</v>
      </c>
      <c r="W889">
        <v>0</v>
      </c>
      <c r="X889">
        <v>5</v>
      </c>
      <c r="Y889">
        <v>194</v>
      </c>
      <c r="Z889">
        <v>18</v>
      </c>
      <c r="AA889">
        <v>3</v>
      </c>
      <c r="AB889">
        <v>7</v>
      </c>
      <c r="AC889">
        <v>1</v>
      </c>
      <c r="AD889">
        <v>1</v>
      </c>
      <c r="AE889">
        <v>0</v>
      </c>
      <c r="AF889">
        <v>5</v>
      </c>
      <c r="AK889">
        <v>3</v>
      </c>
      <c r="AL889">
        <v>3</v>
      </c>
      <c r="AM889">
        <v>1</v>
      </c>
      <c r="AN889">
        <v>1</v>
      </c>
      <c r="AT889">
        <v>3</v>
      </c>
      <c r="BC889">
        <v>0</v>
      </c>
      <c r="BD889">
        <v>12</v>
      </c>
      <c r="BE889">
        <v>407</v>
      </c>
      <c r="BF889">
        <v>411</v>
      </c>
      <c r="BG889">
        <v>636</v>
      </c>
      <c r="BJ889">
        <v>1</v>
      </c>
      <c r="BL889" t="s">
        <v>1904</v>
      </c>
      <c r="BM889" s="4">
        <v>43283.077777777777</v>
      </c>
      <c r="BN889" s="4">
        <v>43283.082395833335</v>
      </c>
      <c r="BO889" s="4">
        <v>43283.082395833335</v>
      </c>
      <c r="BP889" t="s">
        <v>92</v>
      </c>
      <c r="BQ889" t="s">
        <v>93</v>
      </c>
      <c r="BR889" t="s">
        <v>94</v>
      </c>
    </row>
    <row r="890" spans="1:70" x14ac:dyDescent="0.3">
      <c r="A890" t="str">
        <f>"200493C0400"</f>
        <v>200493C0400</v>
      </c>
      <c r="B890" t="s">
        <v>1905</v>
      </c>
      <c r="C890">
        <v>20</v>
      </c>
      <c r="D890" t="s">
        <v>88</v>
      </c>
      <c r="E890">
        <v>66</v>
      </c>
      <c r="F890" t="s">
        <v>1713</v>
      </c>
      <c r="G890">
        <v>493</v>
      </c>
      <c r="H890">
        <v>4</v>
      </c>
      <c r="I890" t="s">
        <v>98</v>
      </c>
      <c r="J890">
        <v>0</v>
      </c>
      <c r="K890">
        <v>1</v>
      </c>
      <c r="L890">
        <v>5</v>
      </c>
      <c r="M890">
        <v>271</v>
      </c>
      <c r="N890">
        <v>387</v>
      </c>
      <c r="O890">
        <v>4</v>
      </c>
      <c r="P890">
        <v>376</v>
      </c>
      <c r="Q890">
        <v>61</v>
      </c>
      <c r="R890">
        <v>44</v>
      </c>
      <c r="S890">
        <v>17</v>
      </c>
      <c r="T890">
        <v>10</v>
      </c>
      <c r="U890">
        <v>17</v>
      </c>
      <c r="V890">
        <v>2</v>
      </c>
      <c r="W890">
        <v>6</v>
      </c>
      <c r="X890">
        <v>7</v>
      </c>
      <c r="Y890">
        <v>180</v>
      </c>
      <c r="Z890">
        <v>7</v>
      </c>
      <c r="AA890">
        <v>6</v>
      </c>
      <c r="AB890">
        <v>10</v>
      </c>
      <c r="AC890">
        <v>0</v>
      </c>
      <c r="AD890">
        <v>0</v>
      </c>
      <c r="AE890">
        <v>0</v>
      </c>
      <c r="AF890">
        <v>0</v>
      </c>
      <c r="AK890">
        <v>4</v>
      </c>
      <c r="AL890">
        <v>3</v>
      </c>
      <c r="AM890">
        <v>0</v>
      </c>
      <c r="AN890">
        <v>5</v>
      </c>
      <c r="AT890" t="s">
        <v>127</v>
      </c>
      <c r="BC890">
        <v>0</v>
      </c>
      <c r="BD890">
        <v>7</v>
      </c>
      <c r="BE890">
        <v>376</v>
      </c>
      <c r="BF890">
        <v>386</v>
      </c>
      <c r="BG890">
        <v>635</v>
      </c>
      <c r="BI890" t="s">
        <v>106</v>
      </c>
      <c r="BJ890">
        <v>1</v>
      </c>
      <c r="BL890" t="s">
        <v>1906</v>
      </c>
      <c r="BM890" s="4">
        <v>43283.075694444444</v>
      </c>
      <c r="BN890" s="4">
        <v>43283.08494212963</v>
      </c>
      <c r="BO890" s="4">
        <v>43283.08494212963</v>
      </c>
      <c r="BP890" t="s">
        <v>92</v>
      </c>
      <c r="BQ890" t="s">
        <v>93</v>
      </c>
      <c r="BR890" t="s">
        <v>94</v>
      </c>
    </row>
    <row r="891" spans="1:70" x14ac:dyDescent="0.3">
      <c r="A891" t="str">
        <f>"200493C0500"</f>
        <v>200493C0500</v>
      </c>
      <c r="B891" t="s">
        <v>1907</v>
      </c>
      <c r="C891">
        <v>20</v>
      </c>
      <c r="D891" t="s">
        <v>88</v>
      </c>
      <c r="E891">
        <v>66</v>
      </c>
      <c r="F891" t="s">
        <v>1713</v>
      </c>
      <c r="G891">
        <v>493</v>
      </c>
      <c r="H891">
        <v>5</v>
      </c>
      <c r="I891" t="s">
        <v>98</v>
      </c>
      <c r="J891">
        <v>0</v>
      </c>
      <c r="K891">
        <v>1</v>
      </c>
      <c r="L891">
        <v>5</v>
      </c>
      <c r="M891">
        <v>243</v>
      </c>
      <c r="N891">
        <v>415</v>
      </c>
      <c r="O891">
        <v>2</v>
      </c>
      <c r="P891">
        <v>415</v>
      </c>
      <c r="Q891">
        <v>56</v>
      </c>
      <c r="R891">
        <v>30</v>
      </c>
      <c r="S891">
        <v>25</v>
      </c>
      <c r="T891">
        <v>9</v>
      </c>
      <c r="U891">
        <v>18</v>
      </c>
      <c r="V891">
        <v>7</v>
      </c>
      <c r="W891">
        <v>9</v>
      </c>
      <c r="X891">
        <v>7</v>
      </c>
      <c r="Y891">
        <v>215</v>
      </c>
      <c r="Z891">
        <v>5</v>
      </c>
      <c r="AA891">
        <v>2</v>
      </c>
      <c r="AB891">
        <v>12</v>
      </c>
      <c r="AC891">
        <v>0</v>
      </c>
      <c r="AD891">
        <v>0</v>
      </c>
      <c r="AE891">
        <v>0</v>
      </c>
      <c r="AF891">
        <v>0</v>
      </c>
      <c r="AK891">
        <v>4</v>
      </c>
      <c r="AL891">
        <v>1</v>
      </c>
      <c r="AM891">
        <v>0</v>
      </c>
      <c r="AN891">
        <v>1</v>
      </c>
      <c r="AT891">
        <v>2</v>
      </c>
      <c r="BC891">
        <v>0</v>
      </c>
      <c r="BD891">
        <v>11</v>
      </c>
      <c r="BE891">
        <v>415</v>
      </c>
      <c r="BF891">
        <v>414</v>
      </c>
      <c r="BG891">
        <v>635</v>
      </c>
      <c r="BJ891">
        <v>1</v>
      </c>
      <c r="BL891" t="s">
        <v>1908</v>
      </c>
      <c r="BM891" s="4">
        <v>43283.060416666667</v>
      </c>
      <c r="BN891" s="4">
        <v>43283.064328703702</v>
      </c>
      <c r="BO891" s="4">
        <v>43283.064328703702</v>
      </c>
      <c r="BP891" t="s">
        <v>92</v>
      </c>
      <c r="BQ891" t="s">
        <v>93</v>
      </c>
      <c r="BR891" t="s">
        <v>94</v>
      </c>
    </row>
    <row r="892" spans="1:70" x14ac:dyDescent="0.3">
      <c r="A892" t="str">
        <f>"200494B0100"</f>
        <v>200494B0100</v>
      </c>
      <c r="B892" t="s">
        <v>1909</v>
      </c>
      <c r="C892">
        <v>20</v>
      </c>
      <c r="D892" t="s">
        <v>88</v>
      </c>
      <c r="E892">
        <v>66</v>
      </c>
      <c r="F892" t="s">
        <v>1713</v>
      </c>
      <c r="G892">
        <v>494</v>
      </c>
      <c r="H892">
        <v>1</v>
      </c>
      <c r="I892" t="s">
        <v>90</v>
      </c>
      <c r="J892">
        <v>0</v>
      </c>
      <c r="K892">
        <v>1</v>
      </c>
      <c r="L892">
        <v>5</v>
      </c>
      <c r="BG892">
        <v>665</v>
      </c>
      <c r="BI892" t="s">
        <v>122</v>
      </c>
      <c r="BJ892">
        <v>0</v>
      </c>
      <c r="BL892" t="s">
        <v>1910</v>
      </c>
      <c r="BM892" s="4">
        <v>43283.550694444442</v>
      </c>
      <c r="BN892" s="4">
        <v>43283.554710648146</v>
      </c>
      <c r="BO892" s="4">
        <v>43283.554710648146</v>
      </c>
      <c r="BP892" t="s">
        <v>92</v>
      </c>
      <c r="BQ892" t="s">
        <v>93</v>
      </c>
      <c r="BR892" t="s">
        <v>94</v>
      </c>
    </row>
    <row r="893" spans="1:70" x14ac:dyDescent="0.3">
      <c r="A893" t="str">
        <f>"200494C0100"</f>
        <v>200494C0100</v>
      </c>
      <c r="B893" t="s">
        <v>1911</v>
      </c>
      <c r="C893">
        <v>20</v>
      </c>
      <c r="D893" t="s">
        <v>88</v>
      </c>
      <c r="E893">
        <v>66</v>
      </c>
      <c r="F893" t="s">
        <v>1713</v>
      </c>
      <c r="G893">
        <v>494</v>
      </c>
      <c r="H893">
        <v>1</v>
      </c>
      <c r="I893" t="s">
        <v>98</v>
      </c>
      <c r="J893">
        <v>0</v>
      </c>
      <c r="K893">
        <v>1</v>
      </c>
      <c r="L893">
        <v>5</v>
      </c>
      <c r="M893">
        <v>250</v>
      </c>
      <c r="N893">
        <v>436</v>
      </c>
      <c r="O893">
        <v>3</v>
      </c>
      <c r="P893">
        <v>436</v>
      </c>
      <c r="Q893">
        <v>56</v>
      </c>
      <c r="R893">
        <v>47</v>
      </c>
      <c r="S893">
        <v>17</v>
      </c>
      <c r="T893">
        <v>6</v>
      </c>
      <c r="U893">
        <v>21</v>
      </c>
      <c r="V893">
        <v>3</v>
      </c>
      <c r="W893">
        <v>4</v>
      </c>
      <c r="X893">
        <v>3</v>
      </c>
      <c r="Y893">
        <v>230</v>
      </c>
      <c r="Z893">
        <v>9</v>
      </c>
      <c r="AA893">
        <v>3</v>
      </c>
      <c r="AB893">
        <v>8</v>
      </c>
      <c r="AC893">
        <v>1</v>
      </c>
      <c r="AD893">
        <v>2</v>
      </c>
      <c r="AE893">
        <v>0</v>
      </c>
      <c r="AF893">
        <v>0</v>
      </c>
      <c r="AK893">
        <v>9</v>
      </c>
      <c r="AL893">
        <v>6</v>
      </c>
      <c r="AM893">
        <v>0</v>
      </c>
      <c r="AN893">
        <v>1</v>
      </c>
      <c r="AT893">
        <v>1</v>
      </c>
      <c r="BC893">
        <v>0</v>
      </c>
      <c r="BD893">
        <v>9</v>
      </c>
      <c r="BE893">
        <v>436</v>
      </c>
      <c r="BF893">
        <v>436</v>
      </c>
      <c r="BG893">
        <v>664</v>
      </c>
      <c r="BJ893">
        <v>1</v>
      </c>
      <c r="BL893" t="s">
        <v>1912</v>
      </c>
      <c r="BM893" s="4">
        <v>43283.128472222219</v>
      </c>
      <c r="BN893" s="4">
        <v>43283.133703703701</v>
      </c>
      <c r="BO893" s="4">
        <v>43283.133703703701</v>
      </c>
      <c r="BP893" t="s">
        <v>92</v>
      </c>
      <c r="BQ893" t="s">
        <v>93</v>
      </c>
      <c r="BR893" t="s">
        <v>94</v>
      </c>
    </row>
    <row r="894" spans="1:70" x14ac:dyDescent="0.3">
      <c r="A894" t="str">
        <f>"200494C0200"</f>
        <v>200494C0200</v>
      </c>
      <c r="B894" t="s">
        <v>1913</v>
      </c>
      <c r="C894">
        <v>20</v>
      </c>
      <c r="D894" t="s">
        <v>88</v>
      </c>
      <c r="E894">
        <v>66</v>
      </c>
      <c r="F894" t="s">
        <v>1713</v>
      </c>
      <c r="G894">
        <v>494</v>
      </c>
      <c r="H894">
        <v>2</v>
      </c>
      <c r="I894" t="s">
        <v>98</v>
      </c>
      <c r="J894">
        <v>0</v>
      </c>
      <c r="K894">
        <v>1</v>
      </c>
      <c r="L894">
        <v>5</v>
      </c>
      <c r="M894">
        <v>233</v>
      </c>
      <c r="N894">
        <v>453</v>
      </c>
      <c r="O894">
        <v>6</v>
      </c>
      <c r="P894">
        <v>453</v>
      </c>
      <c r="Q894">
        <v>74</v>
      </c>
      <c r="R894">
        <v>52</v>
      </c>
      <c r="S894">
        <v>17</v>
      </c>
      <c r="T894">
        <v>5</v>
      </c>
      <c r="U894">
        <v>26</v>
      </c>
      <c r="V894">
        <v>8</v>
      </c>
      <c r="W894">
        <v>8</v>
      </c>
      <c r="X894">
        <v>8</v>
      </c>
      <c r="Y894">
        <v>217</v>
      </c>
      <c r="Z894">
        <v>7</v>
      </c>
      <c r="AA894">
        <v>3</v>
      </c>
      <c r="AB894">
        <v>10</v>
      </c>
      <c r="AC894">
        <v>1</v>
      </c>
      <c r="AD894">
        <v>1</v>
      </c>
      <c r="AE894">
        <v>0</v>
      </c>
      <c r="AF894">
        <v>0</v>
      </c>
      <c r="AK894">
        <v>2</v>
      </c>
      <c r="AL894">
        <v>0</v>
      </c>
      <c r="AM894">
        <v>0</v>
      </c>
      <c r="AN894">
        <v>1</v>
      </c>
      <c r="AT894">
        <v>4</v>
      </c>
      <c r="BC894">
        <v>0</v>
      </c>
      <c r="BD894">
        <v>9</v>
      </c>
      <c r="BE894">
        <v>453</v>
      </c>
      <c r="BF894">
        <v>453</v>
      </c>
      <c r="BG894">
        <v>664</v>
      </c>
      <c r="BJ894">
        <v>1</v>
      </c>
      <c r="BL894" t="s">
        <v>1914</v>
      </c>
      <c r="BM894" s="4">
        <v>43283.129166666666</v>
      </c>
      <c r="BN894" s="4">
        <v>43283.133449074077</v>
      </c>
      <c r="BO894" s="4">
        <v>43283.133449074077</v>
      </c>
      <c r="BP894" t="s">
        <v>92</v>
      </c>
      <c r="BQ894" t="s">
        <v>93</v>
      </c>
      <c r="BR894" t="s">
        <v>94</v>
      </c>
    </row>
    <row r="895" spans="1:70" x14ac:dyDescent="0.3">
      <c r="A895" t="str">
        <f>"200495B0100"</f>
        <v>200495B0100</v>
      </c>
      <c r="B895" t="s">
        <v>1915</v>
      </c>
      <c r="C895">
        <v>20</v>
      </c>
      <c r="D895" t="s">
        <v>88</v>
      </c>
      <c r="E895">
        <v>66</v>
      </c>
      <c r="F895" t="s">
        <v>1713</v>
      </c>
      <c r="G895">
        <v>495</v>
      </c>
      <c r="H895">
        <v>1</v>
      </c>
      <c r="I895" t="s">
        <v>90</v>
      </c>
      <c r="J895">
        <v>0</v>
      </c>
      <c r="K895">
        <v>1</v>
      </c>
      <c r="L895">
        <v>5</v>
      </c>
      <c r="M895">
        <v>216</v>
      </c>
      <c r="N895">
        <v>399</v>
      </c>
      <c r="O895">
        <v>9</v>
      </c>
      <c r="P895">
        <v>399</v>
      </c>
      <c r="Q895">
        <v>60</v>
      </c>
      <c r="R895">
        <v>43</v>
      </c>
      <c r="S895">
        <v>12</v>
      </c>
      <c r="T895">
        <v>6</v>
      </c>
      <c r="U895">
        <v>11</v>
      </c>
      <c r="V895">
        <v>3</v>
      </c>
      <c r="W895">
        <v>6</v>
      </c>
      <c r="X895">
        <v>5</v>
      </c>
      <c r="Y895">
        <v>206</v>
      </c>
      <c r="Z895">
        <v>6</v>
      </c>
      <c r="AA895">
        <v>8</v>
      </c>
      <c r="AB895">
        <v>12</v>
      </c>
      <c r="AC895">
        <v>2</v>
      </c>
      <c r="AD895">
        <v>0</v>
      </c>
      <c r="AE895">
        <v>0</v>
      </c>
      <c r="AF895">
        <v>0</v>
      </c>
      <c r="AK895">
        <v>4</v>
      </c>
      <c r="AL895">
        <v>2</v>
      </c>
      <c r="AM895">
        <v>0</v>
      </c>
      <c r="AN895">
        <v>1</v>
      </c>
      <c r="AT895">
        <v>2</v>
      </c>
      <c r="BC895">
        <v>0</v>
      </c>
      <c r="BD895">
        <v>10</v>
      </c>
      <c r="BE895">
        <v>399</v>
      </c>
      <c r="BF895">
        <v>399</v>
      </c>
      <c r="BG895">
        <v>593</v>
      </c>
      <c r="BJ895">
        <v>1</v>
      </c>
      <c r="BL895" t="s">
        <v>1916</v>
      </c>
      <c r="BM895" s="4">
        <v>43283.061805555553</v>
      </c>
      <c r="BN895" s="4">
        <v>43283.065451388888</v>
      </c>
      <c r="BO895" s="4">
        <v>43283.065451388888</v>
      </c>
      <c r="BP895" t="s">
        <v>92</v>
      </c>
      <c r="BQ895" t="s">
        <v>93</v>
      </c>
      <c r="BR895" t="s">
        <v>94</v>
      </c>
    </row>
    <row r="896" spans="1:70" x14ac:dyDescent="0.3">
      <c r="A896" t="str">
        <f>"200495C0100"</f>
        <v>200495C0100</v>
      </c>
      <c r="B896" t="s">
        <v>1917</v>
      </c>
      <c r="C896">
        <v>20</v>
      </c>
      <c r="D896" t="s">
        <v>88</v>
      </c>
      <c r="E896">
        <v>66</v>
      </c>
      <c r="F896" t="s">
        <v>1713</v>
      </c>
      <c r="G896">
        <v>495</v>
      </c>
      <c r="H896">
        <v>1</v>
      </c>
      <c r="I896" t="s">
        <v>98</v>
      </c>
      <c r="J896">
        <v>0</v>
      </c>
      <c r="K896">
        <v>1</v>
      </c>
      <c r="L896">
        <v>5</v>
      </c>
      <c r="M896" t="s">
        <v>127</v>
      </c>
      <c r="N896">
        <v>414</v>
      </c>
      <c r="O896">
        <v>7</v>
      </c>
      <c r="P896" t="s">
        <v>127</v>
      </c>
      <c r="Q896">
        <v>47</v>
      </c>
      <c r="R896">
        <v>75</v>
      </c>
      <c r="S896">
        <v>12</v>
      </c>
      <c r="T896">
        <v>7</v>
      </c>
      <c r="U896">
        <v>18</v>
      </c>
      <c r="V896">
        <v>8</v>
      </c>
      <c r="W896">
        <v>9</v>
      </c>
      <c r="X896">
        <v>4</v>
      </c>
      <c r="Y896">
        <v>192</v>
      </c>
      <c r="Z896">
        <v>5</v>
      </c>
      <c r="AA896">
        <v>3</v>
      </c>
      <c r="AB896">
        <v>8</v>
      </c>
      <c r="AC896">
        <v>1</v>
      </c>
      <c r="AD896">
        <v>1</v>
      </c>
      <c r="AE896">
        <v>0</v>
      </c>
      <c r="AF896">
        <v>0</v>
      </c>
      <c r="AK896">
        <v>6</v>
      </c>
      <c r="AL896">
        <v>2</v>
      </c>
      <c r="AM896">
        <v>0</v>
      </c>
      <c r="AN896">
        <v>0</v>
      </c>
      <c r="AT896">
        <v>2</v>
      </c>
      <c r="BC896">
        <v>0</v>
      </c>
      <c r="BD896">
        <v>14</v>
      </c>
      <c r="BE896">
        <v>414</v>
      </c>
      <c r="BF896">
        <v>414</v>
      </c>
      <c r="BG896">
        <v>593</v>
      </c>
      <c r="BJ896">
        <v>1</v>
      </c>
      <c r="BL896" t="s">
        <v>1918</v>
      </c>
      <c r="BM896" s="4">
        <v>43283.12777777778</v>
      </c>
      <c r="BN896" s="4">
        <v>43283.570138888892</v>
      </c>
      <c r="BO896" s="4">
        <v>43283.570138888892</v>
      </c>
      <c r="BP896" t="s">
        <v>92</v>
      </c>
      <c r="BQ896" t="s">
        <v>93</v>
      </c>
      <c r="BR896" t="s">
        <v>94</v>
      </c>
    </row>
    <row r="897" spans="1:70" x14ac:dyDescent="0.3">
      <c r="A897" t="str">
        <f>"200495C0200"</f>
        <v>200495C0200</v>
      </c>
      <c r="B897" t="s">
        <v>1919</v>
      </c>
      <c r="C897">
        <v>20</v>
      </c>
      <c r="D897" t="s">
        <v>88</v>
      </c>
      <c r="E897">
        <v>66</v>
      </c>
      <c r="F897" t="s">
        <v>1713</v>
      </c>
      <c r="G897">
        <v>495</v>
      </c>
      <c r="H897">
        <v>2</v>
      </c>
      <c r="I897" t="s">
        <v>98</v>
      </c>
      <c r="J897">
        <v>0</v>
      </c>
      <c r="K897">
        <v>1</v>
      </c>
      <c r="L897">
        <v>5</v>
      </c>
      <c r="M897">
        <v>207</v>
      </c>
      <c r="N897">
        <v>408</v>
      </c>
      <c r="O897">
        <v>3</v>
      </c>
      <c r="P897" t="s">
        <v>105</v>
      </c>
      <c r="Q897">
        <v>49</v>
      </c>
      <c r="R897">
        <v>62</v>
      </c>
      <c r="S897">
        <v>16</v>
      </c>
      <c r="T897">
        <v>11</v>
      </c>
      <c r="U897">
        <v>14</v>
      </c>
      <c r="V897">
        <v>14</v>
      </c>
      <c r="W897">
        <v>1</v>
      </c>
      <c r="X897">
        <v>4</v>
      </c>
      <c r="Y897">
        <v>197</v>
      </c>
      <c r="Z897">
        <v>7</v>
      </c>
      <c r="AA897">
        <v>2</v>
      </c>
      <c r="AB897">
        <v>14</v>
      </c>
      <c r="AC897">
        <v>0</v>
      </c>
      <c r="AD897">
        <v>0</v>
      </c>
      <c r="AE897">
        <v>5</v>
      </c>
      <c r="AF897">
        <v>0</v>
      </c>
      <c r="AK897">
        <v>0</v>
      </c>
      <c r="AL897">
        <v>0</v>
      </c>
      <c r="AM897">
        <v>0</v>
      </c>
      <c r="AN897">
        <v>0</v>
      </c>
      <c r="AT897">
        <v>1</v>
      </c>
      <c r="BC897">
        <v>0</v>
      </c>
      <c r="BD897">
        <v>10</v>
      </c>
      <c r="BE897">
        <v>407</v>
      </c>
      <c r="BF897">
        <v>407</v>
      </c>
      <c r="BG897">
        <v>593</v>
      </c>
      <c r="BJ897">
        <v>1</v>
      </c>
      <c r="BL897" t="s">
        <v>1920</v>
      </c>
      <c r="BM897" s="4">
        <v>43283.197222222225</v>
      </c>
      <c r="BN897" s="4">
        <v>43283.21471064815</v>
      </c>
      <c r="BO897" s="4">
        <v>43283.21471064815</v>
      </c>
      <c r="BP897" t="s">
        <v>92</v>
      </c>
      <c r="BQ897" t="s">
        <v>93</v>
      </c>
      <c r="BR897" t="s">
        <v>94</v>
      </c>
    </row>
    <row r="898" spans="1:70" x14ac:dyDescent="0.3">
      <c r="A898" t="str">
        <f>"200496B0100"</f>
        <v>200496B0100</v>
      </c>
      <c r="B898" t="s">
        <v>1921</v>
      </c>
      <c r="C898">
        <v>20</v>
      </c>
      <c r="D898" t="s">
        <v>88</v>
      </c>
      <c r="E898">
        <v>66</v>
      </c>
      <c r="F898" t="s">
        <v>1713</v>
      </c>
      <c r="G898">
        <v>496</v>
      </c>
      <c r="H898">
        <v>1</v>
      </c>
      <c r="I898" t="s">
        <v>90</v>
      </c>
      <c r="J898">
        <v>0</v>
      </c>
      <c r="K898">
        <v>1</v>
      </c>
      <c r="L898">
        <v>5</v>
      </c>
      <c r="M898">
        <v>216</v>
      </c>
      <c r="N898">
        <v>463</v>
      </c>
      <c r="O898">
        <v>4</v>
      </c>
      <c r="P898">
        <v>463</v>
      </c>
      <c r="Q898">
        <v>53</v>
      </c>
      <c r="R898">
        <v>57</v>
      </c>
      <c r="S898">
        <v>5</v>
      </c>
      <c r="T898">
        <v>4</v>
      </c>
      <c r="U898">
        <v>21</v>
      </c>
      <c r="V898">
        <v>14</v>
      </c>
      <c r="W898">
        <v>9</v>
      </c>
      <c r="X898">
        <v>7</v>
      </c>
      <c r="Y898">
        <v>245</v>
      </c>
      <c r="Z898">
        <v>10</v>
      </c>
      <c r="AA898">
        <v>0</v>
      </c>
      <c r="AB898">
        <v>8</v>
      </c>
      <c r="AC898">
        <v>0</v>
      </c>
      <c r="AD898">
        <v>0</v>
      </c>
      <c r="AE898">
        <v>0</v>
      </c>
      <c r="AF898">
        <v>0</v>
      </c>
      <c r="AK898">
        <v>8</v>
      </c>
      <c r="AL898">
        <v>1</v>
      </c>
      <c r="AM898">
        <v>1</v>
      </c>
      <c r="AN898">
        <v>2</v>
      </c>
      <c r="AT898">
        <v>1</v>
      </c>
      <c r="BC898">
        <v>0</v>
      </c>
      <c r="BD898">
        <v>17</v>
      </c>
      <c r="BE898">
        <v>463</v>
      </c>
      <c r="BF898">
        <v>463</v>
      </c>
      <c r="BG898">
        <v>657</v>
      </c>
      <c r="BJ898">
        <v>1</v>
      </c>
      <c r="BL898" t="s">
        <v>1922</v>
      </c>
      <c r="BM898" s="4">
        <v>43283.128472222219</v>
      </c>
      <c r="BN898" s="4">
        <v>43283.132569444446</v>
      </c>
      <c r="BO898" s="4">
        <v>43283.132569444446</v>
      </c>
      <c r="BP898" t="s">
        <v>92</v>
      </c>
      <c r="BQ898" t="s">
        <v>93</v>
      </c>
      <c r="BR898" t="s">
        <v>94</v>
      </c>
    </row>
    <row r="899" spans="1:70" x14ac:dyDescent="0.3">
      <c r="A899" t="str">
        <f>"200496C0100"</f>
        <v>200496C0100</v>
      </c>
      <c r="B899" t="s">
        <v>1923</v>
      </c>
      <c r="C899">
        <v>20</v>
      </c>
      <c r="D899" t="s">
        <v>88</v>
      </c>
      <c r="E899">
        <v>66</v>
      </c>
      <c r="F899" t="s">
        <v>1713</v>
      </c>
      <c r="G899">
        <v>496</v>
      </c>
      <c r="H899">
        <v>1</v>
      </c>
      <c r="I899" t="s">
        <v>98</v>
      </c>
      <c r="J899">
        <v>0</v>
      </c>
      <c r="K899">
        <v>1</v>
      </c>
      <c r="L899">
        <v>5</v>
      </c>
      <c r="M899" t="s">
        <v>105</v>
      </c>
      <c r="N899" t="s">
        <v>105</v>
      </c>
      <c r="O899" t="s">
        <v>105</v>
      </c>
      <c r="P899">
        <v>451</v>
      </c>
      <c r="Q899">
        <v>86</v>
      </c>
      <c r="R899">
        <v>45</v>
      </c>
      <c r="S899">
        <v>15</v>
      </c>
      <c r="T899">
        <v>5</v>
      </c>
      <c r="U899">
        <v>16</v>
      </c>
      <c r="V899">
        <v>9</v>
      </c>
      <c r="W899">
        <v>9</v>
      </c>
      <c r="X899">
        <v>5</v>
      </c>
      <c r="Y899">
        <v>230</v>
      </c>
      <c r="Z899">
        <v>5</v>
      </c>
      <c r="AA899">
        <v>1</v>
      </c>
      <c r="AB899">
        <v>8</v>
      </c>
      <c r="AC899">
        <v>2</v>
      </c>
      <c r="AD899">
        <v>1</v>
      </c>
      <c r="AE899">
        <v>0</v>
      </c>
      <c r="AF899">
        <v>0</v>
      </c>
      <c r="AK899">
        <v>6</v>
      </c>
      <c r="AL899">
        <v>4</v>
      </c>
      <c r="AM899">
        <v>0</v>
      </c>
      <c r="AN899">
        <v>1</v>
      </c>
      <c r="AT899">
        <v>0</v>
      </c>
      <c r="BC899" t="s">
        <v>105</v>
      </c>
      <c r="BD899">
        <v>3</v>
      </c>
      <c r="BE899">
        <v>451</v>
      </c>
      <c r="BF899">
        <v>451</v>
      </c>
      <c r="BG899">
        <v>656</v>
      </c>
      <c r="BI899" t="s">
        <v>106</v>
      </c>
      <c r="BJ899">
        <v>1</v>
      </c>
      <c r="BL899" t="s">
        <v>1924</v>
      </c>
      <c r="BM899" s="4">
        <v>43283.12777777778</v>
      </c>
      <c r="BN899" s="4">
        <v>43283.132511574076</v>
      </c>
      <c r="BO899" s="4">
        <v>43283.132511574076</v>
      </c>
      <c r="BP899" t="s">
        <v>92</v>
      </c>
      <c r="BQ899" t="s">
        <v>93</v>
      </c>
      <c r="BR899" t="s">
        <v>94</v>
      </c>
    </row>
    <row r="900" spans="1:70" x14ac:dyDescent="0.3">
      <c r="A900" t="str">
        <f>"200497B0100"</f>
        <v>200497B0100</v>
      </c>
      <c r="B900" t="s">
        <v>1925</v>
      </c>
      <c r="C900">
        <v>20</v>
      </c>
      <c r="D900" t="s">
        <v>88</v>
      </c>
      <c r="E900">
        <v>66</v>
      </c>
      <c r="F900" t="s">
        <v>1713</v>
      </c>
      <c r="G900">
        <v>497</v>
      </c>
      <c r="H900">
        <v>1</v>
      </c>
      <c r="I900" t="s">
        <v>90</v>
      </c>
      <c r="J900">
        <v>0</v>
      </c>
      <c r="K900">
        <v>1</v>
      </c>
      <c r="L900">
        <v>5</v>
      </c>
      <c r="BG900">
        <v>644</v>
      </c>
      <c r="BI900" t="s">
        <v>122</v>
      </c>
      <c r="BJ900">
        <v>0</v>
      </c>
      <c r="BL900" t="s">
        <v>1926</v>
      </c>
      <c r="BM900" s="4">
        <v>43283.550694444442</v>
      </c>
      <c r="BN900" s="4">
        <v>43283.554456018515</v>
      </c>
      <c r="BO900" s="4">
        <v>43283.554456018515</v>
      </c>
      <c r="BP900" t="s">
        <v>92</v>
      </c>
      <c r="BQ900" t="s">
        <v>93</v>
      </c>
      <c r="BR900" t="s">
        <v>94</v>
      </c>
    </row>
    <row r="901" spans="1:70" x14ac:dyDescent="0.3">
      <c r="A901" t="str">
        <f>"200497C0100"</f>
        <v>200497C0100</v>
      </c>
      <c r="B901" t="s">
        <v>1927</v>
      </c>
      <c r="C901">
        <v>20</v>
      </c>
      <c r="D901" t="s">
        <v>88</v>
      </c>
      <c r="E901">
        <v>66</v>
      </c>
      <c r="F901" t="s">
        <v>1713</v>
      </c>
      <c r="G901">
        <v>497</v>
      </c>
      <c r="H901">
        <v>1</v>
      </c>
      <c r="I901" t="s">
        <v>98</v>
      </c>
      <c r="J901">
        <v>0</v>
      </c>
      <c r="K901">
        <v>1</v>
      </c>
      <c r="L901">
        <v>5</v>
      </c>
      <c r="M901">
        <v>217</v>
      </c>
      <c r="N901">
        <v>448</v>
      </c>
      <c r="O901">
        <v>3</v>
      </c>
      <c r="P901">
        <v>447</v>
      </c>
      <c r="Q901">
        <v>73</v>
      </c>
      <c r="R901">
        <v>38</v>
      </c>
      <c r="S901">
        <v>21</v>
      </c>
      <c r="T901">
        <v>4</v>
      </c>
      <c r="U901">
        <v>17</v>
      </c>
      <c r="V901">
        <v>11</v>
      </c>
      <c r="W901">
        <v>2</v>
      </c>
      <c r="X901">
        <v>4</v>
      </c>
      <c r="Y901">
        <v>233</v>
      </c>
      <c r="Z901">
        <v>10</v>
      </c>
      <c r="AA901">
        <v>4</v>
      </c>
      <c r="AB901">
        <v>8</v>
      </c>
      <c r="AC901">
        <v>0</v>
      </c>
      <c r="AD901">
        <v>1</v>
      </c>
      <c r="AE901">
        <v>1</v>
      </c>
      <c r="AF901">
        <v>0</v>
      </c>
      <c r="AK901">
        <v>4</v>
      </c>
      <c r="AL901">
        <v>0</v>
      </c>
      <c r="AM901">
        <v>0</v>
      </c>
      <c r="AN901">
        <v>0</v>
      </c>
      <c r="AT901">
        <v>2</v>
      </c>
      <c r="BC901">
        <v>0</v>
      </c>
      <c r="BD901">
        <v>14</v>
      </c>
      <c r="BE901">
        <v>447</v>
      </c>
      <c r="BF901">
        <v>447</v>
      </c>
      <c r="BG901">
        <v>643</v>
      </c>
      <c r="BJ901">
        <v>1</v>
      </c>
      <c r="BL901" t="s">
        <v>1928</v>
      </c>
      <c r="BM901" s="4">
        <v>43283.039583333331</v>
      </c>
      <c r="BN901" s="4">
        <v>43283.043796296297</v>
      </c>
      <c r="BO901" s="4">
        <v>43283.043796296297</v>
      </c>
      <c r="BP901" t="s">
        <v>92</v>
      </c>
      <c r="BQ901" t="s">
        <v>93</v>
      </c>
      <c r="BR901" t="s">
        <v>94</v>
      </c>
    </row>
    <row r="902" spans="1:70" x14ac:dyDescent="0.3">
      <c r="A902" t="str">
        <f>"200498B0100"</f>
        <v>200498B0100</v>
      </c>
      <c r="B902" t="s">
        <v>1929</v>
      </c>
      <c r="C902">
        <v>20</v>
      </c>
      <c r="D902" t="s">
        <v>88</v>
      </c>
      <c r="E902">
        <v>66</v>
      </c>
      <c r="F902" t="s">
        <v>1713</v>
      </c>
      <c r="G902">
        <v>498</v>
      </c>
      <c r="H902">
        <v>1</v>
      </c>
      <c r="I902" t="s">
        <v>90</v>
      </c>
      <c r="J902">
        <v>0</v>
      </c>
      <c r="K902">
        <v>1</v>
      </c>
      <c r="L902">
        <v>5</v>
      </c>
      <c r="M902">
        <v>187</v>
      </c>
      <c r="N902">
        <v>470</v>
      </c>
      <c r="O902">
        <v>7</v>
      </c>
      <c r="P902" t="s">
        <v>105</v>
      </c>
      <c r="Q902">
        <v>86</v>
      </c>
      <c r="R902">
        <v>98</v>
      </c>
      <c r="S902">
        <v>14</v>
      </c>
      <c r="T902">
        <v>13</v>
      </c>
      <c r="U902">
        <v>11</v>
      </c>
      <c r="V902">
        <v>8</v>
      </c>
      <c r="W902">
        <v>7</v>
      </c>
      <c r="X902">
        <v>10</v>
      </c>
      <c r="Y902">
        <v>165</v>
      </c>
      <c r="Z902">
        <v>12</v>
      </c>
      <c r="AA902">
        <v>3</v>
      </c>
      <c r="AB902">
        <v>20</v>
      </c>
      <c r="AC902">
        <v>0</v>
      </c>
      <c r="AD902">
        <v>2</v>
      </c>
      <c r="AE902">
        <v>0</v>
      </c>
      <c r="AF902">
        <v>0</v>
      </c>
      <c r="AK902">
        <v>0</v>
      </c>
      <c r="AL902">
        <v>3</v>
      </c>
      <c r="AM902">
        <v>2</v>
      </c>
      <c r="AN902">
        <v>0</v>
      </c>
      <c r="AT902">
        <v>2</v>
      </c>
      <c r="BC902">
        <v>0</v>
      </c>
      <c r="BD902">
        <v>16</v>
      </c>
      <c r="BE902">
        <v>472</v>
      </c>
      <c r="BF902">
        <v>472</v>
      </c>
      <c r="BG902">
        <v>634</v>
      </c>
      <c r="BJ902">
        <v>1</v>
      </c>
      <c r="BL902" t="s">
        <v>1930</v>
      </c>
      <c r="BM902" s="4">
        <v>43283.035416666666</v>
      </c>
      <c r="BN902" s="4">
        <v>43283.044386574074</v>
      </c>
      <c r="BO902" s="4">
        <v>43283.044386574074</v>
      </c>
      <c r="BP902" t="s">
        <v>92</v>
      </c>
      <c r="BQ902" t="s">
        <v>93</v>
      </c>
      <c r="BR902" t="s">
        <v>94</v>
      </c>
    </row>
    <row r="903" spans="1:70" x14ac:dyDescent="0.3">
      <c r="A903" t="str">
        <f>"200498C0100"</f>
        <v>200498C0100</v>
      </c>
      <c r="B903" t="s">
        <v>1931</v>
      </c>
      <c r="C903">
        <v>20</v>
      </c>
      <c r="D903" t="s">
        <v>88</v>
      </c>
      <c r="E903">
        <v>66</v>
      </c>
      <c r="F903" t="s">
        <v>1713</v>
      </c>
      <c r="G903">
        <v>498</v>
      </c>
      <c r="H903">
        <v>1</v>
      </c>
      <c r="I903" t="s">
        <v>98</v>
      </c>
      <c r="J903">
        <v>0</v>
      </c>
      <c r="K903">
        <v>1</v>
      </c>
      <c r="L903">
        <v>5</v>
      </c>
      <c r="M903">
        <v>185</v>
      </c>
      <c r="N903">
        <v>468</v>
      </c>
      <c r="O903">
        <v>7</v>
      </c>
      <c r="P903" t="s">
        <v>105</v>
      </c>
      <c r="Q903">
        <v>89</v>
      </c>
      <c r="R903">
        <v>98</v>
      </c>
      <c r="S903">
        <v>8</v>
      </c>
      <c r="T903">
        <v>8</v>
      </c>
      <c r="U903">
        <v>9</v>
      </c>
      <c r="V903">
        <v>13</v>
      </c>
      <c r="W903">
        <v>6</v>
      </c>
      <c r="X903">
        <v>7</v>
      </c>
      <c r="Y903">
        <v>175</v>
      </c>
      <c r="Z903">
        <v>8</v>
      </c>
      <c r="AA903">
        <v>3</v>
      </c>
      <c r="AB903">
        <v>14</v>
      </c>
      <c r="AC903">
        <v>5</v>
      </c>
      <c r="AD903" t="s">
        <v>105</v>
      </c>
      <c r="AE903" t="s">
        <v>105</v>
      </c>
      <c r="AF903" t="s">
        <v>105</v>
      </c>
      <c r="AK903">
        <v>7</v>
      </c>
      <c r="AL903">
        <v>1</v>
      </c>
      <c r="AM903" t="s">
        <v>105</v>
      </c>
      <c r="AN903" t="s">
        <v>105</v>
      </c>
      <c r="AT903" t="s">
        <v>105</v>
      </c>
      <c r="BC903" t="s">
        <v>105</v>
      </c>
      <c r="BD903" t="s">
        <v>105</v>
      </c>
      <c r="BE903" t="s">
        <v>105</v>
      </c>
      <c r="BF903">
        <v>451</v>
      </c>
      <c r="BG903">
        <v>633</v>
      </c>
      <c r="BI903" t="s">
        <v>106</v>
      </c>
      <c r="BJ903">
        <v>1</v>
      </c>
      <c r="BL903" t="s">
        <v>1932</v>
      </c>
      <c r="BM903" s="4">
        <v>43283.040277777778</v>
      </c>
      <c r="BN903" s="4">
        <v>43283.045289351852</v>
      </c>
      <c r="BO903" s="4">
        <v>43283.045289351852</v>
      </c>
      <c r="BP903" t="s">
        <v>92</v>
      </c>
      <c r="BQ903" t="s">
        <v>93</v>
      </c>
      <c r="BR903" t="s">
        <v>94</v>
      </c>
    </row>
    <row r="904" spans="1:70" x14ac:dyDescent="0.3">
      <c r="A904" t="str">
        <f>"200499B0100"</f>
        <v>200499B0100</v>
      </c>
      <c r="B904" t="s">
        <v>1933</v>
      </c>
      <c r="C904">
        <v>20</v>
      </c>
      <c r="D904" t="s">
        <v>88</v>
      </c>
      <c r="E904">
        <v>66</v>
      </c>
      <c r="F904" t="s">
        <v>1713</v>
      </c>
      <c r="G904">
        <v>499</v>
      </c>
      <c r="H904">
        <v>1</v>
      </c>
      <c r="I904" t="s">
        <v>90</v>
      </c>
      <c r="J904">
        <v>0</v>
      </c>
      <c r="K904">
        <v>1</v>
      </c>
      <c r="L904">
        <v>5</v>
      </c>
      <c r="M904">
        <v>186</v>
      </c>
      <c r="N904">
        <v>502</v>
      </c>
      <c r="O904">
        <v>6</v>
      </c>
      <c r="P904">
        <v>481</v>
      </c>
      <c r="Q904">
        <v>105</v>
      </c>
      <c r="R904">
        <v>121</v>
      </c>
      <c r="S904">
        <v>16</v>
      </c>
      <c r="T904">
        <v>10</v>
      </c>
      <c r="U904">
        <v>16</v>
      </c>
      <c r="V904">
        <v>13</v>
      </c>
      <c r="W904">
        <v>8</v>
      </c>
      <c r="X904">
        <v>7</v>
      </c>
      <c r="Y904">
        <v>142</v>
      </c>
      <c r="Z904">
        <v>9</v>
      </c>
      <c r="AA904">
        <v>4</v>
      </c>
      <c r="AB904">
        <v>14</v>
      </c>
      <c r="AC904">
        <v>5</v>
      </c>
      <c r="AD904">
        <v>0</v>
      </c>
      <c r="AE904">
        <v>1</v>
      </c>
      <c r="AF904">
        <v>0</v>
      </c>
      <c r="AK904">
        <v>7</v>
      </c>
      <c r="AL904">
        <v>0</v>
      </c>
      <c r="AM904">
        <v>3</v>
      </c>
      <c r="AN904">
        <v>0</v>
      </c>
      <c r="AT904">
        <v>1</v>
      </c>
      <c r="BC904">
        <v>1</v>
      </c>
      <c r="BD904">
        <v>13</v>
      </c>
      <c r="BE904">
        <v>496</v>
      </c>
      <c r="BF904">
        <v>496</v>
      </c>
      <c r="BG904">
        <v>660</v>
      </c>
      <c r="BJ904">
        <v>1</v>
      </c>
      <c r="BL904" t="s">
        <v>1934</v>
      </c>
      <c r="BM904" s="4">
        <v>43283.011805555558</v>
      </c>
      <c r="BN904" s="4">
        <v>43283.019930555558</v>
      </c>
      <c r="BO904" s="4">
        <v>43283.019930555558</v>
      </c>
      <c r="BP904" t="s">
        <v>92</v>
      </c>
      <c r="BQ904" t="s">
        <v>93</v>
      </c>
      <c r="BR904" t="s">
        <v>94</v>
      </c>
    </row>
    <row r="905" spans="1:70" x14ac:dyDescent="0.3">
      <c r="A905" t="str">
        <f>"200499C0100"</f>
        <v>200499C0100</v>
      </c>
      <c r="B905" t="s">
        <v>1935</v>
      </c>
      <c r="C905">
        <v>20</v>
      </c>
      <c r="D905" t="s">
        <v>88</v>
      </c>
      <c r="E905">
        <v>66</v>
      </c>
      <c r="F905" t="s">
        <v>1713</v>
      </c>
      <c r="G905">
        <v>499</v>
      </c>
      <c r="H905">
        <v>1</v>
      </c>
      <c r="I905" t="s">
        <v>98</v>
      </c>
      <c r="J905">
        <v>0</v>
      </c>
      <c r="K905">
        <v>1</v>
      </c>
      <c r="L905">
        <v>5</v>
      </c>
      <c r="M905">
        <v>175</v>
      </c>
      <c r="N905">
        <v>507</v>
      </c>
      <c r="O905">
        <v>4</v>
      </c>
      <c r="P905">
        <v>507</v>
      </c>
      <c r="Q905">
        <v>96</v>
      </c>
      <c r="R905">
        <v>122</v>
      </c>
      <c r="S905">
        <v>17</v>
      </c>
      <c r="T905">
        <v>4</v>
      </c>
      <c r="U905">
        <v>11</v>
      </c>
      <c r="V905">
        <v>10</v>
      </c>
      <c r="W905">
        <v>5</v>
      </c>
      <c r="X905">
        <v>8</v>
      </c>
      <c r="Y905">
        <v>178</v>
      </c>
      <c r="Z905">
        <v>3</v>
      </c>
      <c r="AA905">
        <v>2</v>
      </c>
      <c r="AB905">
        <v>20</v>
      </c>
      <c r="AC905">
        <v>5</v>
      </c>
      <c r="AD905">
        <v>3</v>
      </c>
      <c r="AE905">
        <v>0</v>
      </c>
      <c r="AF905">
        <v>1</v>
      </c>
      <c r="AK905">
        <v>3</v>
      </c>
      <c r="AL905">
        <v>1</v>
      </c>
      <c r="AM905">
        <v>0</v>
      </c>
      <c r="AN905">
        <v>0</v>
      </c>
      <c r="AT905">
        <v>4</v>
      </c>
      <c r="BC905">
        <v>1</v>
      </c>
      <c r="BD905">
        <v>13</v>
      </c>
      <c r="BE905">
        <v>507</v>
      </c>
      <c r="BF905">
        <v>507</v>
      </c>
      <c r="BG905">
        <v>660</v>
      </c>
      <c r="BJ905">
        <v>1</v>
      </c>
      <c r="BL905" t="s">
        <v>1936</v>
      </c>
      <c r="BM905" s="4">
        <v>43283.036805555559</v>
      </c>
      <c r="BN905" s="4">
        <v>43283.042962962965</v>
      </c>
      <c r="BO905" s="4">
        <v>43283.042962962965</v>
      </c>
      <c r="BP905" t="s">
        <v>92</v>
      </c>
      <c r="BQ905" t="s">
        <v>93</v>
      </c>
      <c r="BR905" t="s">
        <v>94</v>
      </c>
    </row>
    <row r="906" spans="1:70" x14ac:dyDescent="0.3">
      <c r="A906" t="str">
        <f>"200500B0100"</f>
        <v>200500B0100</v>
      </c>
      <c r="B906" t="s">
        <v>1937</v>
      </c>
      <c r="C906">
        <v>20</v>
      </c>
      <c r="D906" t="s">
        <v>88</v>
      </c>
      <c r="E906">
        <v>66</v>
      </c>
      <c r="F906" t="s">
        <v>1713</v>
      </c>
      <c r="G906">
        <v>500</v>
      </c>
      <c r="H906">
        <v>1</v>
      </c>
      <c r="I906" t="s">
        <v>90</v>
      </c>
      <c r="J906">
        <v>0</v>
      </c>
      <c r="K906">
        <v>1</v>
      </c>
      <c r="L906">
        <v>5</v>
      </c>
      <c r="M906">
        <v>245</v>
      </c>
      <c r="N906">
        <v>667</v>
      </c>
      <c r="O906">
        <v>8</v>
      </c>
      <c r="P906">
        <v>422</v>
      </c>
      <c r="Q906">
        <v>110</v>
      </c>
      <c r="R906">
        <v>53</v>
      </c>
      <c r="S906">
        <v>15</v>
      </c>
      <c r="T906">
        <v>6</v>
      </c>
      <c r="U906">
        <v>16</v>
      </c>
      <c r="V906">
        <v>14</v>
      </c>
      <c r="W906">
        <v>6</v>
      </c>
      <c r="X906">
        <v>2</v>
      </c>
      <c r="Y906">
        <v>170</v>
      </c>
      <c r="Z906">
        <v>6</v>
      </c>
      <c r="AA906">
        <v>1</v>
      </c>
      <c r="AB906">
        <v>8</v>
      </c>
      <c r="AC906">
        <v>1</v>
      </c>
      <c r="AD906">
        <v>0</v>
      </c>
      <c r="AE906">
        <v>1</v>
      </c>
      <c r="AF906">
        <v>0</v>
      </c>
      <c r="AK906">
        <v>4</v>
      </c>
      <c r="AL906">
        <v>0</v>
      </c>
      <c r="AM906">
        <v>0</v>
      </c>
      <c r="AN906">
        <v>2</v>
      </c>
      <c r="AT906">
        <v>1</v>
      </c>
      <c r="BC906">
        <v>0</v>
      </c>
      <c r="BD906">
        <v>6</v>
      </c>
      <c r="BE906">
        <v>422</v>
      </c>
      <c r="BF906">
        <v>422</v>
      </c>
      <c r="BG906">
        <v>645</v>
      </c>
      <c r="BJ906">
        <v>1</v>
      </c>
      <c r="BL906" t="s">
        <v>1938</v>
      </c>
      <c r="BM906" s="4">
        <v>43282.93037037037</v>
      </c>
      <c r="BN906" s="4">
        <v>43282.934745370374</v>
      </c>
      <c r="BO906" s="4">
        <v>43282.934745370374</v>
      </c>
      <c r="BP906" t="s">
        <v>339</v>
      </c>
      <c r="BQ906" t="s">
        <v>340</v>
      </c>
      <c r="BR906" t="s">
        <v>94</v>
      </c>
    </row>
    <row r="907" spans="1:70" x14ac:dyDescent="0.3">
      <c r="A907" t="str">
        <f>"200500C0100"</f>
        <v>200500C0100</v>
      </c>
      <c r="B907" t="s">
        <v>1939</v>
      </c>
      <c r="C907">
        <v>20</v>
      </c>
      <c r="D907" t="s">
        <v>88</v>
      </c>
      <c r="E907">
        <v>66</v>
      </c>
      <c r="F907" t="s">
        <v>1713</v>
      </c>
      <c r="G907">
        <v>500</v>
      </c>
      <c r="H907">
        <v>1</v>
      </c>
      <c r="I907" t="s">
        <v>98</v>
      </c>
      <c r="J907">
        <v>0</v>
      </c>
      <c r="K907">
        <v>1</v>
      </c>
      <c r="L907">
        <v>5</v>
      </c>
      <c r="M907">
        <v>269</v>
      </c>
      <c r="N907">
        <v>398</v>
      </c>
      <c r="O907">
        <v>3</v>
      </c>
      <c r="P907">
        <v>398</v>
      </c>
      <c r="Q907">
        <v>93</v>
      </c>
      <c r="R907">
        <v>33</v>
      </c>
      <c r="S907">
        <v>21</v>
      </c>
      <c r="T907">
        <v>8</v>
      </c>
      <c r="U907">
        <v>12</v>
      </c>
      <c r="V907">
        <v>13</v>
      </c>
      <c r="W907">
        <v>6</v>
      </c>
      <c r="X907">
        <v>3</v>
      </c>
      <c r="Y907">
        <v>174</v>
      </c>
      <c r="Z907">
        <v>10</v>
      </c>
      <c r="AA907">
        <v>0</v>
      </c>
      <c r="AB907">
        <v>3</v>
      </c>
      <c r="AC907">
        <v>4</v>
      </c>
      <c r="AD907">
        <v>0</v>
      </c>
      <c r="AE907">
        <v>1</v>
      </c>
      <c r="AF907">
        <v>0</v>
      </c>
      <c r="AK907" t="s">
        <v>127</v>
      </c>
      <c r="AL907">
        <v>0</v>
      </c>
      <c r="AM907">
        <v>0</v>
      </c>
      <c r="AN907">
        <v>0</v>
      </c>
      <c r="AT907">
        <v>14</v>
      </c>
      <c r="BC907">
        <v>0</v>
      </c>
      <c r="BD907">
        <v>14</v>
      </c>
      <c r="BE907">
        <v>398</v>
      </c>
      <c r="BF907">
        <v>409</v>
      </c>
      <c r="BG907">
        <v>645</v>
      </c>
      <c r="BI907" t="s">
        <v>106</v>
      </c>
      <c r="BJ907">
        <v>1</v>
      </c>
      <c r="BL907" t="s">
        <v>1940</v>
      </c>
      <c r="BM907" s="4">
        <v>43282.990486111114</v>
      </c>
      <c r="BN907" s="4">
        <v>43282.996863425928</v>
      </c>
      <c r="BO907" s="4">
        <v>43282.996863425928</v>
      </c>
      <c r="BP907" t="s">
        <v>339</v>
      </c>
      <c r="BQ907" t="s">
        <v>340</v>
      </c>
      <c r="BR907" t="s">
        <v>94</v>
      </c>
    </row>
    <row r="908" spans="1:70" x14ac:dyDescent="0.3">
      <c r="A908" t="str">
        <f>"200500C0200"</f>
        <v>200500C0200</v>
      </c>
      <c r="B908" t="s">
        <v>1941</v>
      </c>
      <c r="C908">
        <v>20</v>
      </c>
      <c r="D908" t="s">
        <v>88</v>
      </c>
      <c r="E908">
        <v>66</v>
      </c>
      <c r="F908" t="s">
        <v>1713</v>
      </c>
      <c r="G908">
        <v>500</v>
      </c>
      <c r="H908">
        <v>2</v>
      </c>
      <c r="I908" t="s">
        <v>98</v>
      </c>
      <c r="J908">
        <v>0</v>
      </c>
      <c r="K908">
        <v>1</v>
      </c>
      <c r="L908">
        <v>5</v>
      </c>
      <c r="M908">
        <v>259</v>
      </c>
      <c r="N908">
        <v>408</v>
      </c>
      <c r="O908">
        <v>2</v>
      </c>
      <c r="P908">
        <v>397</v>
      </c>
      <c r="Q908">
        <v>104</v>
      </c>
      <c r="R908">
        <v>42</v>
      </c>
      <c r="S908">
        <v>16</v>
      </c>
      <c r="T908">
        <v>12</v>
      </c>
      <c r="U908">
        <v>15</v>
      </c>
      <c r="V908">
        <v>11</v>
      </c>
      <c r="W908">
        <v>11</v>
      </c>
      <c r="X908">
        <v>4</v>
      </c>
      <c r="Y908">
        <v>143</v>
      </c>
      <c r="Z908">
        <v>6</v>
      </c>
      <c r="AA908">
        <v>2</v>
      </c>
      <c r="AB908">
        <v>12</v>
      </c>
      <c r="AC908">
        <v>4</v>
      </c>
      <c r="AD908">
        <v>0</v>
      </c>
      <c r="AE908">
        <v>0</v>
      </c>
      <c r="AF908">
        <v>0</v>
      </c>
      <c r="AK908">
        <v>4</v>
      </c>
      <c r="AL908">
        <v>0</v>
      </c>
      <c r="AM908">
        <v>0</v>
      </c>
      <c r="AN908">
        <v>2</v>
      </c>
      <c r="AT908">
        <v>2</v>
      </c>
      <c r="BC908">
        <v>0</v>
      </c>
      <c r="BD908">
        <v>18</v>
      </c>
      <c r="BE908">
        <v>408</v>
      </c>
      <c r="BF908">
        <v>408</v>
      </c>
      <c r="BG908">
        <v>645</v>
      </c>
      <c r="BJ908">
        <v>1</v>
      </c>
      <c r="BL908" t="s">
        <v>1942</v>
      </c>
      <c r="BM908" s="4">
        <v>43282.96025462963</v>
      </c>
      <c r="BN908" s="4">
        <v>43282.965312499997</v>
      </c>
      <c r="BO908" s="4">
        <v>43282.965312499997</v>
      </c>
      <c r="BP908" t="s">
        <v>339</v>
      </c>
      <c r="BQ908" t="s">
        <v>340</v>
      </c>
      <c r="BR908" t="s">
        <v>94</v>
      </c>
    </row>
    <row r="909" spans="1:70" x14ac:dyDescent="0.3">
      <c r="A909" t="str">
        <f>"200500C0300"</f>
        <v>200500C0300</v>
      </c>
      <c r="B909" t="s">
        <v>1943</v>
      </c>
      <c r="C909">
        <v>20</v>
      </c>
      <c r="D909" t="s">
        <v>88</v>
      </c>
      <c r="E909">
        <v>66</v>
      </c>
      <c r="F909" t="s">
        <v>1713</v>
      </c>
      <c r="G909">
        <v>500</v>
      </c>
      <c r="H909">
        <v>3</v>
      </c>
      <c r="I909" t="s">
        <v>98</v>
      </c>
      <c r="J909">
        <v>0</v>
      </c>
      <c r="K909">
        <v>1</v>
      </c>
      <c r="L909">
        <v>5</v>
      </c>
      <c r="M909">
        <v>250</v>
      </c>
      <c r="N909">
        <v>415</v>
      </c>
      <c r="O909">
        <v>5</v>
      </c>
      <c r="P909">
        <v>412</v>
      </c>
      <c r="Q909">
        <v>113</v>
      </c>
      <c r="R909">
        <v>47</v>
      </c>
      <c r="S909">
        <v>15</v>
      </c>
      <c r="T909">
        <v>4</v>
      </c>
      <c r="U909">
        <v>15</v>
      </c>
      <c r="V909">
        <v>9</v>
      </c>
      <c r="W909">
        <v>4</v>
      </c>
      <c r="X909">
        <v>2</v>
      </c>
      <c r="Y909">
        <v>158</v>
      </c>
      <c r="Z909">
        <v>5</v>
      </c>
      <c r="AA909">
        <v>1</v>
      </c>
      <c r="AB909">
        <v>9</v>
      </c>
      <c r="AC909">
        <v>2</v>
      </c>
      <c r="AD909">
        <v>2</v>
      </c>
      <c r="AE909">
        <v>1</v>
      </c>
      <c r="AF909">
        <v>0</v>
      </c>
      <c r="AK909">
        <v>7</v>
      </c>
      <c r="AL909">
        <v>1</v>
      </c>
      <c r="AM909">
        <v>1</v>
      </c>
      <c r="AN909">
        <v>1</v>
      </c>
      <c r="AT909">
        <v>0</v>
      </c>
      <c r="BC909">
        <v>0</v>
      </c>
      <c r="BD909">
        <v>15</v>
      </c>
      <c r="BE909">
        <v>412</v>
      </c>
      <c r="BF909">
        <v>412</v>
      </c>
      <c r="BG909">
        <v>644</v>
      </c>
      <c r="BJ909">
        <v>1</v>
      </c>
      <c r="BL909" t="s">
        <v>1944</v>
      </c>
      <c r="BM909" s="4">
        <v>43282.975914351853</v>
      </c>
      <c r="BN909" s="4">
        <v>43282.979745370372</v>
      </c>
      <c r="BO909" s="4">
        <v>43282.979745370372</v>
      </c>
      <c r="BP909" t="s">
        <v>339</v>
      </c>
      <c r="BQ909" t="s">
        <v>340</v>
      </c>
      <c r="BR909" t="s">
        <v>94</v>
      </c>
    </row>
    <row r="910" spans="1:70" x14ac:dyDescent="0.3">
      <c r="A910" t="str">
        <f>"200500C0400"</f>
        <v>200500C0400</v>
      </c>
      <c r="B910" t="s">
        <v>1945</v>
      </c>
      <c r="C910">
        <v>20</v>
      </c>
      <c r="D910" t="s">
        <v>88</v>
      </c>
      <c r="E910">
        <v>66</v>
      </c>
      <c r="F910" t="s">
        <v>1713</v>
      </c>
      <c r="G910">
        <v>500</v>
      </c>
      <c r="H910">
        <v>4</v>
      </c>
      <c r="I910" t="s">
        <v>98</v>
      </c>
      <c r="J910">
        <v>0</v>
      </c>
      <c r="K910">
        <v>1</v>
      </c>
      <c r="L910">
        <v>5</v>
      </c>
      <c r="M910">
        <v>278</v>
      </c>
      <c r="N910">
        <v>388</v>
      </c>
      <c r="O910">
        <v>0</v>
      </c>
      <c r="P910">
        <v>388</v>
      </c>
      <c r="Q910">
        <v>95</v>
      </c>
      <c r="R910">
        <v>53</v>
      </c>
      <c r="S910">
        <v>16</v>
      </c>
      <c r="T910">
        <v>5</v>
      </c>
      <c r="U910">
        <v>9</v>
      </c>
      <c r="V910">
        <v>8</v>
      </c>
      <c r="W910">
        <v>5</v>
      </c>
      <c r="X910">
        <v>3</v>
      </c>
      <c r="Y910">
        <v>147</v>
      </c>
      <c r="Z910">
        <v>6</v>
      </c>
      <c r="AA910">
        <v>5</v>
      </c>
      <c r="AB910">
        <v>5</v>
      </c>
      <c r="AC910">
        <v>2</v>
      </c>
      <c r="AD910">
        <v>3</v>
      </c>
      <c r="AE910">
        <v>1</v>
      </c>
      <c r="AF910">
        <v>0</v>
      </c>
      <c r="AK910">
        <v>5</v>
      </c>
      <c r="AL910">
        <v>2</v>
      </c>
      <c r="AM910">
        <v>0</v>
      </c>
      <c r="AN910">
        <v>0</v>
      </c>
      <c r="AT910">
        <v>3</v>
      </c>
      <c r="BC910">
        <v>0</v>
      </c>
      <c r="BD910">
        <v>15</v>
      </c>
      <c r="BE910">
        <v>388</v>
      </c>
      <c r="BF910">
        <v>388</v>
      </c>
      <c r="BG910">
        <v>644</v>
      </c>
      <c r="BJ910">
        <v>1</v>
      </c>
      <c r="BL910" t="s">
        <v>1946</v>
      </c>
      <c r="BM910" s="4">
        <v>43282.982557870368</v>
      </c>
      <c r="BN910" s="4">
        <v>43282.984976851854</v>
      </c>
      <c r="BO910" s="4">
        <v>43282.984976851854</v>
      </c>
      <c r="BP910" t="s">
        <v>339</v>
      </c>
      <c r="BQ910" t="s">
        <v>340</v>
      </c>
      <c r="BR910" t="s">
        <v>94</v>
      </c>
    </row>
    <row r="911" spans="1:70" x14ac:dyDescent="0.3">
      <c r="A911" t="str">
        <f>"200500C0500"</f>
        <v>200500C0500</v>
      </c>
      <c r="B911" t="s">
        <v>1947</v>
      </c>
      <c r="C911">
        <v>20</v>
      </c>
      <c r="D911" t="s">
        <v>88</v>
      </c>
      <c r="E911">
        <v>66</v>
      </c>
      <c r="F911" t="s">
        <v>1713</v>
      </c>
      <c r="G911">
        <v>500</v>
      </c>
      <c r="H911">
        <v>5</v>
      </c>
      <c r="I911" t="s">
        <v>98</v>
      </c>
      <c r="J911">
        <v>0</v>
      </c>
      <c r="K911">
        <v>1</v>
      </c>
      <c r="L911">
        <v>5</v>
      </c>
      <c r="M911">
        <v>229</v>
      </c>
      <c r="N911">
        <v>435</v>
      </c>
      <c r="O911">
        <v>4</v>
      </c>
      <c r="P911">
        <v>437</v>
      </c>
      <c r="Q911">
        <v>110</v>
      </c>
      <c r="R911">
        <v>50</v>
      </c>
      <c r="S911">
        <v>19</v>
      </c>
      <c r="T911">
        <v>8</v>
      </c>
      <c r="U911">
        <v>26</v>
      </c>
      <c r="V911">
        <v>17</v>
      </c>
      <c r="W911">
        <v>3</v>
      </c>
      <c r="X911">
        <v>3</v>
      </c>
      <c r="Y911">
        <v>172</v>
      </c>
      <c r="Z911">
        <v>5</v>
      </c>
      <c r="AA911">
        <v>3</v>
      </c>
      <c r="AB911">
        <v>3</v>
      </c>
      <c r="AC911">
        <v>3</v>
      </c>
      <c r="AD911">
        <v>0</v>
      </c>
      <c r="AE911">
        <v>0</v>
      </c>
      <c r="AF911">
        <v>0</v>
      </c>
      <c r="AK911">
        <v>5</v>
      </c>
      <c r="AL911">
        <v>0</v>
      </c>
      <c r="AM911">
        <v>0</v>
      </c>
      <c r="AN911">
        <v>0</v>
      </c>
      <c r="AT911">
        <v>0</v>
      </c>
      <c r="BC911">
        <v>0</v>
      </c>
      <c r="BD911">
        <v>10</v>
      </c>
      <c r="BE911">
        <v>437</v>
      </c>
      <c r="BF911">
        <v>437</v>
      </c>
      <c r="BG911">
        <v>644</v>
      </c>
      <c r="BJ911">
        <v>1</v>
      </c>
      <c r="BL911" t="s">
        <v>1948</v>
      </c>
      <c r="BM911" s="4">
        <v>43282.971168981479</v>
      </c>
      <c r="BN911" s="4">
        <v>43282.978622685187</v>
      </c>
      <c r="BO911" s="4">
        <v>43282.978622685187</v>
      </c>
      <c r="BP911" t="s">
        <v>339</v>
      </c>
      <c r="BQ911" t="s">
        <v>340</v>
      </c>
      <c r="BR911" t="s">
        <v>94</v>
      </c>
    </row>
    <row r="912" spans="1:70" x14ac:dyDescent="0.3">
      <c r="A912" t="str">
        <f>"200501B0100"</f>
        <v>200501B0100</v>
      </c>
      <c r="B912" t="s">
        <v>1949</v>
      </c>
      <c r="C912">
        <v>20</v>
      </c>
      <c r="D912" t="s">
        <v>88</v>
      </c>
      <c r="E912">
        <v>66</v>
      </c>
      <c r="F912" t="s">
        <v>1713</v>
      </c>
      <c r="G912">
        <v>501</v>
      </c>
      <c r="H912">
        <v>1</v>
      </c>
      <c r="I912" t="s">
        <v>90</v>
      </c>
      <c r="J912">
        <v>0</v>
      </c>
      <c r="K912">
        <v>1</v>
      </c>
      <c r="L912">
        <v>5</v>
      </c>
      <c r="M912">
        <v>228</v>
      </c>
      <c r="N912">
        <v>353</v>
      </c>
      <c r="O912">
        <v>9</v>
      </c>
      <c r="P912">
        <v>364</v>
      </c>
      <c r="Q912">
        <v>87</v>
      </c>
      <c r="R912">
        <v>37</v>
      </c>
      <c r="S912">
        <v>13</v>
      </c>
      <c r="T912">
        <v>3</v>
      </c>
      <c r="U912">
        <v>14</v>
      </c>
      <c r="V912">
        <v>10</v>
      </c>
      <c r="W912">
        <v>4</v>
      </c>
      <c r="X912">
        <v>3</v>
      </c>
      <c r="Y912">
        <v>156</v>
      </c>
      <c r="Z912">
        <v>5</v>
      </c>
      <c r="AA912">
        <v>1</v>
      </c>
      <c r="AB912">
        <v>7</v>
      </c>
      <c r="AC912">
        <v>3</v>
      </c>
      <c r="AD912">
        <v>1</v>
      </c>
      <c r="AE912">
        <v>0</v>
      </c>
      <c r="AF912">
        <v>1</v>
      </c>
      <c r="AK912">
        <v>3</v>
      </c>
      <c r="AL912">
        <v>2</v>
      </c>
      <c r="AM912">
        <v>0</v>
      </c>
      <c r="AN912">
        <v>3</v>
      </c>
      <c r="AT912">
        <v>2</v>
      </c>
      <c r="BC912">
        <v>1</v>
      </c>
      <c r="BD912">
        <v>8</v>
      </c>
      <c r="BE912">
        <v>364</v>
      </c>
      <c r="BF912">
        <v>364</v>
      </c>
      <c r="BG912">
        <v>559</v>
      </c>
      <c r="BJ912">
        <v>1</v>
      </c>
      <c r="BL912" t="s">
        <v>1950</v>
      </c>
      <c r="BM912" s="4">
        <v>43283.127083333333</v>
      </c>
      <c r="BN912" s="4">
        <v>43283.132187499999</v>
      </c>
      <c r="BO912" s="4">
        <v>43283.132187499999</v>
      </c>
      <c r="BP912" t="s">
        <v>92</v>
      </c>
      <c r="BQ912" t="s">
        <v>93</v>
      </c>
      <c r="BR912" t="s">
        <v>94</v>
      </c>
    </row>
    <row r="913" spans="1:70" x14ac:dyDescent="0.3">
      <c r="A913" t="str">
        <f>"200501C0100"</f>
        <v>200501C0100</v>
      </c>
      <c r="B913" t="s">
        <v>1951</v>
      </c>
      <c r="C913">
        <v>20</v>
      </c>
      <c r="D913" t="s">
        <v>88</v>
      </c>
      <c r="E913">
        <v>66</v>
      </c>
      <c r="F913" t="s">
        <v>1713</v>
      </c>
      <c r="G913">
        <v>501</v>
      </c>
      <c r="H913">
        <v>1</v>
      </c>
      <c r="I913" t="s">
        <v>98</v>
      </c>
      <c r="J913">
        <v>0</v>
      </c>
      <c r="K913">
        <v>1</v>
      </c>
      <c r="L913">
        <v>5</v>
      </c>
      <c r="M913">
        <v>237</v>
      </c>
      <c r="N913">
        <v>344</v>
      </c>
      <c r="O913">
        <v>10</v>
      </c>
      <c r="P913">
        <v>337</v>
      </c>
      <c r="Q913">
        <v>66</v>
      </c>
      <c r="R913">
        <v>42</v>
      </c>
      <c r="S913">
        <v>11</v>
      </c>
      <c r="T913">
        <v>7</v>
      </c>
      <c r="U913">
        <v>11</v>
      </c>
      <c r="V913">
        <v>7</v>
      </c>
      <c r="W913">
        <v>11</v>
      </c>
      <c r="X913">
        <v>2</v>
      </c>
      <c r="Y913">
        <v>140</v>
      </c>
      <c r="Z913">
        <v>11</v>
      </c>
      <c r="AA913">
        <v>3</v>
      </c>
      <c r="AB913">
        <v>9</v>
      </c>
      <c r="AC913">
        <v>2</v>
      </c>
      <c r="AD913">
        <v>0</v>
      </c>
      <c r="AE913">
        <v>0</v>
      </c>
      <c r="AF913">
        <v>0</v>
      </c>
      <c r="AK913">
        <v>5</v>
      </c>
      <c r="AL913">
        <v>1</v>
      </c>
      <c r="AM913">
        <v>1</v>
      </c>
      <c r="AN913">
        <v>0</v>
      </c>
      <c r="AT913">
        <v>0</v>
      </c>
      <c r="BC913">
        <v>3</v>
      </c>
      <c r="BD913">
        <v>5</v>
      </c>
      <c r="BE913">
        <v>337</v>
      </c>
      <c r="BF913">
        <v>337</v>
      </c>
      <c r="BG913">
        <v>559</v>
      </c>
      <c r="BJ913">
        <v>1</v>
      </c>
      <c r="BL913" t="s">
        <v>1952</v>
      </c>
      <c r="BM913" s="4">
        <v>43283.127083333333</v>
      </c>
      <c r="BN913" s="4">
        <v>43283.153738425928</v>
      </c>
      <c r="BO913" s="4">
        <v>43283.153738425928</v>
      </c>
      <c r="BP913" t="s">
        <v>92</v>
      </c>
      <c r="BQ913" t="s">
        <v>93</v>
      </c>
      <c r="BR913" t="s">
        <v>94</v>
      </c>
    </row>
    <row r="914" spans="1:70" x14ac:dyDescent="0.3">
      <c r="A914" t="str">
        <f>"200501C0200"</f>
        <v>200501C0200</v>
      </c>
      <c r="B914" t="s">
        <v>1953</v>
      </c>
      <c r="C914">
        <v>20</v>
      </c>
      <c r="D914" t="s">
        <v>88</v>
      </c>
      <c r="E914">
        <v>66</v>
      </c>
      <c r="F914" t="s">
        <v>1713</v>
      </c>
      <c r="G914">
        <v>501</v>
      </c>
      <c r="H914">
        <v>2</v>
      </c>
      <c r="I914" t="s">
        <v>98</v>
      </c>
      <c r="J914">
        <v>0</v>
      </c>
      <c r="K914">
        <v>1</v>
      </c>
      <c r="L914">
        <v>5</v>
      </c>
      <c r="M914">
        <v>212</v>
      </c>
      <c r="N914">
        <v>367</v>
      </c>
      <c r="O914">
        <v>7</v>
      </c>
      <c r="P914">
        <v>370</v>
      </c>
      <c r="Q914">
        <v>77</v>
      </c>
      <c r="R914">
        <v>38</v>
      </c>
      <c r="S914">
        <v>17</v>
      </c>
      <c r="T914">
        <v>6</v>
      </c>
      <c r="U914">
        <v>19</v>
      </c>
      <c r="V914">
        <v>10</v>
      </c>
      <c r="W914">
        <v>2</v>
      </c>
      <c r="X914">
        <v>3</v>
      </c>
      <c r="Y914">
        <v>163</v>
      </c>
      <c r="Z914">
        <v>6</v>
      </c>
      <c r="AA914">
        <v>2</v>
      </c>
      <c r="AB914">
        <v>6</v>
      </c>
      <c r="AC914">
        <v>1</v>
      </c>
      <c r="AD914">
        <v>0</v>
      </c>
      <c r="AE914">
        <v>2</v>
      </c>
      <c r="AF914">
        <v>0</v>
      </c>
      <c r="AK914">
        <v>8</v>
      </c>
      <c r="AL914">
        <v>2</v>
      </c>
      <c r="AM914">
        <v>0</v>
      </c>
      <c r="AN914">
        <v>0</v>
      </c>
      <c r="AT914">
        <v>1</v>
      </c>
      <c r="BC914">
        <v>0</v>
      </c>
      <c r="BD914">
        <v>8</v>
      </c>
      <c r="BE914">
        <v>370</v>
      </c>
      <c r="BF914">
        <v>371</v>
      </c>
      <c r="BG914">
        <v>558</v>
      </c>
      <c r="BJ914">
        <v>1</v>
      </c>
      <c r="BL914" t="s">
        <v>1954</v>
      </c>
      <c r="BM914" s="4">
        <v>43283.126388888886</v>
      </c>
      <c r="BN914" s="4">
        <v>43283.131712962961</v>
      </c>
      <c r="BO914" s="4">
        <v>43283.131712962961</v>
      </c>
      <c r="BP914" t="s">
        <v>92</v>
      </c>
      <c r="BQ914" t="s">
        <v>93</v>
      </c>
      <c r="BR914" t="s">
        <v>94</v>
      </c>
    </row>
    <row r="915" spans="1:70" x14ac:dyDescent="0.3">
      <c r="A915" t="str">
        <f>"200502B0100"</f>
        <v>200502B0100</v>
      </c>
      <c r="B915" t="s">
        <v>1955</v>
      </c>
      <c r="C915">
        <v>20</v>
      </c>
      <c r="D915" t="s">
        <v>88</v>
      </c>
      <c r="E915">
        <v>66</v>
      </c>
      <c r="F915" t="s">
        <v>1713</v>
      </c>
      <c r="G915">
        <v>502</v>
      </c>
      <c r="H915">
        <v>1</v>
      </c>
      <c r="I915" t="s">
        <v>90</v>
      </c>
      <c r="J915">
        <v>0</v>
      </c>
      <c r="K915">
        <v>1</v>
      </c>
      <c r="L915">
        <v>5</v>
      </c>
      <c r="M915">
        <v>254</v>
      </c>
      <c r="N915">
        <v>371</v>
      </c>
      <c r="O915">
        <v>0</v>
      </c>
      <c r="P915">
        <v>372</v>
      </c>
      <c r="Q915">
        <v>74</v>
      </c>
      <c r="R915">
        <v>52</v>
      </c>
      <c r="S915">
        <v>12</v>
      </c>
      <c r="T915">
        <v>12</v>
      </c>
      <c r="U915">
        <v>19</v>
      </c>
      <c r="V915">
        <v>9</v>
      </c>
      <c r="W915">
        <v>8</v>
      </c>
      <c r="X915">
        <v>2</v>
      </c>
      <c r="Y915">
        <v>155</v>
      </c>
      <c r="Z915">
        <v>6</v>
      </c>
      <c r="AA915">
        <v>3</v>
      </c>
      <c r="AB915">
        <v>4</v>
      </c>
      <c r="AC915">
        <v>1</v>
      </c>
      <c r="AD915">
        <v>1</v>
      </c>
      <c r="AE915">
        <v>0</v>
      </c>
      <c r="AF915">
        <v>0</v>
      </c>
      <c r="AK915">
        <v>3</v>
      </c>
      <c r="AL915">
        <v>0</v>
      </c>
      <c r="AM915">
        <v>1</v>
      </c>
      <c r="AN915">
        <v>3</v>
      </c>
      <c r="AT915">
        <v>3</v>
      </c>
      <c r="BC915">
        <v>0</v>
      </c>
      <c r="BD915">
        <v>4</v>
      </c>
      <c r="BE915">
        <v>372</v>
      </c>
      <c r="BF915">
        <v>372</v>
      </c>
      <c r="BG915">
        <v>602</v>
      </c>
      <c r="BJ915">
        <v>1</v>
      </c>
      <c r="BL915" t="s">
        <v>1956</v>
      </c>
      <c r="BM915" s="4">
        <v>43283.129861111112</v>
      </c>
      <c r="BN915" s="4">
        <v>43283.149236111109</v>
      </c>
      <c r="BO915" s="4">
        <v>43283.149236111109</v>
      </c>
      <c r="BP915" t="s">
        <v>92</v>
      </c>
      <c r="BQ915" t="s">
        <v>93</v>
      </c>
      <c r="BR915" t="s">
        <v>94</v>
      </c>
    </row>
    <row r="916" spans="1:70" x14ac:dyDescent="0.3">
      <c r="A916" t="str">
        <f>"200502C0100"</f>
        <v>200502C0100</v>
      </c>
      <c r="B916" t="s">
        <v>1957</v>
      </c>
      <c r="C916">
        <v>20</v>
      </c>
      <c r="D916" t="s">
        <v>88</v>
      </c>
      <c r="E916">
        <v>66</v>
      </c>
      <c r="F916" t="s">
        <v>1713</v>
      </c>
      <c r="G916">
        <v>502</v>
      </c>
      <c r="H916">
        <v>1</v>
      </c>
      <c r="I916" t="s">
        <v>98</v>
      </c>
      <c r="J916">
        <v>0</v>
      </c>
      <c r="K916">
        <v>1</v>
      </c>
      <c r="L916">
        <v>5</v>
      </c>
      <c r="M916">
        <v>236</v>
      </c>
      <c r="N916">
        <v>387</v>
      </c>
      <c r="O916">
        <v>7</v>
      </c>
      <c r="P916">
        <v>386</v>
      </c>
      <c r="Q916">
        <v>94</v>
      </c>
      <c r="R916">
        <v>42</v>
      </c>
      <c r="S916">
        <v>9</v>
      </c>
      <c r="T916">
        <v>7</v>
      </c>
      <c r="U916">
        <v>10</v>
      </c>
      <c r="V916">
        <v>10</v>
      </c>
      <c r="W916">
        <v>6</v>
      </c>
      <c r="X916">
        <v>6</v>
      </c>
      <c r="Y916">
        <v>162</v>
      </c>
      <c r="Z916">
        <v>3</v>
      </c>
      <c r="AA916">
        <v>4</v>
      </c>
      <c r="AB916">
        <v>8</v>
      </c>
      <c r="AC916">
        <v>2</v>
      </c>
      <c r="AD916">
        <v>0</v>
      </c>
      <c r="AE916">
        <v>1</v>
      </c>
      <c r="AF916">
        <v>0</v>
      </c>
      <c r="AK916">
        <v>5</v>
      </c>
      <c r="AL916">
        <v>0</v>
      </c>
      <c r="AM916">
        <v>1</v>
      </c>
      <c r="AN916">
        <v>2</v>
      </c>
      <c r="AT916">
        <v>1</v>
      </c>
      <c r="BC916">
        <v>0</v>
      </c>
      <c r="BD916">
        <v>13</v>
      </c>
      <c r="BE916">
        <v>386</v>
      </c>
      <c r="BF916">
        <v>386</v>
      </c>
      <c r="BG916">
        <v>601</v>
      </c>
      <c r="BJ916">
        <v>1</v>
      </c>
      <c r="BL916" t="s">
        <v>1958</v>
      </c>
      <c r="BM916" s="4">
        <v>43283.129861111112</v>
      </c>
      <c r="BN916" s="4">
        <v>43283.135520833333</v>
      </c>
      <c r="BO916" s="4">
        <v>43283.135520833333</v>
      </c>
      <c r="BP916" t="s">
        <v>92</v>
      </c>
      <c r="BQ916" t="s">
        <v>93</v>
      </c>
      <c r="BR916" t="s">
        <v>94</v>
      </c>
    </row>
    <row r="917" spans="1:70" x14ac:dyDescent="0.3">
      <c r="A917" t="str">
        <f>"200502C0200"</f>
        <v>200502C0200</v>
      </c>
      <c r="B917" t="s">
        <v>1959</v>
      </c>
      <c r="C917">
        <v>20</v>
      </c>
      <c r="D917" t="s">
        <v>88</v>
      </c>
      <c r="E917">
        <v>66</v>
      </c>
      <c r="F917" t="s">
        <v>1713</v>
      </c>
      <c r="G917">
        <v>502</v>
      </c>
      <c r="H917">
        <v>2</v>
      </c>
      <c r="I917" t="s">
        <v>98</v>
      </c>
      <c r="J917">
        <v>0</v>
      </c>
      <c r="K917">
        <v>1</v>
      </c>
      <c r="L917">
        <v>5</v>
      </c>
      <c r="M917">
        <v>244</v>
      </c>
      <c r="N917">
        <v>379</v>
      </c>
      <c r="O917">
        <v>6</v>
      </c>
      <c r="P917">
        <v>381</v>
      </c>
      <c r="Q917">
        <v>77</v>
      </c>
      <c r="R917">
        <v>44</v>
      </c>
      <c r="S917">
        <v>18</v>
      </c>
      <c r="T917">
        <v>7</v>
      </c>
      <c r="U917">
        <v>13</v>
      </c>
      <c r="V917">
        <v>5</v>
      </c>
      <c r="W917">
        <v>1</v>
      </c>
      <c r="X917">
        <v>3</v>
      </c>
      <c r="Y917">
        <v>180</v>
      </c>
      <c r="Z917">
        <v>4</v>
      </c>
      <c r="AA917">
        <v>5</v>
      </c>
      <c r="AB917">
        <v>2</v>
      </c>
      <c r="AC917">
        <v>1</v>
      </c>
      <c r="AD917">
        <v>0</v>
      </c>
      <c r="AE917">
        <v>0</v>
      </c>
      <c r="AF917">
        <v>0</v>
      </c>
      <c r="AK917">
        <v>6</v>
      </c>
      <c r="AL917">
        <v>2</v>
      </c>
      <c r="AM917">
        <v>1</v>
      </c>
      <c r="AN917">
        <v>2</v>
      </c>
      <c r="AT917">
        <v>0</v>
      </c>
      <c r="BC917">
        <v>0</v>
      </c>
      <c r="BD917">
        <v>5</v>
      </c>
      <c r="BE917">
        <v>381</v>
      </c>
      <c r="BF917">
        <v>376</v>
      </c>
      <c r="BG917">
        <v>601</v>
      </c>
      <c r="BJ917">
        <v>1</v>
      </c>
      <c r="BL917" t="s">
        <v>1960</v>
      </c>
      <c r="BM917" s="4">
        <v>43283.129166666666</v>
      </c>
      <c r="BN917" s="4">
        <v>43283.133391203701</v>
      </c>
      <c r="BO917" s="4">
        <v>43283.133391203701</v>
      </c>
      <c r="BP917" t="s">
        <v>92</v>
      </c>
      <c r="BQ917" t="s">
        <v>93</v>
      </c>
      <c r="BR917" t="s">
        <v>94</v>
      </c>
    </row>
    <row r="918" spans="1:70" x14ac:dyDescent="0.3">
      <c r="A918" t="str">
        <f>"200502C0300"</f>
        <v>200502C0300</v>
      </c>
      <c r="B918" t="s">
        <v>1961</v>
      </c>
      <c r="C918">
        <v>20</v>
      </c>
      <c r="D918" t="s">
        <v>88</v>
      </c>
      <c r="E918">
        <v>66</v>
      </c>
      <c r="F918" t="s">
        <v>1713</v>
      </c>
      <c r="G918">
        <v>502</v>
      </c>
      <c r="H918">
        <v>3</v>
      </c>
      <c r="I918" t="s">
        <v>98</v>
      </c>
      <c r="J918">
        <v>0</v>
      </c>
      <c r="K918">
        <v>1</v>
      </c>
      <c r="L918">
        <v>5</v>
      </c>
      <c r="M918">
        <v>232</v>
      </c>
      <c r="N918">
        <v>397</v>
      </c>
      <c r="O918">
        <v>5</v>
      </c>
      <c r="P918">
        <v>392</v>
      </c>
      <c r="Q918">
        <v>1</v>
      </c>
      <c r="R918">
        <v>37</v>
      </c>
      <c r="S918">
        <v>17</v>
      </c>
      <c r="T918">
        <v>11</v>
      </c>
      <c r="U918">
        <v>17</v>
      </c>
      <c r="V918">
        <v>9</v>
      </c>
      <c r="W918">
        <v>7</v>
      </c>
      <c r="X918">
        <v>4</v>
      </c>
      <c r="Y918">
        <v>192</v>
      </c>
      <c r="Z918">
        <v>3</v>
      </c>
      <c r="AA918">
        <v>3</v>
      </c>
      <c r="AB918">
        <v>11</v>
      </c>
      <c r="AC918">
        <v>2</v>
      </c>
      <c r="AD918">
        <v>0</v>
      </c>
      <c r="AE918">
        <v>0</v>
      </c>
      <c r="AF918">
        <v>1</v>
      </c>
      <c r="AK918">
        <v>3</v>
      </c>
      <c r="AL918">
        <v>1</v>
      </c>
      <c r="AM918">
        <v>1</v>
      </c>
      <c r="AN918">
        <v>0</v>
      </c>
      <c r="AT918">
        <v>0</v>
      </c>
      <c r="BC918">
        <v>0</v>
      </c>
      <c r="BD918">
        <v>11</v>
      </c>
      <c r="BE918" t="s">
        <v>105</v>
      </c>
      <c r="BF918">
        <v>331</v>
      </c>
      <c r="BG918">
        <v>601</v>
      </c>
      <c r="BJ918">
        <v>1</v>
      </c>
      <c r="BL918" t="s">
        <v>1962</v>
      </c>
      <c r="BM918" s="4">
        <v>43283.129166666666</v>
      </c>
      <c r="BN918" s="4">
        <v>43283.151180555556</v>
      </c>
      <c r="BO918" s="4">
        <v>43283.151180555556</v>
      </c>
      <c r="BP918" t="s">
        <v>92</v>
      </c>
      <c r="BQ918" t="s">
        <v>93</v>
      </c>
      <c r="BR918" t="s">
        <v>94</v>
      </c>
    </row>
    <row r="919" spans="1:70" x14ac:dyDescent="0.3">
      <c r="A919" t="str">
        <f>"200503B0100"</f>
        <v>200503B0100</v>
      </c>
      <c r="B919" t="s">
        <v>1963</v>
      </c>
      <c r="C919">
        <v>20</v>
      </c>
      <c r="D919" t="s">
        <v>88</v>
      </c>
      <c r="E919">
        <v>66</v>
      </c>
      <c r="F919" t="s">
        <v>1713</v>
      </c>
      <c r="G919">
        <v>503</v>
      </c>
      <c r="H919">
        <v>1</v>
      </c>
      <c r="I919" t="s">
        <v>90</v>
      </c>
      <c r="J919">
        <v>0</v>
      </c>
      <c r="K919">
        <v>1</v>
      </c>
      <c r="L919">
        <v>5</v>
      </c>
      <c r="M919">
        <v>156</v>
      </c>
      <c r="N919">
        <v>523</v>
      </c>
      <c r="O919" t="s">
        <v>105</v>
      </c>
      <c r="P919" t="s">
        <v>105</v>
      </c>
      <c r="Q919">
        <v>58</v>
      </c>
      <c r="R919">
        <v>61</v>
      </c>
      <c r="S919">
        <v>8</v>
      </c>
      <c r="T919">
        <v>5</v>
      </c>
      <c r="U919">
        <v>8</v>
      </c>
      <c r="V919">
        <v>10</v>
      </c>
      <c r="W919">
        <v>10</v>
      </c>
      <c r="X919">
        <v>6</v>
      </c>
      <c r="Y919">
        <v>184</v>
      </c>
      <c r="Z919">
        <v>6</v>
      </c>
      <c r="AA919">
        <v>0</v>
      </c>
      <c r="AB919">
        <v>2</v>
      </c>
      <c r="AC919" t="s">
        <v>105</v>
      </c>
      <c r="AD919">
        <v>2</v>
      </c>
      <c r="AE919" t="s">
        <v>105</v>
      </c>
      <c r="AF919" t="s">
        <v>105</v>
      </c>
      <c r="AK919">
        <v>3</v>
      </c>
      <c r="AL919" t="s">
        <v>105</v>
      </c>
      <c r="AM919" t="s">
        <v>105</v>
      </c>
      <c r="AN919" t="s">
        <v>105</v>
      </c>
      <c r="AT919">
        <v>1</v>
      </c>
      <c r="BC919" t="s">
        <v>105</v>
      </c>
      <c r="BD919">
        <v>3</v>
      </c>
      <c r="BE919" t="s">
        <v>105</v>
      </c>
      <c r="BF919">
        <v>367</v>
      </c>
      <c r="BG919">
        <v>501</v>
      </c>
      <c r="BI919" t="s">
        <v>106</v>
      </c>
      <c r="BJ919">
        <v>1</v>
      </c>
      <c r="BL919" t="s">
        <v>1964</v>
      </c>
      <c r="BM919" s="4">
        <v>43283.008333333331</v>
      </c>
      <c r="BN919" s="4">
        <v>43283.013483796298</v>
      </c>
      <c r="BO919" s="4">
        <v>43283.013483796298</v>
      </c>
      <c r="BP919" t="s">
        <v>92</v>
      </c>
      <c r="BQ919" t="s">
        <v>93</v>
      </c>
      <c r="BR919" t="s">
        <v>94</v>
      </c>
    </row>
    <row r="920" spans="1:70" x14ac:dyDescent="0.3">
      <c r="A920" t="str">
        <f>"200503C0100"</f>
        <v>200503C0100</v>
      </c>
      <c r="B920" t="s">
        <v>1965</v>
      </c>
      <c r="C920">
        <v>20</v>
      </c>
      <c r="D920" t="s">
        <v>88</v>
      </c>
      <c r="E920">
        <v>66</v>
      </c>
      <c r="F920" t="s">
        <v>1713</v>
      </c>
      <c r="G920">
        <v>503</v>
      </c>
      <c r="H920">
        <v>1</v>
      </c>
      <c r="I920" t="s">
        <v>98</v>
      </c>
      <c r="J920">
        <v>0</v>
      </c>
      <c r="K920">
        <v>1</v>
      </c>
      <c r="L920">
        <v>5</v>
      </c>
      <c r="M920">
        <v>156</v>
      </c>
      <c r="N920">
        <v>366</v>
      </c>
      <c r="O920">
        <v>11</v>
      </c>
      <c r="P920">
        <v>363</v>
      </c>
      <c r="Q920">
        <v>73</v>
      </c>
      <c r="R920">
        <v>59</v>
      </c>
      <c r="S920">
        <v>8</v>
      </c>
      <c r="T920">
        <v>5</v>
      </c>
      <c r="U920">
        <v>10</v>
      </c>
      <c r="V920">
        <v>10</v>
      </c>
      <c r="W920">
        <v>7</v>
      </c>
      <c r="X920">
        <v>2</v>
      </c>
      <c r="Y920">
        <v>162</v>
      </c>
      <c r="Z920">
        <v>6</v>
      </c>
      <c r="AA920">
        <v>0</v>
      </c>
      <c r="AB920">
        <v>7</v>
      </c>
      <c r="AC920">
        <v>0</v>
      </c>
      <c r="AD920">
        <v>0</v>
      </c>
      <c r="AE920">
        <v>0</v>
      </c>
      <c r="AF920">
        <v>0</v>
      </c>
      <c r="AK920">
        <v>2</v>
      </c>
      <c r="AL920">
        <v>1</v>
      </c>
      <c r="AM920">
        <v>0</v>
      </c>
      <c r="AN920">
        <v>0</v>
      </c>
      <c r="AT920">
        <v>2</v>
      </c>
      <c r="BC920">
        <v>0</v>
      </c>
      <c r="BD920">
        <v>9</v>
      </c>
      <c r="BE920">
        <v>363</v>
      </c>
      <c r="BF920">
        <v>363</v>
      </c>
      <c r="BG920">
        <v>500</v>
      </c>
      <c r="BJ920">
        <v>1</v>
      </c>
      <c r="BL920" t="s">
        <v>1966</v>
      </c>
      <c r="BM920" s="4">
        <v>43283.006944444445</v>
      </c>
      <c r="BN920" s="4">
        <v>43283.012685185182</v>
      </c>
      <c r="BO920" s="4">
        <v>43283.012685185182</v>
      </c>
      <c r="BP920" t="s">
        <v>92</v>
      </c>
      <c r="BQ920" t="s">
        <v>93</v>
      </c>
      <c r="BR920" t="s">
        <v>94</v>
      </c>
    </row>
    <row r="921" spans="1:70" x14ac:dyDescent="0.3">
      <c r="A921" t="str">
        <f>"200504B0100"</f>
        <v>200504B0100</v>
      </c>
      <c r="B921" t="s">
        <v>1967</v>
      </c>
      <c r="C921">
        <v>20</v>
      </c>
      <c r="D921" t="s">
        <v>88</v>
      </c>
      <c r="E921">
        <v>66</v>
      </c>
      <c r="F921" t="s">
        <v>1713</v>
      </c>
      <c r="G921">
        <v>504</v>
      </c>
      <c r="H921">
        <v>1</v>
      </c>
      <c r="I921" t="s">
        <v>90</v>
      </c>
      <c r="J921">
        <v>0</v>
      </c>
      <c r="K921">
        <v>1</v>
      </c>
      <c r="L921">
        <v>5</v>
      </c>
      <c r="M921">
        <v>155</v>
      </c>
      <c r="N921">
        <v>421</v>
      </c>
      <c r="O921">
        <v>4</v>
      </c>
      <c r="P921">
        <v>421</v>
      </c>
      <c r="Q921">
        <v>79</v>
      </c>
      <c r="R921">
        <v>75</v>
      </c>
      <c r="S921">
        <v>19</v>
      </c>
      <c r="T921">
        <v>2</v>
      </c>
      <c r="U921">
        <v>7</v>
      </c>
      <c r="V921">
        <v>8</v>
      </c>
      <c r="W921">
        <v>10</v>
      </c>
      <c r="X921">
        <v>4</v>
      </c>
      <c r="Y921">
        <v>183</v>
      </c>
      <c r="Z921">
        <v>5</v>
      </c>
      <c r="AA921">
        <v>4</v>
      </c>
      <c r="AB921">
        <v>10</v>
      </c>
      <c r="AC921">
        <v>0</v>
      </c>
      <c r="AD921">
        <v>1</v>
      </c>
      <c r="AE921">
        <v>0</v>
      </c>
      <c r="AF921">
        <v>0</v>
      </c>
      <c r="AK921">
        <v>3</v>
      </c>
      <c r="AL921">
        <v>0</v>
      </c>
      <c r="AM921">
        <v>0</v>
      </c>
      <c r="AN921">
        <v>0</v>
      </c>
      <c r="AT921">
        <v>0</v>
      </c>
      <c r="BC921">
        <v>0</v>
      </c>
      <c r="BD921">
        <v>11</v>
      </c>
      <c r="BE921">
        <v>421</v>
      </c>
      <c r="BF921">
        <v>421</v>
      </c>
      <c r="BG921">
        <v>554</v>
      </c>
      <c r="BJ921">
        <v>1</v>
      </c>
      <c r="BL921" t="s">
        <v>1968</v>
      </c>
      <c r="BM921" s="4">
        <v>43283.14166666667</v>
      </c>
      <c r="BN921" s="4">
        <v>43283.145694444444</v>
      </c>
      <c r="BO921" s="4">
        <v>43283.145694444444</v>
      </c>
      <c r="BP921" t="s">
        <v>92</v>
      </c>
      <c r="BQ921" t="s">
        <v>93</v>
      </c>
      <c r="BR921" t="s">
        <v>94</v>
      </c>
    </row>
    <row r="922" spans="1:70" x14ac:dyDescent="0.3">
      <c r="A922" t="str">
        <f>"200504C0100"</f>
        <v>200504C0100</v>
      </c>
      <c r="B922" t="s">
        <v>1969</v>
      </c>
      <c r="C922">
        <v>20</v>
      </c>
      <c r="D922" t="s">
        <v>88</v>
      </c>
      <c r="E922">
        <v>66</v>
      </c>
      <c r="F922" t="s">
        <v>1713</v>
      </c>
      <c r="G922">
        <v>504</v>
      </c>
      <c r="H922">
        <v>1</v>
      </c>
      <c r="I922" t="s">
        <v>98</v>
      </c>
      <c r="J922">
        <v>0</v>
      </c>
      <c r="K922">
        <v>1</v>
      </c>
      <c r="L922">
        <v>5</v>
      </c>
      <c r="M922">
        <v>192</v>
      </c>
      <c r="N922">
        <v>384</v>
      </c>
      <c r="O922">
        <v>6</v>
      </c>
      <c r="P922">
        <v>384</v>
      </c>
      <c r="Q922">
        <v>74</v>
      </c>
      <c r="R922">
        <v>59</v>
      </c>
      <c r="S922">
        <v>14</v>
      </c>
      <c r="T922">
        <v>7</v>
      </c>
      <c r="U922">
        <v>3</v>
      </c>
      <c r="V922">
        <v>10</v>
      </c>
      <c r="W922">
        <v>8</v>
      </c>
      <c r="X922">
        <v>4</v>
      </c>
      <c r="Y922">
        <v>171</v>
      </c>
      <c r="Z922">
        <v>4</v>
      </c>
      <c r="AA922">
        <v>3</v>
      </c>
      <c r="AB922">
        <v>9</v>
      </c>
      <c r="AC922">
        <v>3</v>
      </c>
      <c r="AD922">
        <v>2</v>
      </c>
      <c r="AE922">
        <v>1</v>
      </c>
      <c r="AF922">
        <v>0</v>
      </c>
      <c r="AK922">
        <v>1</v>
      </c>
      <c r="AL922">
        <v>2</v>
      </c>
      <c r="AM922">
        <v>0</v>
      </c>
      <c r="AN922">
        <v>1</v>
      </c>
      <c r="AT922">
        <v>2</v>
      </c>
      <c r="BC922">
        <v>1</v>
      </c>
      <c r="BD922">
        <v>5</v>
      </c>
      <c r="BE922">
        <v>384</v>
      </c>
      <c r="BF922">
        <v>384</v>
      </c>
      <c r="BG922">
        <v>554</v>
      </c>
      <c r="BJ922">
        <v>1</v>
      </c>
      <c r="BL922" t="s">
        <v>1970</v>
      </c>
      <c r="BM922" s="4">
        <v>43283.14166666667</v>
      </c>
      <c r="BN922" s="4">
        <v>43283.147291666668</v>
      </c>
      <c r="BO922" s="4">
        <v>43283.147291666668</v>
      </c>
      <c r="BP922" t="s">
        <v>92</v>
      </c>
      <c r="BQ922" t="s">
        <v>93</v>
      </c>
      <c r="BR922" t="s">
        <v>94</v>
      </c>
    </row>
    <row r="923" spans="1:70" x14ac:dyDescent="0.3">
      <c r="A923" t="str">
        <f>"200504C0200"</f>
        <v>200504C0200</v>
      </c>
      <c r="B923" t="s">
        <v>1971</v>
      </c>
      <c r="C923">
        <v>20</v>
      </c>
      <c r="D923" t="s">
        <v>88</v>
      </c>
      <c r="E923">
        <v>66</v>
      </c>
      <c r="F923" t="s">
        <v>1713</v>
      </c>
      <c r="G923">
        <v>504</v>
      </c>
      <c r="H923">
        <v>2</v>
      </c>
      <c r="I923" t="s">
        <v>98</v>
      </c>
      <c r="J923">
        <v>0</v>
      </c>
      <c r="K923">
        <v>1</v>
      </c>
      <c r="L923">
        <v>5</v>
      </c>
      <c r="M923">
        <v>195</v>
      </c>
      <c r="N923">
        <v>380</v>
      </c>
      <c r="O923">
        <v>5</v>
      </c>
      <c r="P923">
        <v>380</v>
      </c>
      <c r="Q923">
        <v>62</v>
      </c>
      <c r="R923">
        <v>59</v>
      </c>
      <c r="S923">
        <v>12</v>
      </c>
      <c r="T923">
        <v>7</v>
      </c>
      <c r="U923">
        <v>11</v>
      </c>
      <c r="V923">
        <v>16</v>
      </c>
      <c r="W923">
        <v>8</v>
      </c>
      <c r="X923">
        <v>9</v>
      </c>
      <c r="Y923">
        <v>158</v>
      </c>
      <c r="Z923">
        <v>4</v>
      </c>
      <c r="AA923">
        <v>5</v>
      </c>
      <c r="AB923">
        <v>6</v>
      </c>
      <c r="AC923">
        <v>1</v>
      </c>
      <c r="AD923">
        <v>1</v>
      </c>
      <c r="AE923">
        <v>1</v>
      </c>
      <c r="AF923">
        <v>1</v>
      </c>
      <c r="AK923">
        <v>2</v>
      </c>
      <c r="AL923">
        <v>2</v>
      </c>
      <c r="AM923">
        <v>0</v>
      </c>
      <c r="AN923">
        <v>3</v>
      </c>
      <c r="AT923">
        <v>4</v>
      </c>
      <c r="BC923" t="s">
        <v>105</v>
      </c>
      <c r="BD923">
        <v>8</v>
      </c>
      <c r="BE923">
        <v>380</v>
      </c>
      <c r="BF923">
        <v>380</v>
      </c>
      <c r="BG923">
        <v>553</v>
      </c>
      <c r="BI923" t="s">
        <v>106</v>
      </c>
      <c r="BJ923">
        <v>1</v>
      </c>
      <c r="BL923" t="s">
        <v>1972</v>
      </c>
      <c r="BM923" s="4">
        <v>43283.142361111109</v>
      </c>
      <c r="BN923" s="4">
        <v>43283.147175925929</v>
      </c>
      <c r="BO923" s="4">
        <v>43283.147175925929</v>
      </c>
      <c r="BP923" t="s">
        <v>92</v>
      </c>
      <c r="BQ923" t="s">
        <v>93</v>
      </c>
      <c r="BR923" t="s">
        <v>94</v>
      </c>
    </row>
    <row r="924" spans="1:70" x14ac:dyDescent="0.3">
      <c r="A924" t="str">
        <f>"200505B0100"</f>
        <v>200505B0100</v>
      </c>
      <c r="B924" t="s">
        <v>1973</v>
      </c>
      <c r="C924">
        <v>20</v>
      </c>
      <c r="D924" t="s">
        <v>88</v>
      </c>
      <c r="E924">
        <v>66</v>
      </c>
      <c r="F924" t="s">
        <v>1713</v>
      </c>
      <c r="G924">
        <v>505</v>
      </c>
      <c r="H924">
        <v>1</v>
      </c>
      <c r="I924" t="s">
        <v>90</v>
      </c>
      <c r="J924">
        <v>0</v>
      </c>
      <c r="K924">
        <v>1</v>
      </c>
      <c r="L924">
        <v>5</v>
      </c>
      <c r="M924">
        <v>216</v>
      </c>
      <c r="N924">
        <v>471</v>
      </c>
      <c r="O924">
        <v>15</v>
      </c>
      <c r="P924">
        <v>461</v>
      </c>
      <c r="Q924">
        <v>75</v>
      </c>
      <c r="R924">
        <v>56</v>
      </c>
      <c r="S924">
        <v>16</v>
      </c>
      <c r="T924">
        <v>7</v>
      </c>
      <c r="U924">
        <v>8</v>
      </c>
      <c r="V924">
        <v>12</v>
      </c>
      <c r="W924">
        <v>7</v>
      </c>
      <c r="X924">
        <v>7</v>
      </c>
      <c r="Y924">
        <v>224</v>
      </c>
      <c r="Z924">
        <v>3</v>
      </c>
      <c r="AA924">
        <v>17</v>
      </c>
      <c r="AB924">
        <v>8</v>
      </c>
      <c r="AC924">
        <v>5</v>
      </c>
      <c r="AD924">
        <v>1</v>
      </c>
      <c r="AE924">
        <v>0</v>
      </c>
      <c r="AF924">
        <v>0</v>
      </c>
      <c r="AK924">
        <v>5</v>
      </c>
      <c r="AL924">
        <v>1</v>
      </c>
      <c r="AM924">
        <v>0</v>
      </c>
      <c r="AN924">
        <v>2</v>
      </c>
      <c r="AT924">
        <v>2</v>
      </c>
      <c r="BC924">
        <v>0</v>
      </c>
      <c r="BD924">
        <v>5</v>
      </c>
      <c r="BE924">
        <v>461</v>
      </c>
      <c r="BF924">
        <v>461</v>
      </c>
      <c r="BG924">
        <v>662</v>
      </c>
      <c r="BJ924">
        <v>1</v>
      </c>
      <c r="BL924" t="s">
        <v>1974</v>
      </c>
      <c r="BM924" s="4">
        <v>43283.142361111109</v>
      </c>
      <c r="BN924" s="4">
        <v>43283.148414351854</v>
      </c>
      <c r="BO924" s="4">
        <v>43283.148414351854</v>
      </c>
      <c r="BP924" t="s">
        <v>92</v>
      </c>
      <c r="BQ924" t="s">
        <v>93</v>
      </c>
      <c r="BR924" t="s">
        <v>94</v>
      </c>
    </row>
    <row r="925" spans="1:70" x14ac:dyDescent="0.3">
      <c r="A925" t="str">
        <f>"200505C0100"</f>
        <v>200505C0100</v>
      </c>
      <c r="B925" t="s">
        <v>1975</v>
      </c>
      <c r="C925">
        <v>20</v>
      </c>
      <c r="D925" t="s">
        <v>88</v>
      </c>
      <c r="E925">
        <v>66</v>
      </c>
      <c r="F925" t="s">
        <v>1713</v>
      </c>
      <c r="G925">
        <v>505</v>
      </c>
      <c r="H925">
        <v>1</v>
      </c>
      <c r="I925" t="s">
        <v>98</v>
      </c>
      <c r="J925">
        <v>0</v>
      </c>
      <c r="K925">
        <v>1</v>
      </c>
      <c r="L925">
        <v>5</v>
      </c>
      <c r="M925">
        <v>220</v>
      </c>
      <c r="N925">
        <v>468</v>
      </c>
      <c r="O925">
        <v>11</v>
      </c>
      <c r="P925">
        <v>468</v>
      </c>
      <c r="Q925">
        <v>78</v>
      </c>
      <c r="R925">
        <v>62</v>
      </c>
      <c r="S925">
        <v>16</v>
      </c>
      <c r="T925">
        <v>4</v>
      </c>
      <c r="U925">
        <v>15</v>
      </c>
      <c r="V925">
        <v>16</v>
      </c>
      <c r="W925">
        <v>8</v>
      </c>
      <c r="X925">
        <v>10</v>
      </c>
      <c r="Y925">
        <v>212</v>
      </c>
      <c r="Z925">
        <v>5</v>
      </c>
      <c r="AA925">
        <v>4</v>
      </c>
      <c r="AB925">
        <v>15</v>
      </c>
      <c r="AC925">
        <v>3</v>
      </c>
      <c r="AD925">
        <v>1</v>
      </c>
      <c r="AE925">
        <v>0</v>
      </c>
      <c r="AF925">
        <v>0</v>
      </c>
      <c r="AK925">
        <v>8</v>
      </c>
      <c r="AL925">
        <v>2</v>
      </c>
      <c r="AM925">
        <v>0</v>
      </c>
      <c r="AN925">
        <v>0</v>
      </c>
      <c r="AT925">
        <v>1</v>
      </c>
      <c r="BC925">
        <v>0</v>
      </c>
      <c r="BD925">
        <v>8</v>
      </c>
      <c r="BE925">
        <v>468</v>
      </c>
      <c r="BF925">
        <v>468</v>
      </c>
      <c r="BG925">
        <v>661</v>
      </c>
      <c r="BJ925">
        <v>1</v>
      </c>
      <c r="BL925" t="s">
        <v>1976</v>
      </c>
      <c r="BM925" s="4">
        <v>43283.143055555556</v>
      </c>
      <c r="BN925" s="4">
        <v>43283.147777777776</v>
      </c>
      <c r="BO925" s="4">
        <v>43283.147777777776</v>
      </c>
      <c r="BP925" t="s">
        <v>92</v>
      </c>
      <c r="BQ925" t="s">
        <v>93</v>
      </c>
      <c r="BR925" t="s">
        <v>94</v>
      </c>
    </row>
    <row r="926" spans="1:70" x14ac:dyDescent="0.3">
      <c r="A926" t="str">
        <f>"200506B0100"</f>
        <v>200506B0100</v>
      </c>
      <c r="B926" t="s">
        <v>1977</v>
      </c>
      <c r="C926">
        <v>20</v>
      </c>
      <c r="D926" t="s">
        <v>88</v>
      </c>
      <c r="E926">
        <v>66</v>
      </c>
      <c r="F926" t="s">
        <v>1713</v>
      </c>
      <c r="G926">
        <v>506</v>
      </c>
      <c r="H926">
        <v>1</v>
      </c>
      <c r="I926" t="s">
        <v>90</v>
      </c>
      <c r="J926">
        <v>0</v>
      </c>
      <c r="K926">
        <v>1</v>
      </c>
      <c r="L926">
        <v>5</v>
      </c>
      <c r="M926">
        <v>185</v>
      </c>
      <c r="N926">
        <v>356</v>
      </c>
      <c r="O926">
        <v>8</v>
      </c>
      <c r="P926">
        <v>356</v>
      </c>
      <c r="Q926">
        <v>63</v>
      </c>
      <c r="R926">
        <v>29</v>
      </c>
      <c r="S926">
        <v>9</v>
      </c>
      <c r="T926">
        <v>5</v>
      </c>
      <c r="U926">
        <v>16</v>
      </c>
      <c r="V926">
        <v>6</v>
      </c>
      <c r="W926">
        <v>7</v>
      </c>
      <c r="X926">
        <v>4</v>
      </c>
      <c r="Y926">
        <v>190</v>
      </c>
      <c r="Z926">
        <v>1</v>
      </c>
      <c r="AA926">
        <v>1</v>
      </c>
      <c r="AB926">
        <v>4</v>
      </c>
      <c r="AC926">
        <v>0</v>
      </c>
      <c r="AD926">
        <v>0</v>
      </c>
      <c r="AE926">
        <v>0</v>
      </c>
      <c r="AF926">
        <v>1</v>
      </c>
      <c r="AK926">
        <v>4</v>
      </c>
      <c r="AL926">
        <v>1</v>
      </c>
      <c r="AM926">
        <v>0</v>
      </c>
      <c r="AN926">
        <v>0</v>
      </c>
      <c r="AT926">
        <v>2</v>
      </c>
      <c r="BC926">
        <v>0</v>
      </c>
      <c r="BD926">
        <v>6</v>
      </c>
      <c r="BE926">
        <v>355</v>
      </c>
      <c r="BF926">
        <v>349</v>
      </c>
      <c r="BG926">
        <v>518</v>
      </c>
      <c r="BJ926">
        <v>1</v>
      </c>
      <c r="BL926" t="s">
        <v>1978</v>
      </c>
      <c r="BM926" s="4">
        <v>43282.992361111108</v>
      </c>
      <c r="BN926" s="4">
        <v>43282.997777777775</v>
      </c>
      <c r="BO926" s="4">
        <v>43282.997777777775</v>
      </c>
      <c r="BP926" t="s">
        <v>92</v>
      </c>
      <c r="BQ926" t="s">
        <v>93</v>
      </c>
      <c r="BR926" t="s">
        <v>94</v>
      </c>
    </row>
    <row r="927" spans="1:70" x14ac:dyDescent="0.3">
      <c r="A927" t="str">
        <f>"200506C0100"</f>
        <v>200506C0100</v>
      </c>
      <c r="B927" t="s">
        <v>1979</v>
      </c>
      <c r="C927">
        <v>20</v>
      </c>
      <c r="D927" t="s">
        <v>88</v>
      </c>
      <c r="E927">
        <v>66</v>
      </c>
      <c r="F927" t="s">
        <v>1713</v>
      </c>
      <c r="G927">
        <v>506</v>
      </c>
      <c r="H927">
        <v>1</v>
      </c>
      <c r="I927" t="s">
        <v>98</v>
      </c>
      <c r="J927">
        <v>0</v>
      </c>
      <c r="K927">
        <v>1</v>
      </c>
      <c r="L927">
        <v>5</v>
      </c>
      <c r="BG927">
        <v>518</v>
      </c>
      <c r="BI927" t="s">
        <v>122</v>
      </c>
      <c r="BJ927">
        <v>0</v>
      </c>
      <c r="BL927" t="s">
        <v>1980</v>
      </c>
      <c r="BM927" s="4">
        <v>43283.550694444442</v>
      </c>
      <c r="BN927" s="4">
        <v>43283.554606481484</v>
      </c>
      <c r="BO927" s="4">
        <v>43283.554606481484</v>
      </c>
      <c r="BP927" t="s">
        <v>92</v>
      </c>
      <c r="BQ927" t="s">
        <v>93</v>
      </c>
      <c r="BR927" t="s">
        <v>94</v>
      </c>
    </row>
    <row r="928" spans="1:70" x14ac:dyDescent="0.3">
      <c r="A928" t="str">
        <f>"200507B0100"</f>
        <v>200507B0100</v>
      </c>
      <c r="B928" t="s">
        <v>1981</v>
      </c>
      <c r="C928">
        <v>20</v>
      </c>
      <c r="D928" t="s">
        <v>88</v>
      </c>
      <c r="E928">
        <v>66</v>
      </c>
      <c r="F928" t="s">
        <v>1713</v>
      </c>
      <c r="G928">
        <v>507</v>
      </c>
      <c r="H928">
        <v>1</v>
      </c>
      <c r="I928" t="s">
        <v>90</v>
      </c>
      <c r="J928">
        <v>0</v>
      </c>
      <c r="K928">
        <v>1</v>
      </c>
      <c r="L928">
        <v>5</v>
      </c>
      <c r="M928">
        <v>186</v>
      </c>
      <c r="N928">
        <v>380</v>
      </c>
      <c r="O928">
        <v>1</v>
      </c>
      <c r="P928">
        <v>381</v>
      </c>
      <c r="Q928">
        <v>70</v>
      </c>
      <c r="R928">
        <v>67</v>
      </c>
      <c r="S928">
        <v>5</v>
      </c>
      <c r="T928">
        <v>4</v>
      </c>
      <c r="U928">
        <v>19</v>
      </c>
      <c r="V928">
        <v>5</v>
      </c>
      <c r="W928">
        <v>3</v>
      </c>
      <c r="X928">
        <v>11</v>
      </c>
      <c r="Y928">
        <v>162</v>
      </c>
      <c r="Z928">
        <v>4</v>
      </c>
      <c r="AA928">
        <v>2</v>
      </c>
      <c r="AB928">
        <v>5</v>
      </c>
      <c r="AC928">
        <v>2</v>
      </c>
      <c r="AD928">
        <v>0</v>
      </c>
      <c r="AE928">
        <v>0</v>
      </c>
      <c r="AF928">
        <v>0</v>
      </c>
      <c r="AK928">
        <v>4</v>
      </c>
      <c r="AL928">
        <v>1</v>
      </c>
      <c r="AM928">
        <v>0</v>
      </c>
      <c r="AN928">
        <v>1</v>
      </c>
      <c r="AT928">
        <v>2</v>
      </c>
      <c r="BC928">
        <v>0</v>
      </c>
      <c r="BD928">
        <v>14</v>
      </c>
      <c r="BE928">
        <v>381</v>
      </c>
      <c r="BF928">
        <v>381</v>
      </c>
      <c r="BG928">
        <v>544</v>
      </c>
      <c r="BJ928">
        <v>1</v>
      </c>
      <c r="BL928" t="s">
        <v>1982</v>
      </c>
      <c r="BM928" s="4">
        <v>43283.46875</v>
      </c>
      <c r="BN928" s="4">
        <v>43283.49417824074</v>
      </c>
      <c r="BO928" s="4">
        <v>43283.49417824074</v>
      </c>
      <c r="BP928" t="s">
        <v>92</v>
      </c>
      <c r="BQ928" t="s">
        <v>93</v>
      </c>
      <c r="BR928" t="s">
        <v>254</v>
      </c>
    </row>
    <row r="929" spans="1:70" x14ac:dyDescent="0.3">
      <c r="A929" t="str">
        <f>"200507C0100"</f>
        <v>200507C0100</v>
      </c>
      <c r="B929" t="s">
        <v>1983</v>
      </c>
      <c r="C929">
        <v>20</v>
      </c>
      <c r="D929" t="s">
        <v>88</v>
      </c>
      <c r="E929">
        <v>66</v>
      </c>
      <c r="F929" t="s">
        <v>1713</v>
      </c>
      <c r="G929">
        <v>507</v>
      </c>
      <c r="H929">
        <v>1</v>
      </c>
      <c r="I929" t="s">
        <v>98</v>
      </c>
      <c r="J929">
        <v>0</v>
      </c>
      <c r="K929">
        <v>1</v>
      </c>
      <c r="L929">
        <v>5</v>
      </c>
      <c r="BG929">
        <v>543</v>
      </c>
      <c r="BI929" t="s">
        <v>122</v>
      </c>
      <c r="BJ929">
        <v>0</v>
      </c>
      <c r="BL929" t="s">
        <v>1984</v>
      </c>
      <c r="BM929" s="4">
        <v>43283.550694444442</v>
      </c>
      <c r="BN929" s="4">
        <v>43283.554236111115</v>
      </c>
      <c r="BO929" s="4">
        <v>43283.554236111115</v>
      </c>
      <c r="BP929" t="s">
        <v>92</v>
      </c>
      <c r="BQ929" t="s">
        <v>93</v>
      </c>
      <c r="BR929" t="s">
        <v>94</v>
      </c>
    </row>
    <row r="930" spans="1:70" x14ac:dyDescent="0.3">
      <c r="A930" t="str">
        <f>"200507C0200"</f>
        <v>200507C0200</v>
      </c>
      <c r="B930" t="s">
        <v>1985</v>
      </c>
      <c r="C930">
        <v>20</v>
      </c>
      <c r="D930" t="s">
        <v>88</v>
      </c>
      <c r="E930">
        <v>66</v>
      </c>
      <c r="F930" t="s">
        <v>1713</v>
      </c>
      <c r="G930">
        <v>507</v>
      </c>
      <c r="H930">
        <v>2</v>
      </c>
      <c r="I930" t="s">
        <v>98</v>
      </c>
      <c r="J930">
        <v>0</v>
      </c>
      <c r="K930">
        <v>1</v>
      </c>
      <c r="L930">
        <v>5</v>
      </c>
      <c r="M930">
        <v>165</v>
      </c>
      <c r="N930">
        <v>398</v>
      </c>
      <c r="O930">
        <v>4</v>
      </c>
      <c r="P930">
        <v>398</v>
      </c>
      <c r="Q930">
        <v>62</v>
      </c>
      <c r="R930">
        <v>93</v>
      </c>
      <c r="S930">
        <v>4</v>
      </c>
      <c r="T930">
        <v>8</v>
      </c>
      <c r="U930">
        <v>19</v>
      </c>
      <c r="V930">
        <v>6</v>
      </c>
      <c r="W930">
        <v>2</v>
      </c>
      <c r="X930">
        <v>12</v>
      </c>
      <c r="Y930">
        <v>156</v>
      </c>
      <c r="Z930">
        <v>5</v>
      </c>
      <c r="AA930">
        <v>4</v>
      </c>
      <c r="AB930">
        <v>8</v>
      </c>
      <c r="AC930">
        <v>3</v>
      </c>
      <c r="AD930">
        <v>0</v>
      </c>
      <c r="AE930">
        <v>0</v>
      </c>
      <c r="AF930">
        <v>1</v>
      </c>
      <c r="AK930">
        <v>10</v>
      </c>
      <c r="AL930">
        <v>0</v>
      </c>
      <c r="AM930">
        <v>0</v>
      </c>
      <c r="AN930">
        <v>0</v>
      </c>
      <c r="AT930">
        <v>1</v>
      </c>
      <c r="BC930">
        <v>0</v>
      </c>
      <c r="BD930">
        <v>4</v>
      </c>
      <c r="BE930">
        <v>398</v>
      </c>
      <c r="BF930">
        <v>398</v>
      </c>
      <c r="BG930">
        <v>543</v>
      </c>
      <c r="BJ930">
        <v>1</v>
      </c>
      <c r="BL930" t="s">
        <v>1986</v>
      </c>
      <c r="BM930" s="4">
        <v>43283.068055555559</v>
      </c>
      <c r="BN930" s="4">
        <v>43283.072314814817</v>
      </c>
      <c r="BO930" s="4">
        <v>43283.072314814817</v>
      </c>
      <c r="BP930" t="s">
        <v>92</v>
      </c>
      <c r="BQ930" t="s">
        <v>93</v>
      </c>
      <c r="BR930" t="s">
        <v>94</v>
      </c>
    </row>
    <row r="931" spans="1:70" x14ac:dyDescent="0.3">
      <c r="A931" t="str">
        <f>"200508B0100"</f>
        <v>200508B0100</v>
      </c>
      <c r="B931" t="s">
        <v>1987</v>
      </c>
      <c r="C931">
        <v>20</v>
      </c>
      <c r="D931" t="s">
        <v>88</v>
      </c>
      <c r="E931">
        <v>66</v>
      </c>
      <c r="F931" t="s">
        <v>1713</v>
      </c>
      <c r="G931">
        <v>508</v>
      </c>
      <c r="H931">
        <v>1</v>
      </c>
      <c r="I931" t="s">
        <v>90</v>
      </c>
      <c r="J931">
        <v>0</v>
      </c>
      <c r="K931">
        <v>1</v>
      </c>
      <c r="L931">
        <v>5</v>
      </c>
      <c r="BG931">
        <v>592</v>
      </c>
      <c r="BI931" t="s">
        <v>122</v>
      </c>
      <c r="BJ931">
        <v>0</v>
      </c>
      <c r="BL931" t="s">
        <v>1988</v>
      </c>
      <c r="BM931" s="4">
        <v>43283.550694444442</v>
      </c>
      <c r="BN931" s="4">
        <v>43283.554108796299</v>
      </c>
      <c r="BO931" s="4">
        <v>43283.554108796299</v>
      </c>
      <c r="BP931" t="s">
        <v>92</v>
      </c>
      <c r="BQ931" t="s">
        <v>93</v>
      </c>
      <c r="BR931" t="s">
        <v>94</v>
      </c>
    </row>
    <row r="932" spans="1:70" x14ac:dyDescent="0.3">
      <c r="A932" t="str">
        <f>"200508C0100"</f>
        <v>200508C0100</v>
      </c>
      <c r="B932" t="s">
        <v>1989</v>
      </c>
      <c r="C932">
        <v>20</v>
      </c>
      <c r="D932" t="s">
        <v>88</v>
      </c>
      <c r="E932">
        <v>66</v>
      </c>
      <c r="F932" t="s">
        <v>1713</v>
      </c>
      <c r="G932">
        <v>508</v>
      </c>
      <c r="H932">
        <v>1</v>
      </c>
      <c r="I932" t="s">
        <v>98</v>
      </c>
      <c r="J932">
        <v>0</v>
      </c>
      <c r="K932">
        <v>1</v>
      </c>
      <c r="L932">
        <v>5</v>
      </c>
      <c r="BG932">
        <v>591</v>
      </c>
      <c r="BI932" t="s">
        <v>122</v>
      </c>
      <c r="BJ932">
        <v>0</v>
      </c>
      <c r="BL932" t="s">
        <v>1990</v>
      </c>
      <c r="BM932" s="4">
        <v>43283.550694444442</v>
      </c>
      <c r="BN932" s="4">
        <v>43283.552777777775</v>
      </c>
      <c r="BO932" s="4">
        <v>43283.552777777775</v>
      </c>
      <c r="BP932" t="s">
        <v>92</v>
      </c>
      <c r="BQ932" t="s">
        <v>93</v>
      </c>
      <c r="BR932" t="s">
        <v>94</v>
      </c>
    </row>
    <row r="933" spans="1:70" x14ac:dyDescent="0.3">
      <c r="A933" t="str">
        <f>"200509B0100"</f>
        <v>200509B0100</v>
      </c>
      <c r="B933" t="s">
        <v>1991</v>
      </c>
      <c r="C933">
        <v>20</v>
      </c>
      <c r="D933" t="s">
        <v>88</v>
      </c>
      <c r="E933">
        <v>66</v>
      </c>
      <c r="F933" t="s">
        <v>1713</v>
      </c>
      <c r="G933">
        <v>509</v>
      </c>
      <c r="H933">
        <v>1</v>
      </c>
      <c r="I933" t="s">
        <v>90</v>
      </c>
      <c r="J933">
        <v>0</v>
      </c>
      <c r="K933">
        <v>1</v>
      </c>
      <c r="L933">
        <v>5</v>
      </c>
      <c r="M933">
        <v>206</v>
      </c>
      <c r="N933">
        <v>490</v>
      </c>
      <c r="O933">
        <v>8</v>
      </c>
      <c r="P933">
        <v>488</v>
      </c>
      <c r="Q933">
        <v>68</v>
      </c>
      <c r="R933">
        <v>101</v>
      </c>
      <c r="S933">
        <v>12</v>
      </c>
      <c r="T933">
        <v>10</v>
      </c>
      <c r="U933">
        <v>8</v>
      </c>
      <c r="V933">
        <v>13</v>
      </c>
      <c r="W933">
        <v>7</v>
      </c>
      <c r="X933">
        <v>13</v>
      </c>
      <c r="Y933">
        <v>197</v>
      </c>
      <c r="Z933">
        <v>11</v>
      </c>
      <c r="AA933">
        <v>5</v>
      </c>
      <c r="AB933">
        <v>13</v>
      </c>
      <c r="AC933">
        <v>2</v>
      </c>
      <c r="AD933">
        <v>0</v>
      </c>
      <c r="AE933">
        <v>0</v>
      </c>
      <c r="AF933">
        <v>0</v>
      </c>
      <c r="AK933">
        <v>4</v>
      </c>
      <c r="AL933">
        <v>3</v>
      </c>
      <c r="AM933">
        <v>0</v>
      </c>
      <c r="AN933">
        <v>2</v>
      </c>
      <c r="AT933">
        <v>4</v>
      </c>
      <c r="BC933">
        <v>0</v>
      </c>
      <c r="BD933">
        <v>15</v>
      </c>
      <c r="BE933">
        <v>488</v>
      </c>
      <c r="BF933">
        <v>488</v>
      </c>
      <c r="BG933">
        <v>674</v>
      </c>
      <c r="BJ933">
        <v>1</v>
      </c>
      <c r="BL933" t="s">
        <v>1992</v>
      </c>
      <c r="BM933" s="4">
        <v>43283.269444444442</v>
      </c>
      <c r="BN933" s="4">
        <v>43283.295706018522</v>
      </c>
      <c r="BO933" s="4">
        <v>43283.295706018522</v>
      </c>
      <c r="BP933" t="s">
        <v>92</v>
      </c>
      <c r="BQ933" t="s">
        <v>93</v>
      </c>
      <c r="BR933" t="s">
        <v>94</v>
      </c>
    </row>
    <row r="934" spans="1:70" x14ac:dyDescent="0.3">
      <c r="A934" t="str">
        <f>"200509C0100"</f>
        <v>200509C0100</v>
      </c>
      <c r="B934" t="s">
        <v>1993</v>
      </c>
      <c r="C934">
        <v>20</v>
      </c>
      <c r="D934" t="s">
        <v>88</v>
      </c>
      <c r="E934">
        <v>66</v>
      </c>
      <c r="F934" t="s">
        <v>1713</v>
      </c>
      <c r="G934">
        <v>509</v>
      </c>
      <c r="H934">
        <v>1</v>
      </c>
      <c r="I934" t="s">
        <v>98</v>
      </c>
      <c r="J934">
        <v>0</v>
      </c>
      <c r="K934">
        <v>1</v>
      </c>
      <c r="L934">
        <v>5</v>
      </c>
      <c r="M934">
        <v>216</v>
      </c>
      <c r="N934">
        <v>479</v>
      </c>
      <c r="O934">
        <v>9</v>
      </c>
      <c r="P934">
        <v>480</v>
      </c>
      <c r="Q934">
        <v>75</v>
      </c>
      <c r="R934">
        <v>100</v>
      </c>
      <c r="S934">
        <v>8</v>
      </c>
      <c r="T934">
        <v>9</v>
      </c>
      <c r="U934">
        <v>13</v>
      </c>
      <c r="V934">
        <v>10</v>
      </c>
      <c r="W934">
        <v>4</v>
      </c>
      <c r="X934">
        <v>12</v>
      </c>
      <c r="Y934">
        <v>197</v>
      </c>
      <c r="Z934">
        <v>8</v>
      </c>
      <c r="AA934">
        <v>4</v>
      </c>
      <c r="AB934">
        <v>11</v>
      </c>
      <c r="AC934">
        <v>4</v>
      </c>
      <c r="AD934">
        <v>2</v>
      </c>
      <c r="AE934">
        <v>0</v>
      </c>
      <c r="AF934">
        <v>0</v>
      </c>
      <c r="AK934">
        <v>5</v>
      </c>
      <c r="AL934">
        <v>1</v>
      </c>
      <c r="AM934">
        <v>0</v>
      </c>
      <c r="AN934">
        <v>0</v>
      </c>
      <c r="AT934">
        <v>2</v>
      </c>
      <c r="BC934">
        <v>2</v>
      </c>
      <c r="BD934">
        <v>13</v>
      </c>
      <c r="BE934">
        <v>480</v>
      </c>
      <c r="BF934">
        <v>480</v>
      </c>
      <c r="BG934">
        <v>673</v>
      </c>
      <c r="BJ934">
        <v>1</v>
      </c>
      <c r="BL934" t="s">
        <v>1994</v>
      </c>
      <c r="BM934" s="4">
        <v>43283.268750000003</v>
      </c>
      <c r="BN934" s="4">
        <v>43283.295208333337</v>
      </c>
      <c r="BO934" s="4">
        <v>43283.295208333337</v>
      </c>
      <c r="BP934" t="s">
        <v>92</v>
      </c>
      <c r="BQ934" t="s">
        <v>93</v>
      </c>
      <c r="BR934" t="s">
        <v>94</v>
      </c>
    </row>
    <row r="935" spans="1:70" x14ac:dyDescent="0.3">
      <c r="A935" t="str">
        <f>"200509S0100"</f>
        <v>200509S0100</v>
      </c>
      <c r="B935" t="s">
        <v>1995</v>
      </c>
      <c r="C935">
        <v>20</v>
      </c>
      <c r="D935" t="s">
        <v>88</v>
      </c>
      <c r="E935">
        <v>66</v>
      </c>
      <c r="F935" t="s">
        <v>1713</v>
      </c>
      <c r="G935">
        <v>509</v>
      </c>
      <c r="H935">
        <v>1</v>
      </c>
      <c r="I935" t="s">
        <v>113</v>
      </c>
      <c r="J935">
        <v>0</v>
      </c>
      <c r="K935">
        <v>1</v>
      </c>
      <c r="L935">
        <v>6</v>
      </c>
      <c r="M935">
        <v>758</v>
      </c>
      <c r="N935">
        <v>14</v>
      </c>
      <c r="O935">
        <v>0</v>
      </c>
      <c r="P935">
        <v>14</v>
      </c>
      <c r="Q935">
        <v>3</v>
      </c>
      <c r="R935">
        <v>2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</v>
      </c>
      <c r="Y935">
        <v>8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K935">
        <v>0</v>
      </c>
      <c r="AL935">
        <v>0</v>
      </c>
      <c r="AM935">
        <v>0</v>
      </c>
      <c r="AN935">
        <v>0</v>
      </c>
      <c r="AT935">
        <v>0</v>
      </c>
      <c r="BC935">
        <v>0</v>
      </c>
      <c r="BD935">
        <v>0</v>
      </c>
      <c r="BE935">
        <v>14</v>
      </c>
      <c r="BF935">
        <v>14</v>
      </c>
      <c r="BG935">
        <v>0</v>
      </c>
      <c r="BJ935">
        <v>1</v>
      </c>
      <c r="BL935" t="s">
        <v>1996</v>
      </c>
      <c r="BM935" s="4">
        <v>43283.333333333336</v>
      </c>
      <c r="BN935" s="4">
        <v>43283.363819444443</v>
      </c>
      <c r="BO935" s="4">
        <v>43283.363819444443</v>
      </c>
      <c r="BP935" t="s">
        <v>92</v>
      </c>
      <c r="BQ935" t="s">
        <v>93</v>
      </c>
      <c r="BR935" t="s">
        <v>94</v>
      </c>
    </row>
    <row r="936" spans="1:70" x14ac:dyDescent="0.3">
      <c r="A936" t="str">
        <f>"200509S0200"</f>
        <v>200509S0200</v>
      </c>
      <c r="B936" t="s">
        <v>1997</v>
      </c>
      <c r="C936">
        <v>20</v>
      </c>
      <c r="D936" t="s">
        <v>88</v>
      </c>
      <c r="E936">
        <v>66</v>
      </c>
      <c r="F936" t="s">
        <v>1713</v>
      </c>
      <c r="G936">
        <v>509</v>
      </c>
      <c r="H936">
        <v>2</v>
      </c>
      <c r="I936" t="s">
        <v>113</v>
      </c>
      <c r="J936">
        <v>0</v>
      </c>
      <c r="K936">
        <v>1</v>
      </c>
      <c r="L936">
        <v>6</v>
      </c>
      <c r="M936">
        <v>642</v>
      </c>
      <c r="N936">
        <v>130</v>
      </c>
      <c r="O936">
        <v>0</v>
      </c>
      <c r="P936">
        <v>130</v>
      </c>
      <c r="Q936">
        <v>24</v>
      </c>
      <c r="R936">
        <v>17</v>
      </c>
      <c r="S936">
        <v>3</v>
      </c>
      <c r="T936">
        <v>0</v>
      </c>
      <c r="U936">
        <v>5</v>
      </c>
      <c r="V936">
        <v>3</v>
      </c>
      <c r="W936">
        <v>4</v>
      </c>
      <c r="X936">
        <v>2</v>
      </c>
      <c r="Y936">
        <v>65</v>
      </c>
      <c r="Z936">
        <v>2</v>
      </c>
      <c r="AA936">
        <v>0</v>
      </c>
      <c r="AB936">
        <v>2</v>
      </c>
      <c r="AC936">
        <v>0</v>
      </c>
      <c r="AD936">
        <v>0</v>
      </c>
      <c r="AE936">
        <v>0</v>
      </c>
      <c r="AF936">
        <v>0</v>
      </c>
      <c r="AK936">
        <v>1</v>
      </c>
      <c r="AL936">
        <v>0</v>
      </c>
      <c r="AM936">
        <v>0</v>
      </c>
      <c r="AN936">
        <v>0</v>
      </c>
      <c r="AT936">
        <v>0</v>
      </c>
      <c r="BC936">
        <v>0</v>
      </c>
      <c r="BD936">
        <v>2</v>
      </c>
      <c r="BE936">
        <v>130</v>
      </c>
      <c r="BF936">
        <v>130</v>
      </c>
      <c r="BG936">
        <v>0</v>
      </c>
      <c r="BJ936">
        <v>1</v>
      </c>
      <c r="BL936" t="s">
        <v>1998</v>
      </c>
      <c r="BM936" s="4">
        <v>43283.333333333336</v>
      </c>
      <c r="BN936" s="4">
        <v>43283.354155092595</v>
      </c>
      <c r="BO936" s="4">
        <v>43283.354155092595</v>
      </c>
      <c r="BP936" t="s">
        <v>92</v>
      </c>
      <c r="BQ936" t="s">
        <v>93</v>
      </c>
      <c r="BR936" t="s">
        <v>94</v>
      </c>
    </row>
    <row r="937" spans="1:70" x14ac:dyDescent="0.3">
      <c r="A937" t="str">
        <f>"200510B0100"</f>
        <v>200510B0100</v>
      </c>
      <c r="B937" t="s">
        <v>1999</v>
      </c>
      <c r="C937">
        <v>20</v>
      </c>
      <c r="D937" t="s">
        <v>88</v>
      </c>
      <c r="E937">
        <v>66</v>
      </c>
      <c r="F937" t="s">
        <v>1713</v>
      </c>
      <c r="G937">
        <v>510</v>
      </c>
      <c r="H937">
        <v>1</v>
      </c>
      <c r="I937" t="s">
        <v>90</v>
      </c>
      <c r="J937">
        <v>0</v>
      </c>
      <c r="K937">
        <v>1</v>
      </c>
      <c r="L937">
        <v>5</v>
      </c>
      <c r="M937" t="s">
        <v>127</v>
      </c>
      <c r="N937" t="s">
        <v>127</v>
      </c>
      <c r="O937" t="s">
        <v>127</v>
      </c>
      <c r="P937" t="s">
        <v>127</v>
      </c>
      <c r="Q937">
        <v>97</v>
      </c>
      <c r="R937">
        <v>101</v>
      </c>
      <c r="S937">
        <v>10</v>
      </c>
      <c r="T937">
        <v>9</v>
      </c>
      <c r="U937">
        <v>19</v>
      </c>
      <c r="V937">
        <v>6</v>
      </c>
      <c r="W937">
        <v>5</v>
      </c>
      <c r="X937">
        <v>18</v>
      </c>
      <c r="Y937">
        <v>177</v>
      </c>
      <c r="Z937">
        <v>8</v>
      </c>
      <c r="AA937">
        <v>4</v>
      </c>
      <c r="AB937">
        <v>9</v>
      </c>
      <c r="AC937">
        <v>3</v>
      </c>
      <c r="AD937">
        <v>2</v>
      </c>
      <c r="AE937">
        <v>1</v>
      </c>
      <c r="AF937">
        <v>1</v>
      </c>
      <c r="AK937">
        <v>1</v>
      </c>
      <c r="AL937">
        <v>2</v>
      </c>
      <c r="AM937">
        <v>0</v>
      </c>
      <c r="AN937">
        <v>0</v>
      </c>
      <c r="AT937">
        <v>3</v>
      </c>
      <c r="BC937">
        <v>0</v>
      </c>
      <c r="BD937">
        <v>14</v>
      </c>
      <c r="BE937">
        <v>490</v>
      </c>
      <c r="BF937">
        <v>490</v>
      </c>
      <c r="BG937">
        <v>660</v>
      </c>
      <c r="BJ937">
        <v>1</v>
      </c>
      <c r="BL937" t="s">
        <v>2000</v>
      </c>
      <c r="BM937" s="4">
        <v>43283.083333333336</v>
      </c>
      <c r="BN937" s="4">
        <v>43283.338333333333</v>
      </c>
      <c r="BO937" s="4">
        <v>43283.338333333333</v>
      </c>
      <c r="BP937" t="s">
        <v>92</v>
      </c>
      <c r="BQ937" t="s">
        <v>93</v>
      </c>
      <c r="BR937" t="s">
        <v>94</v>
      </c>
    </row>
    <row r="938" spans="1:70" x14ac:dyDescent="0.3">
      <c r="A938" t="str">
        <f>"200510C0100"</f>
        <v>200510C0100</v>
      </c>
      <c r="B938" t="s">
        <v>2001</v>
      </c>
      <c r="C938">
        <v>20</v>
      </c>
      <c r="D938" t="s">
        <v>88</v>
      </c>
      <c r="E938">
        <v>66</v>
      </c>
      <c r="F938" t="s">
        <v>1713</v>
      </c>
      <c r="G938">
        <v>510</v>
      </c>
      <c r="H938">
        <v>1</v>
      </c>
      <c r="I938" t="s">
        <v>98</v>
      </c>
      <c r="J938">
        <v>0</v>
      </c>
      <c r="K938">
        <v>1</v>
      </c>
      <c r="L938">
        <v>5</v>
      </c>
      <c r="M938" t="s">
        <v>127</v>
      </c>
      <c r="N938" t="s">
        <v>127</v>
      </c>
      <c r="O938" t="s">
        <v>127</v>
      </c>
      <c r="P938">
        <v>512</v>
      </c>
      <c r="Q938">
        <v>95</v>
      </c>
      <c r="R938">
        <v>118</v>
      </c>
      <c r="S938">
        <v>13</v>
      </c>
      <c r="T938">
        <v>16</v>
      </c>
      <c r="U938">
        <v>14</v>
      </c>
      <c r="V938">
        <v>8</v>
      </c>
      <c r="W938">
        <v>0</v>
      </c>
      <c r="X938">
        <v>8</v>
      </c>
      <c r="Y938">
        <v>203</v>
      </c>
      <c r="Z938">
        <v>10</v>
      </c>
      <c r="AA938">
        <v>2</v>
      </c>
      <c r="AB938">
        <v>10</v>
      </c>
      <c r="AC938">
        <v>1</v>
      </c>
      <c r="AD938">
        <v>0</v>
      </c>
      <c r="AE938">
        <v>0</v>
      </c>
      <c r="AF938">
        <v>0</v>
      </c>
      <c r="AK938">
        <v>5</v>
      </c>
      <c r="AL938">
        <v>0</v>
      </c>
      <c r="AM938">
        <v>0</v>
      </c>
      <c r="AN938">
        <v>0</v>
      </c>
      <c r="AT938" t="s">
        <v>105</v>
      </c>
      <c r="BC938" t="s">
        <v>105</v>
      </c>
      <c r="BD938">
        <v>10</v>
      </c>
      <c r="BE938" t="s">
        <v>127</v>
      </c>
      <c r="BF938">
        <v>513</v>
      </c>
      <c r="BG938">
        <v>659</v>
      </c>
      <c r="BI938" t="s">
        <v>106</v>
      </c>
      <c r="BJ938">
        <v>1</v>
      </c>
      <c r="BL938" t="s">
        <v>2002</v>
      </c>
      <c r="BM938" s="4">
        <v>43283.084722222222</v>
      </c>
      <c r="BN938" s="4">
        <v>43283.089930555558</v>
      </c>
      <c r="BO938" s="4">
        <v>43283.089930555558</v>
      </c>
      <c r="BP938" t="s">
        <v>92</v>
      </c>
      <c r="BQ938" t="s">
        <v>93</v>
      </c>
      <c r="BR938" t="s">
        <v>94</v>
      </c>
    </row>
    <row r="939" spans="1:70" x14ac:dyDescent="0.3">
      <c r="A939" t="str">
        <f>"200511B0100"</f>
        <v>200511B0100</v>
      </c>
      <c r="B939" t="s">
        <v>2003</v>
      </c>
      <c r="C939">
        <v>20</v>
      </c>
      <c r="D939" t="s">
        <v>88</v>
      </c>
      <c r="E939">
        <v>66</v>
      </c>
      <c r="F939" t="s">
        <v>1713</v>
      </c>
      <c r="G939">
        <v>511</v>
      </c>
      <c r="H939">
        <v>1</v>
      </c>
      <c r="I939" t="s">
        <v>90</v>
      </c>
      <c r="J939">
        <v>0</v>
      </c>
      <c r="K939">
        <v>1</v>
      </c>
      <c r="L939">
        <v>5</v>
      </c>
      <c r="M939">
        <v>146</v>
      </c>
      <c r="N939">
        <v>384</v>
      </c>
      <c r="O939">
        <v>4</v>
      </c>
      <c r="P939">
        <v>381</v>
      </c>
      <c r="Q939">
        <v>65</v>
      </c>
      <c r="R939">
        <v>85</v>
      </c>
      <c r="S939">
        <v>7</v>
      </c>
      <c r="T939">
        <v>6</v>
      </c>
      <c r="U939">
        <v>8</v>
      </c>
      <c r="V939">
        <v>5</v>
      </c>
      <c r="W939">
        <v>5</v>
      </c>
      <c r="X939">
        <v>6</v>
      </c>
      <c r="Y939">
        <v>159</v>
      </c>
      <c r="Z939">
        <v>9</v>
      </c>
      <c r="AA939">
        <v>3</v>
      </c>
      <c r="AB939">
        <v>11</v>
      </c>
      <c r="AC939">
        <v>2</v>
      </c>
      <c r="AD939">
        <v>1</v>
      </c>
      <c r="AE939">
        <v>0</v>
      </c>
      <c r="AF939">
        <v>0</v>
      </c>
      <c r="AK939">
        <v>1</v>
      </c>
      <c r="AL939">
        <v>0</v>
      </c>
      <c r="AM939">
        <v>0</v>
      </c>
      <c r="AN939">
        <v>0</v>
      </c>
      <c r="AT939">
        <v>1</v>
      </c>
      <c r="BC939">
        <v>0</v>
      </c>
      <c r="BD939">
        <v>7</v>
      </c>
      <c r="BE939">
        <v>381</v>
      </c>
      <c r="BF939">
        <v>381</v>
      </c>
      <c r="BG939">
        <v>508</v>
      </c>
      <c r="BJ939">
        <v>1</v>
      </c>
      <c r="BL939" t="s">
        <v>2004</v>
      </c>
      <c r="BM939" s="4">
        <v>43283.018055555556</v>
      </c>
      <c r="BN939" s="4">
        <v>43283.023518518516</v>
      </c>
      <c r="BO939" s="4">
        <v>43283.023518518516</v>
      </c>
      <c r="BP939" t="s">
        <v>92</v>
      </c>
      <c r="BQ939" t="s">
        <v>93</v>
      </c>
      <c r="BR939" t="s">
        <v>94</v>
      </c>
    </row>
    <row r="940" spans="1:70" x14ac:dyDescent="0.3">
      <c r="A940" t="str">
        <f>"200511C0100"</f>
        <v>200511C0100</v>
      </c>
      <c r="B940" t="s">
        <v>2005</v>
      </c>
      <c r="C940">
        <v>20</v>
      </c>
      <c r="D940" t="s">
        <v>88</v>
      </c>
      <c r="E940">
        <v>66</v>
      </c>
      <c r="F940" t="s">
        <v>1713</v>
      </c>
      <c r="G940">
        <v>511</v>
      </c>
      <c r="H940">
        <v>1</v>
      </c>
      <c r="I940" t="s">
        <v>98</v>
      </c>
      <c r="J940">
        <v>0</v>
      </c>
      <c r="K940">
        <v>1</v>
      </c>
      <c r="L940">
        <v>5</v>
      </c>
      <c r="M940">
        <v>149</v>
      </c>
      <c r="N940" t="s">
        <v>105</v>
      </c>
      <c r="O940">
        <v>7</v>
      </c>
      <c r="P940">
        <v>530</v>
      </c>
      <c r="Q940">
        <v>75</v>
      </c>
      <c r="R940">
        <v>76</v>
      </c>
      <c r="S940">
        <v>8</v>
      </c>
      <c r="T940">
        <v>5</v>
      </c>
      <c r="U940">
        <v>27</v>
      </c>
      <c r="V940">
        <v>10</v>
      </c>
      <c r="W940">
        <v>4</v>
      </c>
      <c r="X940">
        <v>6</v>
      </c>
      <c r="Y940">
        <v>131</v>
      </c>
      <c r="Z940">
        <v>4</v>
      </c>
      <c r="AA940">
        <v>3</v>
      </c>
      <c r="AB940">
        <v>14</v>
      </c>
      <c r="AC940">
        <v>2</v>
      </c>
      <c r="AD940">
        <v>3</v>
      </c>
      <c r="AE940">
        <v>0</v>
      </c>
      <c r="AF940">
        <v>0</v>
      </c>
      <c r="AK940">
        <v>1</v>
      </c>
      <c r="AL940">
        <v>1</v>
      </c>
      <c r="AM940">
        <v>0</v>
      </c>
      <c r="AN940">
        <v>1</v>
      </c>
      <c r="AT940">
        <v>0</v>
      </c>
      <c r="BC940">
        <v>0</v>
      </c>
      <c r="BD940">
        <v>10</v>
      </c>
      <c r="BE940">
        <v>381</v>
      </c>
      <c r="BF940">
        <v>381</v>
      </c>
      <c r="BG940">
        <v>508</v>
      </c>
      <c r="BJ940">
        <v>1</v>
      </c>
      <c r="BL940" t="s">
        <v>2006</v>
      </c>
      <c r="BM940" s="4">
        <v>43283.017361111109</v>
      </c>
      <c r="BN940" s="4">
        <v>43283.02275462963</v>
      </c>
      <c r="BO940" s="4">
        <v>43283.02275462963</v>
      </c>
      <c r="BP940" t="s">
        <v>92</v>
      </c>
      <c r="BQ940" t="s">
        <v>93</v>
      </c>
      <c r="BR940" t="s">
        <v>94</v>
      </c>
    </row>
    <row r="941" spans="1:70" x14ac:dyDescent="0.3">
      <c r="A941" t="str">
        <f>"200511C0200"</f>
        <v>200511C0200</v>
      </c>
      <c r="B941" t="s">
        <v>2007</v>
      </c>
      <c r="C941">
        <v>20</v>
      </c>
      <c r="D941" t="s">
        <v>88</v>
      </c>
      <c r="E941">
        <v>66</v>
      </c>
      <c r="F941" t="s">
        <v>1713</v>
      </c>
      <c r="G941">
        <v>511</v>
      </c>
      <c r="H941">
        <v>2</v>
      </c>
      <c r="I941" t="s">
        <v>98</v>
      </c>
      <c r="J941">
        <v>0</v>
      </c>
      <c r="K941">
        <v>1</v>
      </c>
      <c r="L941">
        <v>5</v>
      </c>
      <c r="M941">
        <v>148</v>
      </c>
      <c r="N941">
        <v>381</v>
      </c>
      <c r="O941">
        <v>7</v>
      </c>
      <c r="P941" t="s">
        <v>105</v>
      </c>
      <c r="Q941">
        <v>69</v>
      </c>
      <c r="R941">
        <v>92</v>
      </c>
      <c r="S941">
        <v>11</v>
      </c>
      <c r="T941">
        <v>6</v>
      </c>
      <c r="U941">
        <v>14</v>
      </c>
      <c r="V941">
        <v>7</v>
      </c>
      <c r="W941">
        <v>4</v>
      </c>
      <c r="X941">
        <v>10</v>
      </c>
      <c r="Y941">
        <v>140</v>
      </c>
      <c r="Z941">
        <v>4</v>
      </c>
      <c r="AA941">
        <v>3</v>
      </c>
      <c r="AB941">
        <v>8</v>
      </c>
      <c r="AC941">
        <v>1</v>
      </c>
      <c r="AD941">
        <v>0</v>
      </c>
      <c r="AE941">
        <v>0</v>
      </c>
      <c r="AF941">
        <v>0</v>
      </c>
      <c r="AK941">
        <v>4</v>
      </c>
      <c r="AL941">
        <v>1</v>
      </c>
      <c r="AM941">
        <v>0</v>
      </c>
      <c r="AN941">
        <v>0</v>
      </c>
      <c r="AT941">
        <v>1</v>
      </c>
      <c r="BC941">
        <v>0</v>
      </c>
      <c r="BD941">
        <v>7</v>
      </c>
      <c r="BE941">
        <v>382</v>
      </c>
      <c r="BF941">
        <v>382</v>
      </c>
      <c r="BG941">
        <v>508</v>
      </c>
      <c r="BJ941">
        <v>1</v>
      </c>
      <c r="BL941" t="s">
        <v>2008</v>
      </c>
      <c r="BM941" s="4">
        <v>43283.019444444442</v>
      </c>
      <c r="BN941" s="4">
        <v>43283.024409722224</v>
      </c>
      <c r="BO941" s="4">
        <v>43283.024409722224</v>
      </c>
      <c r="BP941" t="s">
        <v>92</v>
      </c>
      <c r="BQ941" t="s">
        <v>93</v>
      </c>
      <c r="BR941" t="s">
        <v>94</v>
      </c>
    </row>
    <row r="942" spans="1:70" x14ac:dyDescent="0.3">
      <c r="A942" t="str">
        <f>"200512B0100"</f>
        <v>200512B0100</v>
      </c>
      <c r="B942" t="s">
        <v>2009</v>
      </c>
      <c r="C942">
        <v>20</v>
      </c>
      <c r="D942" t="s">
        <v>88</v>
      </c>
      <c r="E942">
        <v>66</v>
      </c>
      <c r="F942" t="s">
        <v>1713</v>
      </c>
      <c r="G942">
        <v>512</v>
      </c>
      <c r="H942">
        <v>1</v>
      </c>
      <c r="I942" t="s">
        <v>90</v>
      </c>
      <c r="J942">
        <v>0</v>
      </c>
      <c r="K942">
        <v>1</v>
      </c>
      <c r="L942">
        <v>5</v>
      </c>
      <c r="M942">
        <v>191</v>
      </c>
      <c r="N942">
        <v>443</v>
      </c>
      <c r="O942">
        <v>8</v>
      </c>
      <c r="P942">
        <v>447</v>
      </c>
      <c r="Q942">
        <v>86</v>
      </c>
      <c r="R942">
        <v>93</v>
      </c>
      <c r="S942">
        <v>15</v>
      </c>
      <c r="T942">
        <v>6</v>
      </c>
      <c r="U942">
        <v>16</v>
      </c>
      <c r="V942">
        <v>11</v>
      </c>
      <c r="W942">
        <v>10</v>
      </c>
      <c r="X942">
        <v>9</v>
      </c>
      <c r="Y942">
        <v>164</v>
      </c>
      <c r="Z942">
        <v>7</v>
      </c>
      <c r="AA942">
        <v>3</v>
      </c>
      <c r="AB942">
        <v>10</v>
      </c>
      <c r="AC942">
        <v>2</v>
      </c>
      <c r="AD942">
        <v>0</v>
      </c>
      <c r="AE942">
        <v>1</v>
      </c>
      <c r="AF942">
        <v>0</v>
      </c>
      <c r="AK942">
        <v>2</v>
      </c>
      <c r="AL942">
        <v>1</v>
      </c>
      <c r="AM942">
        <v>0</v>
      </c>
      <c r="AN942">
        <v>0</v>
      </c>
      <c r="AT942">
        <v>2</v>
      </c>
      <c r="BC942" t="s">
        <v>105</v>
      </c>
      <c r="BD942">
        <v>9</v>
      </c>
      <c r="BE942">
        <v>447</v>
      </c>
      <c r="BF942">
        <v>447</v>
      </c>
      <c r="BG942">
        <v>612</v>
      </c>
      <c r="BI942" t="s">
        <v>106</v>
      </c>
      <c r="BJ942">
        <v>1</v>
      </c>
      <c r="BL942" t="s">
        <v>2010</v>
      </c>
      <c r="BM942" s="4">
        <v>43283.048611111109</v>
      </c>
      <c r="BN942" s="4">
        <v>43283.054363425923</v>
      </c>
      <c r="BO942" s="4">
        <v>43283.054363425923</v>
      </c>
      <c r="BP942" t="s">
        <v>92</v>
      </c>
      <c r="BQ942" t="s">
        <v>93</v>
      </c>
      <c r="BR942" t="s">
        <v>94</v>
      </c>
    </row>
    <row r="943" spans="1:70" x14ac:dyDescent="0.3">
      <c r="A943" t="str">
        <f>"200512C0100"</f>
        <v>200512C0100</v>
      </c>
      <c r="B943" t="s">
        <v>2011</v>
      </c>
      <c r="C943">
        <v>20</v>
      </c>
      <c r="D943" t="s">
        <v>88</v>
      </c>
      <c r="E943">
        <v>66</v>
      </c>
      <c r="F943" t="s">
        <v>1713</v>
      </c>
      <c r="G943">
        <v>512</v>
      </c>
      <c r="H943">
        <v>1</v>
      </c>
      <c r="I943" t="s">
        <v>98</v>
      </c>
      <c r="J943">
        <v>0</v>
      </c>
      <c r="K943">
        <v>1</v>
      </c>
      <c r="L943">
        <v>5</v>
      </c>
      <c r="M943">
        <v>194</v>
      </c>
      <c r="N943">
        <v>440</v>
      </c>
      <c r="O943">
        <v>3</v>
      </c>
      <c r="P943">
        <v>437</v>
      </c>
      <c r="Q943">
        <v>71</v>
      </c>
      <c r="R943">
        <v>104</v>
      </c>
      <c r="S943">
        <v>7</v>
      </c>
      <c r="T943">
        <v>7</v>
      </c>
      <c r="U943">
        <v>22</v>
      </c>
      <c r="V943">
        <v>10</v>
      </c>
      <c r="W943">
        <v>4</v>
      </c>
      <c r="X943">
        <v>6</v>
      </c>
      <c r="Y943">
        <v>170</v>
      </c>
      <c r="Z943">
        <v>8</v>
      </c>
      <c r="AA943">
        <v>2</v>
      </c>
      <c r="AB943">
        <v>6</v>
      </c>
      <c r="AC943">
        <v>1</v>
      </c>
      <c r="AD943">
        <v>1</v>
      </c>
      <c r="AE943">
        <v>0</v>
      </c>
      <c r="AF943">
        <v>0</v>
      </c>
      <c r="AK943">
        <v>5</v>
      </c>
      <c r="AL943">
        <v>0</v>
      </c>
      <c r="AM943">
        <v>0</v>
      </c>
      <c r="AN943">
        <v>0</v>
      </c>
      <c r="AT943">
        <v>1</v>
      </c>
      <c r="BC943">
        <v>0</v>
      </c>
      <c r="BD943">
        <v>12</v>
      </c>
      <c r="BE943">
        <v>437</v>
      </c>
      <c r="BF943">
        <v>437</v>
      </c>
      <c r="BG943">
        <v>611</v>
      </c>
      <c r="BJ943">
        <v>1</v>
      </c>
      <c r="BL943" t="s">
        <v>2012</v>
      </c>
      <c r="BM943" s="4">
        <v>43283.05</v>
      </c>
      <c r="BN943" s="4">
        <v>43283.054895833331</v>
      </c>
      <c r="BO943" s="4">
        <v>43283.054895833331</v>
      </c>
      <c r="BP943" t="s">
        <v>92</v>
      </c>
      <c r="BQ943" t="s">
        <v>93</v>
      </c>
      <c r="BR943" t="s">
        <v>94</v>
      </c>
    </row>
    <row r="944" spans="1:70" x14ac:dyDescent="0.3">
      <c r="A944" t="str">
        <f>"200513B0100"</f>
        <v>200513B0100</v>
      </c>
      <c r="B944" t="s">
        <v>2013</v>
      </c>
      <c r="C944">
        <v>20</v>
      </c>
      <c r="D944" t="s">
        <v>88</v>
      </c>
      <c r="E944">
        <v>66</v>
      </c>
      <c r="F944" t="s">
        <v>1713</v>
      </c>
      <c r="G944">
        <v>513</v>
      </c>
      <c r="H944">
        <v>1</v>
      </c>
      <c r="I944" t="s">
        <v>90</v>
      </c>
      <c r="J944">
        <v>0</v>
      </c>
      <c r="K944">
        <v>1</v>
      </c>
      <c r="L944">
        <v>5</v>
      </c>
      <c r="M944">
        <v>231</v>
      </c>
      <c r="N944">
        <v>447</v>
      </c>
      <c r="O944">
        <v>4</v>
      </c>
      <c r="P944">
        <v>444</v>
      </c>
      <c r="Q944">
        <v>81</v>
      </c>
      <c r="R944">
        <v>69</v>
      </c>
      <c r="S944">
        <v>18</v>
      </c>
      <c r="T944">
        <v>5</v>
      </c>
      <c r="U944">
        <v>15</v>
      </c>
      <c r="V944">
        <v>11</v>
      </c>
      <c r="W944">
        <v>5</v>
      </c>
      <c r="X944">
        <v>8</v>
      </c>
      <c r="Y944">
        <v>186</v>
      </c>
      <c r="Z944">
        <v>10</v>
      </c>
      <c r="AA944">
        <v>3</v>
      </c>
      <c r="AB944">
        <v>9</v>
      </c>
      <c r="AC944">
        <v>1</v>
      </c>
      <c r="AD944">
        <v>0</v>
      </c>
      <c r="AE944">
        <v>0</v>
      </c>
      <c r="AF944">
        <v>0</v>
      </c>
      <c r="AK944">
        <v>6</v>
      </c>
      <c r="AL944">
        <v>3</v>
      </c>
      <c r="AM944">
        <v>1</v>
      </c>
      <c r="AN944">
        <v>1</v>
      </c>
      <c r="AT944">
        <v>3</v>
      </c>
      <c r="BC944">
        <v>0</v>
      </c>
      <c r="BD944">
        <v>9</v>
      </c>
      <c r="BE944">
        <v>444</v>
      </c>
      <c r="BF944">
        <v>444</v>
      </c>
      <c r="BG944">
        <v>655</v>
      </c>
      <c r="BJ944">
        <v>1</v>
      </c>
      <c r="BL944" t="s">
        <v>2014</v>
      </c>
      <c r="BM944" s="4">
        <v>43283.123611111114</v>
      </c>
      <c r="BN944" s="4">
        <v>43283.12773148148</v>
      </c>
      <c r="BO944" s="4">
        <v>43283.12773148148</v>
      </c>
      <c r="BP944" t="s">
        <v>92</v>
      </c>
      <c r="BQ944" t="s">
        <v>93</v>
      </c>
      <c r="BR944" t="s">
        <v>94</v>
      </c>
    </row>
    <row r="945" spans="1:70" x14ac:dyDescent="0.3">
      <c r="A945" t="str">
        <f>"200513C0100"</f>
        <v>200513C0100</v>
      </c>
      <c r="B945" t="s">
        <v>2015</v>
      </c>
      <c r="C945">
        <v>20</v>
      </c>
      <c r="D945" t="s">
        <v>88</v>
      </c>
      <c r="E945">
        <v>66</v>
      </c>
      <c r="F945" t="s">
        <v>1713</v>
      </c>
      <c r="G945">
        <v>513</v>
      </c>
      <c r="H945">
        <v>1</v>
      </c>
      <c r="I945" t="s">
        <v>98</v>
      </c>
      <c r="J945">
        <v>0</v>
      </c>
      <c r="K945">
        <v>1</v>
      </c>
      <c r="L945">
        <v>5</v>
      </c>
      <c r="M945">
        <v>205</v>
      </c>
      <c r="N945">
        <v>471</v>
      </c>
      <c r="O945">
        <v>2</v>
      </c>
      <c r="P945">
        <v>473</v>
      </c>
      <c r="Q945">
        <v>75</v>
      </c>
      <c r="R945">
        <v>70</v>
      </c>
      <c r="S945">
        <v>13</v>
      </c>
      <c r="T945">
        <v>6</v>
      </c>
      <c r="U945">
        <v>21</v>
      </c>
      <c r="V945">
        <v>9</v>
      </c>
      <c r="W945">
        <v>5</v>
      </c>
      <c r="X945">
        <v>4</v>
      </c>
      <c r="Y945">
        <v>226</v>
      </c>
      <c r="Z945">
        <v>5</v>
      </c>
      <c r="AA945">
        <v>8</v>
      </c>
      <c r="AB945">
        <v>6</v>
      </c>
      <c r="AC945">
        <v>1</v>
      </c>
      <c r="AD945">
        <v>2</v>
      </c>
      <c r="AE945">
        <v>1</v>
      </c>
      <c r="AF945">
        <v>0</v>
      </c>
      <c r="AK945">
        <v>8</v>
      </c>
      <c r="AL945">
        <v>1</v>
      </c>
      <c r="AM945">
        <v>0</v>
      </c>
      <c r="AN945">
        <v>2</v>
      </c>
      <c r="AT945">
        <v>1</v>
      </c>
      <c r="BC945">
        <v>0</v>
      </c>
      <c r="BD945">
        <v>9</v>
      </c>
      <c r="BE945">
        <v>473</v>
      </c>
      <c r="BF945">
        <v>473</v>
      </c>
      <c r="BG945">
        <v>655</v>
      </c>
      <c r="BJ945">
        <v>1</v>
      </c>
      <c r="BL945" t="s">
        <v>2016</v>
      </c>
      <c r="BM945" s="4">
        <v>43283.115277777775</v>
      </c>
      <c r="BN945" s="4">
        <v>43283.123333333337</v>
      </c>
      <c r="BO945" s="4">
        <v>43283.123333333337</v>
      </c>
      <c r="BP945" t="s">
        <v>92</v>
      </c>
      <c r="BQ945" t="s">
        <v>93</v>
      </c>
      <c r="BR945" t="s">
        <v>94</v>
      </c>
    </row>
    <row r="946" spans="1:70" x14ac:dyDescent="0.3">
      <c r="A946" t="str">
        <f>"200514B0100"</f>
        <v>200514B0100</v>
      </c>
      <c r="B946" t="s">
        <v>2017</v>
      </c>
      <c r="C946">
        <v>20</v>
      </c>
      <c r="D946" t="s">
        <v>88</v>
      </c>
      <c r="E946">
        <v>66</v>
      </c>
      <c r="F946" t="s">
        <v>1713</v>
      </c>
      <c r="G946">
        <v>514</v>
      </c>
      <c r="H946">
        <v>1</v>
      </c>
      <c r="I946" t="s">
        <v>90</v>
      </c>
      <c r="J946">
        <v>0</v>
      </c>
      <c r="K946">
        <v>1</v>
      </c>
      <c r="L946">
        <v>5</v>
      </c>
      <c r="M946">
        <v>243</v>
      </c>
      <c r="N946">
        <v>517</v>
      </c>
      <c r="O946">
        <v>2</v>
      </c>
      <c r="P946">
        <v>517</v>
      </c>
      <c r="Q946">
        <v>83</v>
      </c>
      <c r="R946">
        <v>83</v>
      </c>
      <c r="S946">
        <v>9</v>
      </c>
      <c r="T946">
        <v>12</v>
      </c>
      <c r="U946">
        <v>13</v>
      </c>
      <c r="V946">
        <v>10</v>
      </c>
      <c r="W946">
        <v>7</v>
      </c>
      <c r="X946">
        <v>2</v>
      </c>
      <c r="Y946">
        <v>242</v>
      </c>
      <c r="Z946">
        <v>9</v>
      </c>
      <c r="AA946">
        <v>7</v>
      </c>
      <c r="AB946">
        <v>10</v>
      </c>
      <c r="AC946">
        <v>3</v>
      </c>
      <c r="AD946">
        <v>3</v>
      </c>
      <c r="AE946">
        <v>1</v>
      </c>
      <c r="AF946">
        <v>0</v>
      </c>
      <c r="AK946">
        <v>3</v>
      </c>
      <c r="AL946">
        <v>3</v>
      </c>
      <c r="AM946">
        <v>0</v>
      </c>
      <c r="AN946">
        <v>1</v>
      </c>
      <c r="AT946">
        <v>4</v>
      </c>
      <c r="BC946">
        <v>0</v>
      </c>
      <c r="BD946">
        <v>12</v>
      </c>
      <c r="BE946">
        <v>517</v>
      </c>
      <c r="BF946">
        <v>517</v>
      </c>
      <c r="BG946">
        <v>739</v>
      </c>
      <c r="BJ946">
        <v>1</v>
      </c>
      <c r="BL946" t="s">
        <v>2018</v>
      </c>
      <c r="BM946" s="4">
        <v>43283.188194444447</v>
      </c>
      <c r="BN946" s="4">
        <v>43283.520208333335</v>
      </c>
      <c r="BO946" s="4">
        <v>43283.520208333335</v>
      </c>
      <c r="BP946" t="s">
        <v>92</v>
      </c>
      <c r="BQ946" t="s">
        <v>93</v>
      </c>
      <c r="BR946" t="s">
        <v>94</v>
      </c>
    </row>
    <row r="947" spans="1:70" x14ac:dyDescent="0.3">
      <c r="A947" t="str">
        <f>"200514C0100"</f>
        <v>200514C0100</v>
      </c>
      <c r="B947" t="s">
        <v>2019</v>
      </c>
      <c r="C947">
        <v>20</v>
      </c>
      <c r="D947" t="s">
        <v>88</v>
      </c>
      <c r="E947">
        <v>66</v>
      </c>
      <c r="F947" t="s">
        <v>1713</v>
      </c>
      <c r="G947">
        <v>514</v>
      </c>
      <c r="H947">
        <v>1</v>
      </c>
      <c r="I947" t="s">
        <v>98</v>
      </c>
      <c r="J947">
        <v>0</v>
      </c>
      <c r="K947">
        <v>1</v>
      </c>
      <c r="L947">
        <v>5</v>
      </c>
      <c r="BG947">
        <v>739</v>
      </c>
      <c r="BI947" t="s">
        <v>122</v>
      </c>
      <c r="BJ947">
        <v>0</v>
      </c>
      <c r="BL947" t="s">
        <v>2020</v>
      </c>
      <c r="BM947" s="4">
        <v>43283.550694444442</v>
      </c>
      <c r="BN947" s="4">
        <v>43283.553877314815</v>
      </c>
      <c r="BO947" s="4">
        <v>43283.553877314815</v>
      </c>
      <c r="BP947" t="s">
        <v>92</v>
      </c>
      <c r="BQ947" t="s">
        <v>93</v>
      </c>
      <c r="BR947" t="s">
        <v>94</v>
      </c>
    </row>
    <row r="948" spans="1:70" x14ac:dyDescent="0.3">
      <c r="A948" t="str">
        <f>"200515B0100"</f>
        <v>200515B0100</v>
      </c>
      <c r="B948" t="s">
        <v>2021</v>
      </c>
      <c r="C948">
        <v>20</v>
      </c>
      <c r="D948" t="s">
        <v>88</v>
      </c>
      <c r="E948">
        <v>66</v>
      </c>
      <c r="F948" t="s">
        <v>1713</v>
      </c>
      <c r="G948">
        <v>515</v>
      </c>
      <c r="H948">
        <v>1</v>
      </c>
      <c r="I948" t="s">
        <v>90</v>
      </c>
      <c r="J948">
        <v>0</v>
      </c>
      <c r="K948">
        <v>1</v>
      </c>
      <c r="L948">
        <v>5</v>
      </c>
      <c r="M948" t="s">
        <v>127</v>
      </c>
      <c r="N948" t="s">
        <v>127</v>
      </c>
      <c r="O948" t="s">
        <v>127</v>
      </c>
      <c r="P948" t="s">
        <v>127</v>
      </c>
      <c r="Q948">
        <v>58</v>
      </c>
      <c r="R948">
        <v>51</v>
      </c>
      <c r="S948">
        <v>12</v>
      </c>
      <c r="T948">
        <v>6</v>
      </c>
      <c r="U948">
        <v>10</v>
      </c>
      <c r="V948">
        <v>5</v>
      </c>
      <c r="W948">
        <v>8</v>
      </c>
      <c r="X948">
        <v>5</v>
      </c>
      <c r="Y948">
        <v>128</v>
      </c>
      <c r="Z948">
        <v>6</v>
      </c>
      <c r="AA948">
        <v>6</v>
      </c>
      <c r="AB948">
        <v>10</v>
      </c>
      <c r="AC948">
        <v>0</v>
      </c>
      <c r="AD948">
        <v>0</v>
      </c>
      <c r="AE948">
        <v>0</v>
      </c>
      <c r="AF948">
        <v>0</v>
      </c>
      <c r="AK948">
        <v>1</v>
      </c>
      <c r="AL948">
        <v>0</v>
      </c>
      <c r="AM948">
        <v>0</v>
      </c>
      <c r="AN948">
        <v>1</v>
      </c>
      <c r="AT948">
        <v>0</v>
      </c>
      <c r="BC948">
        <v>0</v>
      </c>
      <c r="BD948">
        <v>4</v>
      </c>
      <c r="BE948">
        <v>311</v>
      </c>
      <c r="BF948">
        <v>311</v>
      </c>
      <c r="BG948">
        <v>440</v>
      </c>
      <c r="BJ948">
        <v>1</v>
      </c>
      <c r="BL948" t="s">
        <v>2022</v>
      </c>
      <c r="BM948" s="4">
        <v>43283.09375</v>
      </c>
      <c r="BN948" s="4">
        <v>43283.099814814814</v>
      </c>
      <c r="BO948" s="4">
        <v>43283.099814814814</v>
      </c>
      <c r="BP948" t="s">
        <v>92</v>
      </c>
      <c r="BQ948" t="s">
        <v>93</v>
      </c>
      <c r="BR948" t="s">
        <v>94</v>
      </c>
    </row>
    <row r="949" spans="1:70" x14ac:dyDescent="0.3">
      <c r="A949" t="str">
        <f>"200515C0100"</f>
        <v>200515C0100</v>
      </c>
      <c r="B949" t="s">
        <v>2023</v>
      </c>
      <c r="C949">
        <v>20</v>
      </c>
      <c r="D949" t="s">
        <v>88</v>
      </c>
      <c r="E949">
        <v>66</v>
      </c>
      <c r="F949" t="s">
        <v>1713</v>
      </c>
      <c r="G949">
        <v>515</v>
      </c>
      <c r="H949">
        <v>1</v>
      </c>
      <c r="I949" t="s">
        <v>98</v>
      </c>
      <c r="J949">
        <v>0</v>
      </c>
      <c r="K949">
        <v>1</v>
      </c>
      <c r="L949">
        <v>5</v>
      </c>
      <c r="M949">
        <v>137</v>
      </c>
      <c r="N949">
        <v>324</v>
      </c>
      <c r="O949">
        <v>6</v>
      </c>
      <c r="P949">
        <v>324</v>
      </c>
      <c r="Q949">
        <v>51</v>
      </c>
      <c r="R949">
        <v>65</v>
      </c>
      <c r="S949">
        <v>13</v>
      </c>
      <c r="T949">
        <v>4</v>
      </c>
      <c r="U949">
        <v>11</v>
      </c>
      <c r="V949">
        <v>6</v>
      </c>
      <c r="W949">
        <v>4</v>
      </c>
      <c r="X949">
        <v>0</v>
      </c>
      <c r="Y949">
        <v>134</v>
      </c>
      <c r="Z949">
        <v>8</v>
      </c>
      <c r="AA949">
        <v>2</v>
      </c>
      <c r="AB949">
        <v>10</v>
      </c>
      <c r="AC949">
        <v>0</v>
      </c>
      <c r="AD949">
        <v>0</v>
      </c>
      <c r="AE949">
        <v>0</v>
      </c>
      <c r="AF949">
        <v>0</v>
      </c>
      <c r="AK949">
        <v>7</v>
      </c>
      <c r="AL949">
        <v>0</v>
      </c>
      <c r="AM949">
        <v>0</v>
      </c>
      <c r="AN949">
        <v>0</v>
      </c>
      <c r="AT949">
        <v>0</v>
      </c>
      <c r="BC949">
        <v>0</v>
      </c>
      <c r="BD949">
        <v>8</v>
      </c>
      <c r="BE949">
        <v>324</v>
      </c>
      <c r="BF949">
        <v>323</v>
      </c>
      <c r="BG949">
        <v>439</v>
      </c>
      <c r="BJ949">
        <v>1</v>
      </c>
      <c r="BL949" t="s">
        <v>2024</v>
      </c>
      <c r="BM949" s="4">
        <v>43283.091666666667</v>
      </c>
      <c r="BN949" s="4">
        <v>43283.095358796294</v>
      </c>
      <c r="BO949" s="4">
        <v>43283.095358796294</v>
      </c>
      <c r="BP949" t="s">
        <v>92</v>
      </c>
      <c r="BQ949" t="s">
        <v>93</v>
      </c>
      <c r="BR949" t="s">
        <v>94</v>
      </c>
    </row>
    <row r="950" spans="1:70" x14ac:dyDescent="0.3">
      <c r="A950" t="str">
        <f>"200516B0100"</f>
        <v>200516B0100</v>
      </c>
      <c r="B950" t="s">
        <v>2025</v>
      </c>
      <c r="C950">
        <v>20</v>
      </c>
      <c r="D950" t="s">
        <v>88</v>
      </c>
      <c r="E950">
        <v>66</v>
      </c>
      <c r="F950" t="s">
        <v>1713</v>
      </c>
      <c r="G950">
        <v>516</v>
      </c>
      <c r="H950">
        <v>1</v>
      </c>
      <c r="I950" t="s">
        <v>90</v>
      </c>
      <c r="J950">
        <v>0</v>
      </c>
      <c r="K950">
        <v>1</v>
      </c>
      <c r="L950">
        <v>5</v>
      </c>
      <c r="M950">
        <v>160</v>
      </c>
      <c r="N950">
        <v>348</v>
      </c>
      <c r="O950">
        <v>7</v>
      </c>
      <c r="P950">
        <v>347</v>
      </c>
      <c r="Q950">
        <v>54</v>
      </c>
      <c r="R950">
        <v>71</v>
      </c>
      <c r="S950">
        <v>17</v>
      </c>
      <c r="T950">
        <v>8</v>
      </c>
      <c r="U950">
        <v>12</v>
      </c>
      <c r="V950">
        <v>7</v>
      </c>
      <c r="W950">
        <v>4</v>
      </c>
      <c r="X950">
        <v>7</v>
      </c>
      <c r="Y950">
        <v>130</v>
      </c>
      <c r="Z950">
        <v>4</v>
      </c>
      <c r="AA950">
        <v>8</v>
      </c>
      <c r="AB950">
        <v>11</v>
      </c>
      <c r="AC950">
        <v>1</v>
      </c>
      <c r="AD950">
        <v>2</v>
      </c>
      <c r="AE950">
        <v>1</v>
      </c>
      <c r="AF950" t="s">
        <v>105</v>
      </c>
      <c r="AK950">
        <v>1</v>
      </c>
      <c r="AL950">
        <v>2</v>
      </c>
      <c r="AM950">
        <v>1</v>
      </c>
      <c r="AN950" t="s">
        <v>105</v>
      </c>
      <c r="AT950">
        <v>1</v>
      </c>
      <c r="BC950" t="s">
        <v>105</v>
      </c>
      <c r="BD950">
        <v>5</v>
      </c>
      <c r="BE950">
        <v>347</v>
      </c>
      <c r="BF950">
        <v>347</v>
      </c>
      <c r="BG950">
        <v>486</v>
      </c>
      <c r="BI950" t="s">
        <v>106</v>
      </c>
      <c r="BJ950">
        <v>1</v>
      </c>
      <c r="BL950" t="s">
        <v>2026</v>
      </c>
      <c r="BM950" s="4">
        <v>43283.092361111114</v>
      </c>
      <c r="BN950" s="4">
        <v>43283.097384259258</v>
      </c>
      <c r="BO950" s="4">
        <v>43283.097384259258</v>
      </c>
      <c r="BP950" t="s">
        <v>92</v>
      </c>
      <c r="BQ950" t="s">
        <v>93</v>
      </c>
      <c r="BR950" t="s">
        <v>94</v>
      </c>
    </row>
    <row r="951" spans="1:70" x14ac:dyDescent="0.3">
      <c r="A951" t="str">
        <f>"200516C0100"</f>
        <v>200516C0100</v>
      </c>
      <c r="B951" t="s">
        <v>2027</v>
      </c>
      <c r="C951">
        <v>20</v>
      </c>
      <c r="D951" t="s">
        <v>88</v>
      </c>
      <c r="E951">
        <v>66</v>
      </c>
      <c r="F951" t="s">
        <v>1713</v>
      </c>
      <c r="G951">
        <v>516</v>
      </c>
      <c r="H951">
        <v>1</v>
      </c>
      <c r="I951" t="s">
        <v>98</v>
      </c>
      <c r="J951">
        <v>0</v>
      </c>
      <c r="K951">
        <v>1</v>
      </c>
      <c r="L951">
        <v>5</v>
      </c>
      <c r="M951">
        <v>153</v>
      </c>
      <c r="N951">
        <v>355</v>
      </c>
      <c r="O951">
        <v>4</v>
      </c>
      <c r="P951">
        <v>355</v>
      </c>
      <c r="Q951">
        <v>61</v>
      </c>
      <c r="R951">
        <v>71</v>
      </c>
      <c r="S951">
        <v>8</v>
      </c>
      <c r="T951">
        <v>2</v>
      </c>
      <c r="U951">
        <v>11</v>
      </c>
      <c r="V951">
        <v>6</v>
      </c>
      <c r="W951">
        <v>8</v>
      </c>
      <c r="X951">
        <v>3</v>
      </c>
      <c r="Y951">
        <v>137</v>
      </c>
      <c r="Z951">
        <v>3</v>
      </c>
      <c r="AA951">
        <v>9</v>
      </c>
      <c r="AB951">
        <v>11</v>
      </c>
      <c r="AC951">
        <v>2</v>
      </c>
      <c r="AD951">
        <v>2</v>
      </c>
      <c r="AE951">
        <v>0</v>
      </c>
      <c r="AF951">
        <v>0</v>
      </c>
      <c r="AK951">
        <v>5</v>
      </c>
      <c r="AL951">
        <v>1</v>
      </c>
      <c r="AM951">
        <v>0</v>
      </c>
      <c r="AN951">
        <v>2</v>
      </c>
      <c r="AT951">
        <v>2</v>
      </c>
      <c r="BC951">
        <v>0</v>
      </c>
      <c r="BD951">
        <v>11</v>
      </c>
      <c r="BE951">
        <v>355</v>
      </c>
      <c r="BF951">
        <v>355</v>
      </c>
      <c r="BG951">
        <v>486</v>
      </c>
      <c r="BJ951">
        <v>1</v>
      </c>
      <c r="BL951" t="s">
        <v>2028</v>
      </c>
      <c r="BM951" s="4">
        <v>43283.09375</v>
      </c>
      <c r="BN951" s="4">
        <v>43283.098263888889</v>
      </c>
      <c r="BO951" s="4">
        <v>43283.098263888889</v>
      </c>
      <c r="BP951" t="s">
        <v>92</v>
      </c>
      <c r="BQ951" t="s">
        <v>93</v>
      </c>
      <c r="BR951" t="s">
        <v>94</v>
      </c>
    </row>
    <row r="952" spans="1:70" x14ac:dyDescent="0.3">
      <c r="A952" t="str">
        <f>"200517B0100"</f>
        <v>200517B0100</v>
      </c>
      <c r="B952" t="s">
        <v>2029</v>
      </c>
      <c r="C952">
        <v>20</v>
      </c>
      <c r="D952" t="s">
        <v>88</v>
      </c>
      <c r="E952">
        <v>66</v>
      </c>
      <c r="F952" t="s">
        <v>1713</v>
      </c>
      <c r="G952">
        <v>517</v>
      </c>
      <c r="H952">
        <v>1</v>
      </c>
      <c r="I952" t="s">
        <v>90</v>
      </c>
      <c r="J952">
        <v>0</v>
      </c>
      <c r="K952">
        <v>1</v>
      </c>
      <c r="L952">
        <v>5</v>
      </c>
      <c r="M952">
        <v>201</v>
      </c>
      <c r="N952">
        <v>410</v>
      </c>
      <c r="O952">
        <v>3</v>
      </c>
      <c r="P952">
        <v>410</v>
      </c>
      <c r="Q952">
        <v>66</v>
      </c>
      <c r="R952">
        <v>72</v>
      </c>
      <c r="S952">
        <v>14</v>
      </c>
      <c r="T952">
        <v>11</v>
      </c>
      <c r="U952">
        <v>14</v>
      </c>
      <c r="V952">
        <v>9</v>
      </c>
      <c r="W952">
        <v>5</v>
      </c>
      <c r="X952">
        <v>8</v>
      </c>
      <c r="Y952">
        <v>157</v>
      </c>
      <c r="Z952">
        <v>6</v>
      </c>
      <c r="AA952">
        <v>10</v>
      </c>
      <c r="AB952">
        <v>15</v>
      </c>
      <c r="AC952">
        <v>2</v>
      </c>
      <c r="AD952">
        <v>1</v>
      </c>
      <c r="AE952">
        <v>0</v>
      </c>
      <c r="AF952">
        <v>0</v>
      </c>
      <c r="AK952">
        <v>3</v>
      </c>
      <c r="AL952">
        <v>2</v>
      </c>
      <c r="AM952">
        <v>0</v>
      </c>
      <c r="AN952">
        <v>1</v>
      </c>
      <c r="AT952">
        <v>3</v>
      </c>
      <c r="BC952">
        <v>0</v>
      </c>
      <c r="BD952">
        <v>21</v>
      </c>
      <c r="BE952">
        <v>410</v>
      </c>
      <c r="BF952">
        <v>420</v>
      </c>
      <c r="BG952">
        <v>589</v>
      </c>
      <c r="BJ952">
        <v>1</v>
      </c>
      <c r="BL952" t="s">
        <v>2030</v>
      </c>
      <c r="BM952" s="4">
        <v>43283.092361111114</v>
      </c>
      <c r="BN952" s="4">
        <v>43283.095706018517</v>
      </c>
      <c r="BO952" s="4">
        <v>43283.095706018517</v>
      </c>
      <c r="BP952" t="s">
        <v>92</v>
      </c>
      <c r="BQ952" t="s">
        <v>93</v>
      </c>
      <c r="BR952" t="s">
        <v>94</v>
      </c>
    </row>
    <row r="953" spans="1:70" x14ac:dyDescent="0.3">
      <c r="A953" t="str">
        <f>"200517C0100"</f>
        <v>200517C0100</v>
      </c>
      <c r="B953" t="s">
        <v>2031</v>
      </c>
      <c r="C953">
        <v>20</v>
      </c>
      <c r="D953" t="s">
        <v>88</v>
      </c>
      <c r="E953">
        <v>66</v>
      </c>
      <c r="F953" t="s">
        <v>1713</v>
      </c>
      <c r="G953">
        <v>517</v>
      </c>
      <c r="H953">
        <v>1</v>
      </c>
      <c r="I953" t="s">
        <v>98</v>
      </c>
      <c r="J953">
        <v>0</v>
      </c>
      <c r="K953">
        <v>1</v>
      </c>
      <c r="L953">
        <v>5</v>
      </c>
      <c r="M953">
        <v>170</v>
      </c>
      <c r="N953">
        <v>439</v>
      </c>
      <c r="O953">
        <v>5</v>
      </c>
      <c r="P953">
        <v>439</v>
      </c>
      <c r="Q953">
        <v>81</v>
      </c>
      <c r="R953">
        <v>79</v>
      </c>
      <c r="S953">
        <v>7</v>
      </c>
      <c r="T953">
        <v>5</v>
      </c>
      <c r="U953">
        <v>21</v>
      </c>
      <c r="V953">
        <v>9</v>
      </c>
      <c r="W953">
        <v>10</v>
      </c>
      <c r="X953">
        <v>4</v>
      </c>
      <c r="Y953">
        <v>173</v>
      </c>
      <c r="Z953">
        <v>7</v>
      </c>
      <c r="AA953">
        <v>12</v>
      </c>
      <c r="AB953">
        <v>13</v>
      </c>
      <c r="AC953">
        <v>1</v>
      </c>
      <c r="AD953">
        <v>1</v>
      </c>
      <c r="AE953">
        <v>2</v>
      </c>
      <c r="AF953">
        <v>0</v>
      </c>
      <c r="AK953">
        <v>1</v>
      </c>
      <c r="AL953">
        <v>0</v>
      </c>
      <c r="AM953">
        <v>0</v>
      </c>
      <c r="AN953">
        <v>0</v>
      </c>
      <c r="AT953">
        <v>4</v>
      </c>
      <c r="BC953">
        <v>0</v>
      </c>
      <c r="BD953">
        <v>9</v>
      </c>
      <c r="BE953">
        <v>439</v>
      </c>
      <c r="BF953">
        <v>439</v>
      </c>
      <c r="BG953">
        <v>588</v>
      </c>
      <c r="BJ953">
        <v>1</v>
      </c>
      <c r="BL953" t="s">
        <v>2032</v>
      </c>
      <c r="BM953" s="4">
        <v>43283.088194444441</v>
      </c>
      <c r="BN953" s="4">
        <v>43283.092303240737</v>
      </c>
      <c r="BO953" s="4">
        <v>43283.092303240737</v>
      </c>
      <c r="BP953" t="s">
        <v>92</v>
      </c>
      <c r="BQ953" t="s">
        <v>93</v>
      </c>
      <c r="BR953" t="s">
        <v>94</v>
      </c>
    </row>
    <row r="954" spans="1:70" x14ac:dyDescent="0.3">
      <c r="A954" t="str">
        <f>"200518B0100"</f>
        <v>200518B0100</v>
      </c>
      <c r="B954" t="s">
        <v>2033</v>
      </c>
      <c r="C954">
        <v>20</v>
      </c>
      <c r="D954" t="s">
        <v>88</v>
      </c>
      <c r="E954">
        <v>66</v>
      </c>
      <c r="F954" t="s">
        <v>1713</v>
      </c>
      <c r="G954">
        <v>518</v>
      </c>
      <c r="H954">
        <v>1</v>
      </c>
      <c r="I954" t="s">
        <v>90</v>
      </c>
      <c r="J954">
        <v>0</v>
      </c>
      <c r="K954">
        <v>1</v>
      </c>
      <c r="L954">
        <v>5</v>
      </c>
      <c r="M954">
        <v>120</v>
      </c>
      <c r="N954">
        <v>376</v>
      </c>
      <c r="O954">
        <v>8</v>
      </c>
      <c r="P954">
        <v>374</v>
      </c>
      <c r="Q954">
        <v>52</v>
      </c>
      <c r="R954">
        <v>86</v>
      </c>
      <c r="S954">
        <v>8</v>
      </c>
      <c r="T954">
        <v>3</v>
      </c>
      <c r="U954">
        <v>11</v>
      </c>
      <c r="V954">
        <v>5</v>
      </c>
      <c r="W954">
        <v>7</v>
      </c>
      <c r="X954">
        <v>4</v>
      </c>
      <c r="Y954">
        <v>152</v>
      </c>
      <c r="Z954">
        <v>5</v>
      </c>
      <c r="AA954">
        <v>13</v>
      </c>
      <c r="AB954">
        <v>1</v>
      </c>
      <c r="AC954">
        <v>1</v>
      </c>
      <c r="AD954">
        <v>0</v>
      </c>
      <c r="AE954">
        <v>0</v>
      </c>
      <c r="AF954">
        <v>0</v>
      </c>
      <c r="AK954">
        <v>7</v>
      </c>
      <c r="AL954">
        <v>0</v>
      </c>
      <c r="AM954">
        <v>0</v>
      </c>
      <c r="AN954">
        <v>0</v>
      </c>
      <c r="AT954">
        <v>3</v>
      </c>
      <c r="BC954">
        <v>0</v>
      </c>
      <c r="BD954">
        <v>13</v>
      </c>
      <c r="BE954">
        <v>374</v>
      </c>
      <c r="BF954">
        <v>371</v>
      </c>
      <c r="BG954">
        <v>474</v>
      </c>
      <c r="BJ954">
        <v>1</v>
      </c>
      <c r="BL954" t="s">
        <v>2034</v>
      </c>
      <c r="BM954" s="4">
        <v>43283.09375</v>
      </c>
      <c r="BN954" s="4">
        <v>43283.097245370373</v>
      </c>
      <c r="BO954" s="4">
        <v>43283.097245370373</v>
      </c>
      <c r="BP954" t="s">
        <v>92</v>
      </c>
      <c r="BQ954" t="s">
        <v>93</v>
      </c>
      <c r="BR954" t="s">
        <v>94</v>
      </c>
    </row>
    <row r="955" spans="1:70" x14ac:dyDescent="0.3">
      <c r="A955" t="str">
        <f>"200518C0100"</f>
        <v>200518C0100</v>
      </c>
      <c r="B955" t="s">
        <v>2035</v>
      </c>
      <c r="C955">
        <v>20</v>
      </c>
      <c r="D955" t="s">
        <v>88</v>
      </c>
      <c r="E955">
        <v>66</v>
      </c>
      <c r="F955" t="s">
        <v>1713</v>
      </c>
      <c r="G955">
        <v>518</v>
      </c>
      <c r="H955">
        <v>1</v>
      </c>
      <c r="I955" t="s">
        <v>98</v>
      </c>
      <c r="J955">
        <v>0</v>
      </c>
      <c r="K955">
        <v>1</v>
      </c>
      <c r="L955">
        <v>5</v>
      </c>
      <c r="M955">
        <v>152</v>
      </c>
      <c r="N955">
        <v>343</v>
      </c>
      <c r="O955">
        <v>6</v>
      </c>
      <c r="P955">
        <v>343</v>
      </c>
      <c r="Q955">
        <v>56</v>
      </c>
      <c r="R955">
        <v>56</v>
      </c>
      <c r="S955">
        <v>16</v>
      </c>
      <c r="T955">
        <v>3</v>
      </c>
      <c r="U955">
        <v>10</v>
      </c>
      <c r="V955">
        <v>11</v>
      </c>
      <c r="W955">
        <v>7</v>
      </c>
      <c r="X955">
        <v>4</v>
      </c>
      <c r="Y955">
        <v>139</v>
      </c>
      <c r="Z955">
        <v>7</v>
      </c>
      <c r="AA955">
        <v>6</v>
      </c>
      <c r="AB955">
        <v>7</v>
      </c>
      <c r="AC955">
        <v>2</v>
      </c>
      <c r="AD955">
        <v>0</v>
      </c>
      <c r="AE955">
        <v>0</v>
      </c>
      <c r="AF955">
        <v>0</v>
      </c>
      <c r="AK955">
        <v>5</v>
      </c>
      <c r="AL955">
        <v>0</v>
      </c>
      <c r="AM955">
        <v>0</v>
      </c>
      <c r="AN955">
        <v>1</v>
      </c>
      <c r="AT955">
        <v>3</v>
      </c>
      <c r="BC955">
        <v>0</v>
      </c>
      <c r="BD955">
        <v>11</v>
      </c>
      <c r="BE955">
        <v>344</v>
      </c>
      <c r="BF955">
        <v>344</v>
      </c>
      <c r="BG955">
        <v>473</v>
      </c>
      <c r="BJ955">
        <v>1</v>
      </c>
      <c r="BL955" t="s">
        <v>2036</v>
      </c>
      <c r="BM955" s="4">
        <v>43283.092361111114</v>
      </c>
      <c r="BN955" s="4">
        <v>43283.096643518518</v>
      </c>
      <c r="BO955" s="4">
        <v>43283.096643518518</v>
      </c>
      <c r="BP955" t="s">
        <v>92</v>
      </c>
      <c r="BQ955" t="s">
        <v>93</v>
      </c>
      <c r="BR955" t="s">
        <v>94</v>
      </c>
    </row>
    <row r="956" spans="1:70" x14ac:dyDescent="0.3">
      <c r="A956" t="str">
        <f>"200519B0100"</f>
        <v>200519B0100</v>
      </c>
      <c r="B956" t="s">
        <v>2037</v>
      </c>
      <c r="C956">
        <v>20</v>
      </c>
      <c r="D956" t="s">
        <v>88</v>
      </c>
      <c r="E956">
        <v>66</v>
      </c>
      <c r="F956" t="s">
        <v>1713</v>
      </c>
      <c r="G956">
        <v>519</v>
      </c>
      <c r="H956">
        <v>1</v>
      </c>
      <c r="I956" t="s">
        <v>90</v>
      </c>
      <c r="J956">
        <v>0</v>
      </c>
      <c r="K956">
        <v>1</v>
      </c>
      <c r="L956">
        <v>5</v>
      </c>
      <c r="M956">
        <v>198</v>
      </c>
      <c r="N956">
        <v>442</v>
      </c>
      <c r="O956">
        <v>4</v>
      </c>
      <c r="P956">
        <v>441</v>
      </c>
      <c r="Q956">
        <v>73</v>
      </c>
      <c r="R956">
        <v>74</v>
      </c>
      <c r="S956">
        <v>16</v>
      </c>
      <c r="T956">
        <v>5</v>
      </c>
      <c r="U956">
        <v>21</v>
      </c>
      <c r="V956">
        <v>4</v>
      </c>
      <c r="W956">
        <v>4</v>
      </c>
      <c r="X956">
        <v>5</v>
      </c>
      <c r="Y956">
        <v>209</v>
      </c>
      <c r="Z956">
        <v>3</v>
      </c>
      <c r="AA956">
        <v>5</v>
      </c>
      <c r="AB956">
        <v>8</v>
      </c>
      <c r="AC956">
        <v>2</v>
      </c>
      <c r="AD956">
        <v>1</v>
      </c>
      <c r="AE956">
        <v>0</v>
      </c>
      <c r="AF956">
        <v>0</v>
      </c>
      <c r="AK956">
        <v>3</v>
      </c>
      <c r="AL956">
        <v>0</v>
      </c>
      <c r="AM956">
        <v>0</v>
      </c>
      <c r="AN956">
        <v>1</v>
      </c>
      <c r="AT956">
        <v>1</v>
      </c>
      <c r="BC956">
        <v>0</v>
      </c>
      <c r="BD956">
        <v>6</v>
      </c>
      <c r="BE956">
        <v>441</v>
      </c>
      <c r="BF956">
        <v>441</v>
      </c>
      <c r="BG956">
        <v>618</v>
      </c>
      <c r="BJ956">
        <v>1</v>
      </c>
      <c r="BL956" t="s">
        <v>2038</v>
      </c>
      <c r="BM956" s="4">
        <v>43283.104861111111</v>
      </c>
      <c r="BN956" s="4">
        <v>43283.109363425923</v>
      </c>
      <c r="BO956" s="4">
        <v>43283.109363425923</v>
      </c>
      <c r="BP956" t="s">
        <v>92</v>
      </c>
      <c r="BQ956" t="s">
        <v>93</v>
      </c>
      <c r="BR956" t="s">
        <v>94</v>
      </c>
    </row>
    <row r="957" spans="1:70" x14ac:dyDescent="0.3">
      <c r="A957" t="str">
        <f>"200519C0100"</f>
        <v>200519C0100</v>
      </c>
      <c r="B957" t="s">
        <v>2039</v>
      </c>
      <c r="C957">
        <v>20</v>
      </c>
      <c r="D957" t="s">
        <v>88</v>
      </c>
      <c r="E957">
        <v>66</v>
      </c>
      <c r="F957" t="s">
        <v>1713</v>
      </c>
      <c r="G957">
        <v>519</v>
      </c>
      <c r="H957">
        <v>1</v>
      </c>
      <c r="I957" t="s">
        <v>98</v>
      </c>
      <c r="J957">
        <v>0</v>
      </c>
      <c r="K957">
        <v>1</v>
      </c>
      <c r="L957">
        <v>5</v>
      </c>
      <c r="M957">
        <v>196</v>
      </c>
      <c r="N957">
        <v>444</v>
      </c>
      <c r="O957">
        <v>9</v>
      </c>
      <c r="P957">
        <v>445</v>
      </c>
      <c r="Q957">
        <v>65</v>
      </c>
      <c r="R957">
        <v>92</v>
      </c>
      <c r="S957">
        <v>15</v>
      </c>
      <c r="T957">
        <v>12</v>
      </c>
      <c r="U957">
        <v>25</v>
      </c>
      <c r="V957">
        <v>4</v>
      </c>
      <c r="W957">
        <v>3</v>
      </c>
      <c r="X957">
        <v>2</v>
      </c>
      <c r="Y957">
        <v>183</v>
      </c>
      <c r="Z957">
        <v>6</v>
      </c>
      <c r="AA957">
        <v>5</v>
      </c>
      <c r="AB957">
        <v>15</v>
      </c>
      <c r="AC957">
        <v>1</v>
      </c>
      <c r="AD957">
        <v>0</v>
      </c>
      <c r="AE957">
        <v>0</v>
      </c>
      <c r="AF957">
        <v>0</v>
      </c>
      <c r="AK957">
        <v>4</v>
      </c>
      <c r="AL957">
        <v>1</v>
      </c>
      <c r="AM957">
        <v>0</v>
      </c>
      <c r="AN957">
        <v>0</v>
      </c>
      <c r="AT957">
        <v>0</v>
      </c>
      <c r="BC957">
        <v>1</v>
      </c>
      <c r="BD957">
        <v>11</v>
      </c>
      <c r="BE957">
        <v>445</v>
      </c>
      <c r="BF957">
        <v>445</v>
      </c>
      <c r="BG957">
        <v>618</v>
      </c>
      <c r="BJ957">
        <v>1</v>
      </c>
      <c r="BL957" t="s">
        <v>2040</v>
      </c>
      <c r="BM957" s="4">
        <v>43283.106249999997</v>
      </c>
      <c r="BN957" s="4">
        <v>43283.110706018517</v>
      </c>
      <c r="BO957" s="4">
        <v>43283.110706018517</v>
      </c>
      <c r="BP957" t="s">
        <v>92</v>
      </c>
      <c r="BQ957" t="s">
        <v>93</v>
      </c>
      <c r="BR957" t="s">
        <v>94</v>
      </c>
    </row>
    <row r="958" spans="1:70" x14ac:dyDescent="0.3">
      <c r="A958" t="str">
        <f>"200520B0100"</f>
        <v>200520B0100</v>
      </c>
      <c r="B958" t="s">
        <v>2041</v>
      </c>
      <c r="C958">
        <v>20</v>
      </c>
      <c r="D958" t="s">
        <v>88</v>
      </c>
      <c r="E958">
        <v>66</v>
      </c>
      <c r="F958" t="s">
        <v>1713</v>
      </c>
      <c r="G958">
        <v>520</v>
      </c>
      <c r="H958">
        <v>1</v>
      </c>
      <c r="I958" t="s">
        <v>90</v>
      </c>
      <c r="J958">
        <v>0</v>
      </c>
      <c r="K958">
        <v>1</v>
      </c>
      <c r="L958">
        <v>5</v>
      </c>
      <c r="M958" t="s">
        <v>127</v>
      </c>
      <c r="N958" t="s">
        <v>127</v>
      </c>
      <c r="O958" t="s">
        <v>127</v>
      </c>
      <c r="P958" t="s">
        <v>127</v>
      </c>
      <c r="Q958">
        <v>52</v>
      </c>
      <c r="R958">
        <v>98</v>
      </c>
      <c r="S958">
        <v>2</v>
      </c>
      <c r="T958">
        <v>5</v>
      </c>
      <c r="U958">
        <v>11</v>
      </c>
      <c r="V958">
        <v>2</v>
      </c>
      <c r="W958">
        <v>3</v>
      </c>
      <c r="X958">
        <v>3</v>
      </c>
      <c r="Y958">
        <v>160</v>
      </c>
      <c r="Z958">
        <v>4</v>
      </c>
      <c r="AA958">
        <v>2</v>
      </c>
      <c r="AB958">
        <v>12</v>
      </c>
      <c r="AC958">
        <v>1</v>
      </c>
      <c r="AD958">
        <v>1</v>
      </c>
      <c r="AE958">
        <v>3</v>
      </c>
      <c r="AF958">
        <v>0</v>
      </c>
      <c r="AK958">
        <v>3</v>
      </c>
      <c r="AL958">
        <v>0</v>
      </c>
      <c r="AM958">
        <v>0</v>
      </c>
      <c r="AN958">
        <v>0</v>
      </c>
      <c r="AT958">
        <v>0</v>
      </c>
      <c r="BC958">
        <v>0</v>
      </c>
      <c r="BD958">
        <v>9</v>
      </c>
      <c r="BE958">
        <v>368</v>
      </c>
      <c r="BF958">
        <v>371</v>
      </c>
      <c r="BG958">
        <v>502</v>
      </c>
      <c r="BJ958">
        <v>1</v>
      </c>
      <c r="BL958" t="s">
        <v>2042</v>
      </c>
      <c r="BM958" s="4">
        <v>43283.318055555559</v>
      </c>
      <c r="BN958" s="4">
        <v>43283.362222222226</v>
      </c>
      <c r="BO958" s="4">
        <v>43283.362222222226</v>
      </c>
      <c r="BP958" t="s">
        <v>92</v>
      </c>
      <c r="BQ958" t="s">
        <v>93</v>
      </c>
      <c r="BR958" t="s">
        <v>94</v>
      </c>
    </row>
    <row r="959" spans="1:70" x14ac:dyDescent="0.3">
      <c r="A959" t="str">
        <f>"200520C0100"</f>
        <v>200520C0100</v>
      </c>
      <c r="B959" t="s">
        <v>2043</v>
      </c>
      <c r="C959">
        <v>20</v>
      </c>
      <c r="D959" t="s">
        <v>88</v>
      </c>
      <c r="E959">
        <v>66</v>
      </c>
      <c r="F959" t="s">
        <v>1713</v>
      </c>
      <c r="G959">
        <v>520</v>
      </c>
      <c r="H959">
        <v>1</v>
      </c>
      <c r="I959" t="s">
        <v>98</v>
      </c>
      <c r="J959">
        <v>0</v>
      </c>
      <c r="K959">
        <v>1</v>
      </c>
      <c r="L959">
        <v>5</v>
      </c>
      <c r="M959">
        <v>150</v>
      </c>
      <c r="N959">
        <v>374</v>
      </c>
      <c r="O959">
        <v>7</v>
      </c>
      <c r="P959">
        <v>374</v>
      </c>
      <c r="Q959">
        <v>65</v>
      </c>
      <c r="R959">
        <v>94</v>
      </c>
      <c r="S959">
        <v>11</v>
      </c>
      <c r="T959">
        <v>3</v>
      </c>
      <c r="U959">
        <v>15</v>
      </c>
      <c r="V959">
        <v>4</v>
      </c>
      <c r="W959">
        <v>4</v>
      </c>
      <c r="X959">
        <v>4</v>
      </c>
      <c r="Y959">
        <v>139</v>
      </c>
      <c r="Z959">
        <v>9</v>
      </c>
      <c r="AA959">
        <v>2</v>
      </c>
      <c r="AB959">
        <v>11</v>
      </c>
      <c r="AC959">
        <v>0</v>
      </c>
      <c r="AD959">
        <v>0</v>
      </c>
      <c r="AE959">
        <v>0</v>
      </c>
      <c r="AF959">
        <v>0</v>
      </c>
      <c r="AK959">
        <v>0</v>
      </c>
      <c r="AL959">
        <v>1</v>
      </c>
      <c r="AM959">
        <v>0</v>
      </c>
      <c r="AN959">
        <v>1</v>
      </c>
      <c r="AT959">
        <v>0</v>
      </c>
      <c r="BC959">
        <v>0</v>
      </c>
      <c r="BD959">
        <v>11</v>
      </c>
      <c r="BE959">
        <v>374</v>
      </c>
      <c r="BF959">
        <v>374</v>
      </c>
      <c r="BG959">
        <v>502</v>
      </c>
      <c r="BJ959">
        <v>1</v>
      </c>
      <c r="BL959" t="s">
        <v>2044</v>
      </c>
      <c r="BM959" s="4">
        <v>43283.088888888888</v>
      </c>
      <c r="BN959" s="4">
        <v>43283.094826388886</v>
      </c>
      <c r="BO959" s="4">
        <v>43283.094826388886</v>
      </c>
      <c r="BP959" t="s">
        <v>92</v>
      </c>
      <c r="BQ959" t="s">
        <v>93</v>
      </c>
      <c r="BR959" t="s">
        <v>94</v>
      </c>
    </row>
    <row r="960" spans="1:70" x14ac:dyDescent="0.3">
      <c r="A960" t="str">
        <f>"200521B0100"</f>
        <v>200521B0100</v>
      </c>
      <c r="B960" t="s">
        <v>2045</v>
      </c>
      <c r="C960">
        <v>20</v>
      </c>
      <c r="D960" t="s">
        <v>88</v>
      </c>
      <c r="E960">
        <v>66</v>
      </c>
      <c r="F960" t="s">
        <v>1713</v>
      </c>
      <c r="G960">
        <v>521</v>
      </c>
      <c r="H960">
        <v>1</v>
      </c>
      <c r="I960" t="s">
        <v>90</v>
      </c>
      <c r="J960">
        <v>0</v>
      </c>
      <c r="K960">
        <v>1</v>
      </c>
      <c r="L960">
        <v>5</v>
      </c>
      <c r="M960">
        <v>220</v>
      </c>
      <c r="N960">
        <v>397</v>
      </c>
      <c r="O960">
        <v>3</v>
      </c>
      <c r="P960">
        <v>396</v>
      </c>
      <c r="Q960">
        <v>79</v>
      </c>
      <c r="R960">
        <v>49</v>
      </c>
      <c r="S960">
        <v>13</v>
      </c>
      <c r="T960">
        <v>13</v>
      </c>
      <c r="U960">
        <v>19</v>
      </c>
      <c r="V960">
        <v>5</v>
      </c>
      <c r="W960">
        <v>4</v>
      </c>
      <c r="X960">
        <v>3</v>
      </c>
      <c r="Y960">
        <v>181</v>
      </c>
      <c r="Z960">
        <v>4</v>
      </c>
      <c r="AA960">
        <v>3</v>
      </c>
      <c r="AB960">
        <v>11</v>
      </c>
      <c r="AC960">
        <v>2</v>
      </c>
      <c r="AD960">
        <v>1</v>
      </c>
      <c r="AE960">
        <v>1</v>
      </c>
      <c r="AF960">
        <v>0</v>
      </c>
      <c r="AK960">
        <v>2</v>
      </c>
      <c r="AL960">
        <v>1</v>
      </c>
      <c r="AM960">
        <v>0</v>
      </c>
      <c r="AN960">
        <v>1</v>
      </c>
      <c r="AT960">
        <v>1</v>
      </c>
      <c r="BC960">
        <v>0</v>
      </c>
      <c r="BD960">
        <v>4</v>
      </c>
      <c r="BE960">
        <v>396</v>
      </c>
      <c r="BF960">
        <v>397</v>
      </c>
      <c r="BG960">
        <v>595</v>
      </c>
      <c r="BJ960">
        <v>1</v>
      </c>
      <c r="BL960" t="s">
        <v>2046</v>
      </c>
      <c r="BM960" s="4">
        <v>43282.997025462966</v>
      </c>
      <c r="BN960" s="4">
        <v>43283.000104166669</v>
      </c>
      <c r="BO960" s="4">
        <v>43283.000104166669</v>
      </c>
      <c r="BP960" t="s">
        <v>339</v>
      </c>
      <c r="BQ960" t="s">
        <v>340</v>
      </c>
      <c r="BR960" t="s">
        <v>94</v>
      </c>
    </row>
    <row r="961" spans="1:70" x14ac:dyDescent="0.3">
      <c r="A961" t="str">
        <f>"200521C0100"</f>
        <v>200521C0100</v>
      </c>
      <c r="B961" t="s">
        <v>2047</v>
      </c>
      <c r="C961">
        <v>20</v>
      </c>
      <c r="D961" t="s">
        <v>88</v>
      </c>
      <c r="E961">
        <v>66</v>
      </c>
      <c r="F961" t="s">
        <v>1713</v>
      </c>
      <c r="G961">
        <v>521</v>
      </c>
      <c r="H961">
        <v>1</v>
      </c>
      <c r="I961" t="s">
        <v>98</v>
      </c>
      <c r="J961">
        <v>0</v>
      </c>
      <c r="K961">
        <v>1</v>
      </c>
      <c r="L961">
        <v>5</v>
      </c>
      <c r="M961">
        <v>230</v>
      </c>
      <c r="N961">
        <v>387</v>
      </c>
      <c r="O961">
        <v>4</v>
      </c>
      <c r="P961">
        <v>387</v>
      </c>
      <c r="Q961">
        <v>96</v>
      </c>
      <c r="R961">
        <v>53</v>
      </c>
      <c r="S961">
        <v>11</v>
      </c>
      <c r="T961">
        <v>8</v>
      </c>
      <c r="U961">
        <v>17</v>
      </c>
      <c r="V961">
        <v>12</v>
      </c>
      <c r="W961">
        <v>4</v>
      </c>
      <c r="X961">
        <v>3</v>
      </c>
      <c r="Y961">
        <v>134</v>
      </c>
      <c r="Z961">
        <v>7</v>
      </c>
      <c r="AA961">
        <v>7</v>
      </c>
      <c r="AB961">
        <v>12</v>
      </c>
      <c r="AC961">
        <v>3</v>
      </c>
      <c r="AD961">
        <v>0</v>
      </c>
      <c r="AE961">
        <v>1</v>
      </c>
      <c r="AF961">
        <v>0</v>
      </c>
      <c r="AK961">
        <v>5</v>
      </c>
      <c r="AL961">
        <v>3</v>
      </c>
      <c r="AM961">
        <v>0</v>
      </c>
      <c r="AN961">
        <v>1</v>
      </c>
      <c r="AT961">
        <v>4</v>
      </c>
      <c r="BC961">
        <v>0</v>
      </c>
      <c r="BD961">
        <v>6</v>
      </c>
      <c r="BE961">
        <v>387</v>
      </c>
      <c r="BF961">
        <v>387</v>
      </c>
      <c r="BG961">
        <v>595</v>
      </c>
      <c r="BJ961">
        <v>1</v>
      </c>
      <c r="BL961" t="s">
        <v>2048</v>
      </c>
      <c r="BM961" s="4">
        <v>43282.981377314813</v>
      </c>
      <c r="BN961" s="4">
        <v>43282.986203703702</v>
      </c>
      <c r="BO961" s="4">
        <v>43282.986203703702</v>
      </c>
      <c r="BP961" t="s">
        <v>339</v>
      </c>
      <c r="BQ961" t="s">
        <v>340</v>
      </c>
      <c r="BR961" t="s">
        <v>94</v>
      </c>
    </row>
    <row r="962" spans="1:70" x14ac:dyDescent="0.3">
      <c r="A962" t="str">
        <f>"200521C0200"</f>
        <v>200521C0200</v>
      </c>
      <c r="B962" t="s">
        <v>2049</v>
      </c>
      <c r="C962">
        <v>20</v>
      </c>
      <c r="D962" t="s">
        <v>88</v>
      </c>
      <c r="E962">
        <v>66</v>
      </c>
      <c r="F962" t="s">
        <v>1713</v>
      </c>
      <c r="G962">
        <v>521</v>
      </c>
      <c r="H962">
        <v>2</v>
      </c>
      <c r="I962" t="s">
        <v>98</v>
      </c>
      <c r="J962">
        <v>0</v>
      </c>
      <c r="K962">
        <v>1</v>
      </c>
      <c r="L962">
        <v>5</v>
      </c>
      <c r="M962">
        <v>224</v>
      </c>
      <c r="N962">
        <v>392</v>
      </c>
      <c r="O962">
        <v>6</v>
      </c>
      <c r="P962">
        <v>392</v>
      </c>
      <c r="Q962">
        <v>78</v>
      </c>
      <c r="R962">
        <v>37</v>
      </c>
      <c r="S962">
        <v>9</v>
      </c>
      <c r="T962">
        <v>11</v>
      </c>
      <c r="U962">
        <v>22</v>
      </c>
      <c r="V962">
        <v>12</v>
      </c>
      <c r="W962">
        <v>9</v>
      </c>
      <c r="X962">
        <v>4</v>
      </c>
      <c r="Y962">
        <v>164</v>
      </c>
      <c r="Z962">
        <v>8</v>
      </c>
      <c r="AA962">
        <v>6</v>
      </c>
      <c r="AB962">
        <v>5</v>
      </c>
      <c r="AC962">
        <v>1</v>
      </c>
      <c r="AD962">
        <v>0</v>
      </c>
      <c r="AE962">
        <v>0</v>
      </c>
      <c r="AF962">
        <v>0</v>
      </c>
      <c r="AK962">
        <v>1</v>
      </c>
      <c r="AL962">
        <v>1</v>
      </c>
      <c r="AM962">
        <v>0</v>
      </c>
      <c r="AN962">
        <v>1</v>
      </c>
      <c r="AT962">
        <v>1</v>
      </c>
      <c r="BC962">
        <v>0</v>
      </c>
      <c r="BD962">
        <v>22</v>
      </c>
      <c r="BE962">
        <v>392</v>
      </c>
      <c r="BF962">
        <v>392</v>
      </c>
      <c r="BG962">
        <v>594</v>
      </c>
      <c r="BJ962">
        <v>1</v>
      </c>
      <c r="BL962" t="s">
        <v>2050</v>
      </c>
      <c r="BM962" s="4">
        <v>43282.991331018522</v>
      </c>
      <c r="BN962" s="4">
        <v>43282.995300925926</v>
      </c>
      <c r="BO962" s="4">
        <v>43282.995300925926</v>
      </c>
      <c r="BP962" t="s">
        <v>339</v>
      </c>
      <c r="BQ962" t="s">
        <v>340</v>
      </c>
      <c r="BR962" t="s">
        <v>94</v>
      </c>
    </row>
    <row r="963" spans="1:70" x14ac:dyDescent="0.3">
      <c r="A963" t="str">
        <f>"200522B0100"</f>
        <v>200522B0100</v>
      </c>
      <c r="B963" t="s">
        <v>2051</v>
      </c>
      <c r="C963">
        <v>20</v>
      </c>
      <c r="D963" t="s">
        <v>88</v>
      </c>
      <c r="E963">
        <v>66</v>
      </c>
      <c r="F963" t="s">
        <v>1713</v>
      </c>
      <c r="G963">
        <v>522</v>
      </c>
      <c r="H963">
        <v>1</v>
      </c>
      <c r="I963" t="s">
        <v>90</v>
      </c>
      <c r="J963">
        <v>0</v>
      </c>
      <c r="K963">
        <v>1</v>
      </c>
      <c r="L963">
        <v>5</v>
      </c>
      <c r="M963">
        <v>220</v>
      </c>
      <c r="N963" t="s">
        <v>105</v>
      </c>
      <c r="O963">
        <v>5</v>
      </c>
      <c r="P963" t="s">
        <v>105</v>
      </c>
      <c r="Q963">
        <v>46</v>
      </c>
      <c r="R963">
        <v>66</v>
      </c>
      <c r="S963">
        <v>9</v>
      </c>
      <c r="T963">
        <v>12</v>
      </c>
      <c r="U963">
        <v>12</v>
      </c>
      <c r="V963">
        <v>6</v>
      </c>
      <c r="W963">
        <v>11</v>
      </c>
      <c r="X963">
        <v>2</v>
      </c>
      <c r="Y963">
        <v>187</v>
      </c>
      <c r="Z963">
        <v>9</v>
      </c>
      <c r="AA963">
        <v>3</v>
      </c>
      <c r="AB963">
        <v>13</v>
      </c>
      <c r="AC963">
        <v>0</v>
      </c>
      <c r="AD963">
        <v>2</v>
      </c>
      <c r="AE963">
        <v>0</v>
      </c>
      <c r="AF963">
        <v>0</v>
      </c>
      <c r="AK963">
        <v>0</v>
      </c>
      <c r="AL963">
        <v>0</v>
      </c>
      <c r="AM963">
        <v>1</v>
      </c>
      <c r="AN963">
        <v>0</v>
      </c>
      <c r="AT963">
        <v>1</v>
      </c>
      <c r="BC963">
        <v>0</v>
      </c>
      <c r="BD963">
        <v>8</v>
      </c>
      <c r="BE963">
        <v>388</v>
      </c>
      <c r="BF963">
        <v>388</v>
      </c>
      <c r="BG963">
        <v>587</v>
      </c>
      <c r="BJ963">
        <v>1</v>
      </c>
      <c r="BL963" t="s">
        <v>2052</v>
      </c>
      <c r="BM963" s="4">
        <v>43283.106944444444</v>
      </c>
      <c r="BN963" s="4">
        <v>43283.114386574074</v>
      </c>
      <c r="BO963" s="4">
        <v>43283.114386574074</v>
      </c>
      <c r="BP963" t="s">
        <v>92</v>
      </c>
      <c r="BQ963" t="s">
        <v>93</v>
      </c>
      <c r="BR963" t="s">
        <v>94</v>
      </c>
    </row>
    <row r="964" spans="1:70" x14ac:dyDescent="0.3">
      <c r="A964" t="str">
        <f>"200522C0100"</f>
        <v>200522C0100</v>
      </c>
      <c r="B964" t="s">
        <v>2053</v>
      </c>
      <c r="C964">
        <v>20</v>
      </c>
      <c r="D964" t="s">
        <v>88</v>
      </c>
      <c r="E964">
        <v>66</v>
      </c>
      <c r="F964" t="s">
        <v>1713</v>
      </c>
      <c r="G964">
        <v>522</v>
      </c>
      <c r="H964">
        <v>1</v>
      </c>
      <c r="I964" t="s">
        <v>98</v>
      </c>
      <c r="J964">
        <v>0</v>
      </c>
      <c r="K964">
        <v>1</v>
      </c>
      <c r="L964">
        <v>5</v>
      </c>
      <c r="M964">
        <v>180</v>
      </c>
      <c r="N964">
        <v>428</v>
      </c>
      <c r="O964">
        <v>7</v>
      </c>
      <c r="P964">
        <v>428</v>
      </c>
      <c r="Q964">
        <v>68</v>
      </c>
      <c r="R964">
        <v>44</v>
      </c>
      <c r="S964">
        <v>18</v>
      </c>
      <c r="T964">
        <v>7</v>
      </c>
      <c r="U964">
        <v>15</v>
      </c>
      <c r="V964">
        <v>15</v>
      </c>
      <c r="W964">
        <v>6</v>
      </c>
      <c r="X964">
        <v>5</v>
      </c>
      <c r="Y964">
        <v>193</v>
      </c>
      <c r="Z964">
        <v>7</v>
      </c>
      <c r="AA964">
        <v>2</v>
      </c>
      <c r="AB964">
        <v>21</v>
      </c>
      <c r="AC964">
        <v>1</v>
      </c>
      <c r="AD964">
        <v>0</v>
      </c>
      <c r="AE964">
        <v>0</v>
      </c>
      <c r="AF964">
        <v>0</v>
      </c>
      <c r="AK964">
        <v>6</v>
      </c>
      <c r="AL964">
        <v>6</v>
      </c>
      <c r="AM964">
        <v>0</v>
      </c>
      <c r="AN964">
        <v>0</v>
      </c>
      <c r="AT964">
        <v>3</v>
      </c>
      <c r="BC964">
        <v>0</v>
      </c>
      <c r="BD964">
        <v>11</v>
      </c>
      <c r="BE964">
        <v>428</v>
      </c>
      <c r="BF964">
        <v>428</v>
      </c>
      <c r="BG964">
        <v>586</v>
      </c>
      <c r="BJ964">
        <v>1</v>
      </c>
      <c r="BL964" t="s">
        <v>2054</v>
      </c>
      <c r="BM964" s="4">
        <v>43283.102083333331</v>
      </c>
      <c r="BN964" s="4">
        <v>43283.106296296297</v>
      </c>
      <c r="BO964" s="4">
        <v>43283.106296296297</v>
      </c>
      <c r="BP964" t="s">
        <v>92</v>
      </c>
      <c r="BQ964" t="s">
        <v>93</v>
      </c>
      <c r="BR964" t="s">
        <v>94</v>
      </c>
    </row>
    <row r="965" spans="1:70" x14ac:dyDescent="0.3">
      <c r="A965" t="str">
        <f>"200523B0100"</f>
        <v>200523B0100</v>
      </c>
      <c r="B965" t="s">
        <v>2055</v>
      </c>
      <c r="C965">
        <v>20</v>
      </c>
      <c r="D965" t="s">
        <v>88</v>
      </c>
      <c r="E965">
        <v>66</v>
      </c>
      <c r="F965" t="s">
        <v>1713</v>
      </c>
      <c r="G965">
        <v>523</v>
      </c>
      <c r="H965">
        <v>1</v>
      </c>
      <c r="I965" t="s">
        <v>90</v>
      </c>
      <c r="J965">
        <v>0</v>
      </c>
      <c r="K965">
        <v>1</v>
      </c>
      <c r="L965">
        <v>5</v>
      </c>
      <c r="M965">
        <v>179</v>
      </c>
      <c r="N965">
        <v>424</v>
      </c>
      <c r="O965">
        <v>6</v>
      </c>
      <c r="P965">
        <v>424</v>
      </c>
      <c r="Q965">
        <v>59</v>
      </c>
      <c r="R965">
        <v>65</v>
      </c>
      <c r="S965">
        <v>10</v>
      </c>
      <c r="T965">
        <v>7</v>
      </c>
      <c r="U965">
        <v>8</v>
      </c>
      <c r="V965">
        <v>14</v>
      </c>
      <c r="W965">
        <v>5</v>
      </c>
      <c r="X965">
        <v>5</v>
      </c>
      <c r="Y965">
        <v>207</v>
      </c>
      <c r="Z965">
        <v>9</v>
      </c>
      <c r="AA965">
        <v>5</v>
      </c>
      <c r="AB965">
        <v>4</v>
      </c>
      <c r="AC965">
        <v>1</v>
      </c>
      <c r="AD965">
        <v>0</v>
      </c>
      <c r="AE965">
        <v>0</v>
      </c>
      <c r="AF965">
        <v>0</v>
      </c>
      <c r="AK965">
        <v>5</v>
      </c>
      <c r="AL965">
        <v>3</v>
      </c>
      <c r="AM965">
        <v>0</v>
      </c>
      <c r="AN965">
        <v>2</v>
      </c>
      <c r="AT965">
        <v>3</v>
      </c>
      <c r="BC965">
        <v>1</v>
      </c>
      <c r="BD965">
        <v>11</v>
      </c>
      <c r="BE965">
        <v>424</v>
      </c>
      <c r="BF965">
        <v>424</v>
      </c>
      <c r="BG965">
        <v>581</v>
      </c>
      <c r="BJ965">
        <v>1</v>
      </c>
      <c r="BL965" t="s">
        <v>2056</v>
      </c>
      <c r="BM965" s="4">
        <v>43283.130555555559</v>
      </c>
      <c r="BN965" s="4">
        <v>43283.135081018518</v>
      </c>
      <c r="BO965" s="4">
        <v>43283.135081018518</v>
      </c>
      <c r="BP965" t="s">
        <v>92</v>
      </c>
      <c r="BQ965" t="s">
        <v>93</v>
      </c>
      <c r="BR965" t="s">
        <v>94</v>
      </c>
    </row>
    <row r="966" spans="1:70" x14ac:dyDescent="0.3">
      <c r="A966" t="str">
        <f>"200523C0100"</f>
        <v>200523C0100</v>
      </c>
      <c r="B966" t="s">
        <v>2057</v>
      </c>
      <c r="C966">
        <v>20</v>
      </c>
      <c r="D966" t="s">
        <v>88</v>
      </c>
      <c r="E966">
        <v>66</v>
      </c>
      <c r="F966" t="s">
        <v>1713</v>
      </c>
      <c r="G966">
        <v>523</v>
      </c>
      <c r="H966">
        <v>1</v>
      </c>
      <c r="I966" t="s">
        <v>98</v>
      </c>
      <c r="J966">
        <v>0</v>
      </c>
      <c r="K966">
        <v>1</v>
      </c>
      <c r="L966">
        <v>5</v>
      </c>
      <c r="M966">
        <v>184</v>
      </c>
      <c r="N966">
        <v>419</v>
      </c>
      <c r="O966">
        <v>9</v>
      </c>
      <c r="P966">
        <v>419</v>
      </c>
      <c r="Q966">
        <v>69</v>
      </c>
      <c r="R966">
        <v>67</v>
      </c>
      <c r="S966">
        <v>21</v>
      </c>
      <c r="T966">
        <v>10</v>
      </c>
      <c r="U966">
        <v>14</v>
      </c>
      <c r="V966">
        <v>10</v>
      </c>
      <c r="W966">
        <v>16</v>
      </c>
      <c r="X966">
        <v>6</v>
      </c>
      <c r="Y966">
        <v>178</v>
      </c>
      <c r="Z966">
        <v>8</v>
      </c>
      <c r="AA966">
        <v>3</v>
      </c>
      <c r="AB966">
        <v>3</v>
      </c>
      <c r="AC966">
        <v>2</v>
      </c>
      <c r="AD966">
        <v>1</v>
      </c>
      <c r="AE966">
        <v>1</v>
      </c>
      <c r="AF966">
        <v>0</v>
      </c>
      <c r="AK966">
        <v>2</v>
      </c>
      <c r="AL966">
        <v>0</v>
      </c>
      <c r="AM966">
        <v>0</v>
      </c>
      <c r="AN966">
        <v>0</v>
      </c>
      <c r="AT966">
        <v>1</v>
      </c>
      <c r="BC966">
        <v>0</v>
      </c>
      <c r="BD966">
        <v>7</v>
      </c>
      <c r="BE966">
        <v>419</v>
      </c>
      <c r="BF966">
        <v>419</v>
      </c>
      <c r="BG966">
        <v>581</v>
      </c>
      <c r="BJ966">
        <v>1</v>
      </c>
      <c r="BL966" t="s">
        <v>2058</v>
      </c>
      <c r="BM966" s="4">
        <v>43283.130555555559</v>
      </c>
      <c r="BN966" s="4">
        <v>43283.134641203702</v>
      </c>
      <c r="BO966" s="4">
        <v>43283.134641203702</v>
      </c>
      <c r="BP966" t="s">
        <v>92</v>
      </c>
      <c r="BQ966" t="s">
        <v>93</v>
      </c>
      <c r="BR966" t="s">
        <v>94</v>
      </c>
    </row>
    <row r="967" spans="1:70" x14ac:dyDescent="0.3">
      <c r="A967" t="str">
        <f>"200524B0100"</f>
        <v>200524B0100</v>
      </c>
      <c r="B967" t="s">
        <v>2059</v>
      </c>
      <c r="C967">
        <v>20</v>
      </c>
      <c r="D967" t="s">
        <v>88</v>
      </c>
      <c r="E967">
        <v>66</v>
      </c>
      <c r="F967" t="s">
        <v>1713</v>
      </c>
      <c r="G967">
        <v>524</v>
      </c>
      <c r="H967">
        <v>1</v>
      </c>
      <c r="I967" t="s">
        <v>90</v>
      </c>
      <c r="J967">
        <v>0</v>
      </c>
      <c r="K967">
        <v>1</v>
      </c>
      <c r="L967">
        <v>5</v>
      </c>
      <c r="M967">
        <v>238</v>
      </c>
      <c r="N967">
        <v>440</v>
      </c>
      <c r="O967">
        <v>7</v>
      </c>
      <c r="P967">
        <v>437</v>
      </c>
      <c r="Q967">
        <v>59</v>
      </c>
      <c r="R967">
        <v>63</v>
      </c>
      <c r="S967">
        <v>10</v>
      </c>
      <c r="T967">
        <v>5</v>
      </c>
      <c r="U967">
        <v>13</v>
      </c>
      <c r="V967">
        <v>7</v>
      </c>
      <c r="W967">
        <v>3</v>
      </c>
      <c r="X967">
        <v>7</v>
      </c>
      <c r="Y967">
        <v>223</v>
      </c>
      <c r="Z967">
        <v>6</v>
      </c>
      <c r="AA967">
        <v>6</v>
      </c>
      <c r="AB967">
        <v>13</v>
      </c>
      <c r="AC967">
        <v>2</v>
      </c>
      <c r="AD967">
        <v>1</v>
      </c>
      <c r="AE967">
        <v>0</v>
      </c>
      <c r="AF967">
        <v>0</v>
      </c>
      <c r="AK967">
        <v>5</v>
      </c>
      <c r="AL967">
        <v>1</v>
      </c>
      <c r="AM967">
        <v>0</v>
      </c>
      <c r="AN967">
        <v>0</v>
      </c>
      <c r="AT967">
        <v>1</v>
      </c>
      <c r="BC967">
        <v>0</v>
      </c>
      <c r="BD967">
        <v>12</v>
      </c>
      <c r="BE967">
        <v>437</v>
      </c>
      <c r="BF967">
        <v>437</v>
      </c>
      <c r="BG967">
        <v>654</v>
      </c>
      <c r="BJ967">
        <v>1</v>
      </c>
      <c r="BL967" t="s">
        <v>2060</v>
      </c>
      <c r="BM967" s="4">
        <v>43283.18472222222</v>
      </c>
      <c r="BN967" s="4">
        <v>43283.202905092592</v>
      </c>
      <c r="BO967" s="4">
        <v>43283.202905092592</v>
      </c>
      <c r="BP967" t="s">
        <v>92</v>
      </c>
      <c r="BQ967" t="s">
        <v>93</v>
      </c>
      <c r="BR967" t="s">
        <v>94</v>
      </c>
    </row>
    <row r="968" spans="1:70" x14ac:dyDescent="0.3">
      <c r="A968" t="str">
        <f>"200524C0100"</f>
        <v>200524C0100</v>
      </c>
      <c r="B968" t="s">
        <v>2061</v>
      </c>
      <c r="C968">
        <v>20</v>
      </c>
      <c r="D968" t="s">
        <v>88</v>
      </c>
      <c r="E968">
        <v>66</v>
      </c>
      <c r="F968" t="s">
        <v>1713</v>
      </c>
      <c r="G968">
        <v>524</v>
      </c>
      <c r="H968">
        <v>1</v>
      </c>
      <c r="I968" t="s">
        <v>98</v>
      </c>
      <c r="J968">
        <v>0</v>
      </c>
      <c r="K968">
        <v>1</v>
      </c>
      <c r="L968">
        <v>5</v>
      </c>
      <c r="M968">
        <v>222</v>
      </c>
      <c r="N968">
        <v>453</v>
      </c>
      <c r="O968">
        <v>7</v>
      </c>
      <c r="P968">
        <v>453</v>
      </c>
      <c r="Q968">
        <v>67</v>
      </c>
      <c r="R968">
        <v>54</v>
      </c>
      <c r="S968">
        <v>11</v>
      </c>
      <c r="T968">
        <v>2</v>
      </c>
      <c r="U968">
        <v>18</v>
      </c>
      <c r="V968">
        <v>17</v>
      </c>
      <c r="W968">
        <v>9</v>
      </c>
      <c r="X968">
        <v>9</v>
      </c>
      <c r="Y968">
        <v>237</v>
      </c>
      <c r="Z968">
        <v>8</v>
      </c>
      <c r="AA968">
        <v>0</v>
      </c>
      <c r="AB968">
        <v>7</v>
      </c>
      <c r="AC968">
        <v>1</v>
      </c>
      <c r="AD968">
        <v>1</v>
      </c>
      <c r="AE968">
        <v>0</v>
      </c>
      <c r="AF968">
        <v>0</v>
      </c>
      <c r="AK968">
        <v>0</v>
      </c>
      <c r="AL968">
        <v>0</v>
      </c>
      <c r="AM968">
        <v>0</v>
      </c>
      <c r="AN968">
        <v>2</v>
      </c>
      <c r="AT968">
        <v>1</v>
      </c>
      <c r="BC968">
        <v>1</v>
      </c>
      <c r="BD968">
        <v>8</v>
      </c>
      <c r="BE968">
        <v>453</v>
      </c>
      <c r="BF968">
        <v>453</v>
      </c>
      <c r="BG968">
        <v>653</v>
      </c>
      <c r="BJ968">
        <v>1</v>
      </c>
      <c r="BL968" t="s">
        <v>2062</v>
      </c>
      <c r="BM968" s="4">
        <v>43283.178472222222</v>
      </c>
      <c r="BN968" s="4">
        <v>43283.197500000002</v>
      </c>
      <c r="BO968" s="4">
        <v>43283.197500000002</v>
      </c>
      <c r="BP968" t="s">
        <v>92</v>
      </c>
      <c r="BQ968" t="s">
        <v>93</v>
      </c>
      <c r="BR968" t="s">
        <v>94</v>
      </c>
    </row>
    <row r="969" spans="1:70" x14ac:dyDescent="0.3">
      <c r="A969" t="str">
        <f>"200524C0200"</f>
        <v>200524C0200</v>
      </c>
      <c r="B969" t="s">
        <v>2063</v>
      </c>
      <c r="C969">
        <v>20</v>
      </c>
      <c r="D969" t="s">
        <v>88</v>
      </c>
      <c r="E969">
        <v>66</v>
      </c>
      <c r="F969" t="s">
        <v>1713</v>
      </c>
      <c r="G969">
        <v>524</v>
      </c>
      <c r="H969">
        <v>2</v>
      </c>
      <c r="I969" t="s">
        <v>98</v>
      </c>
      <c r="J969">
        <v>0</v>
      </c>
      <c r="K969">
        <v>1</v>
      </c>
      <c r="L969">
        <v>5</v>
      </c>
      <c r="M969">
        <v>260</v>
      </c>
      <c r="N969">
        <v>414</v>
      </c>
      <c r="O969">
        <v>3</v>
      </c>
      <c r="P969">
        <v>411</v>
      </c>
      <c r="Q969">
        <v>51</v>
      </c>
      <c r="R969">
        <v>53</v>
      </c>
      <c r="S969">
        <v>15</v>
      </c>
      <c r="T969">
        <v>9</v>
      </c>
      <c r="U969">
        <v>19</v>
      </c>
      <c r="V969">
        <v>9</v>
      </c>
      <c r="W969">
        <v>6</v>
      </c>
      <c r="X969">
        <v>4</v>
      </c>
      <c r="Y969">
        <v>210</v>
      </c>
      <c r="Z969">
        <v>5</v>
      </c>
      <c r="AA969">
        <v>3</v>
      </c>
      <c r="AB969">
        <v>9</v>
      </c>
      <c r="AC969">
        <v>2</v>
      </c>
      <c r="AD969">
        <v>1</v>
      </c>
      <c r="AE969">
        <v>0</v>
      </c>
      <c r="AF969">
        <v>0</v>
      </c>
      <c r="AK969">
        <v>7</v>
      </c>
      <c r="AL969">
        <v>2</v>
      </c>
      <c r="AM969">
        <v>1</v>
      </c>
      <c r="AN969">
        <v>2</v>
      </c>
      <c r="AT969">
        <v>0</v>
      </c>
      <c r="BC969">
        <v>0</v>
      </c>
      <c r="BD969">
        <v>7</v>
      </c>
      <c r="BE969">
        <v>415</v>
      </c>
      <c r="BF969">
        <v>415</v>
      </c>
      <c r="BG969">
        <v>653</v>
      </c>
      <c r="BJ969">
        <v>1</v>
      </c>
      <c r="BL969" t="s">
        <v>2064</v>
      </c>
      <c r="BM969" s="4">
        <v>43283.168749999997</v>
      </c>
      <c r="BN969" s="4">
        <v>43283.182222222225</v>
      </c>
      <c r="BO969" s="4">
        <v>43283.182222222225</v>
      </c>
      <c r="BP969" t="s">
        <v>92</v>
      </c>
      <c r="BQ969" t="s">
        <v>93</v>
      </c>
      <c r="BR969" t="s">
        <v>94</v>
      </c>
    </row>
    <row r="970" spans="1:70" x14ac:dyDescent="0.3">
      <c r="A970" t="str">
        <f>"200524C0300"</f>
        <v>200524C0300</v>
      </c>
      <c r="B970" t="s">
        <v>2065</v>
      </c>
      <c r="C970">
        <v>20</v>
      </c>
      <c r="D970" t="s">
        <v>88</v>
      </c>
      <c r="E970">
        <v>66</v>
      </c>
      <c r="F970" t="s">
        <v>1713</v>
      </c>
      <c r="G970">
        <v>524</v>
      </c>
      <c r="H970">
        <v>3</v>
      </c>
      <c r="I970" t="s">
        <v>98</v>
      </c>
      <c r="J970">
        <v>0</v>
      </c>
      <c r="K970">
        <v>1</v>
      </c>
      <c r="L970">
        <v>5</v>
      </c>
      <c r="M970">
        <v>265</v>
      </c>
      <c r="N970">
        <v>408</v>
      </c>
      <c r="O970">
        <v>2</v>
      </c>
      <c r="P970">
        <v>408</v>
      </c>
      <c r="Q970">
        <v>1</v>
      </c>
      <c r="R970">
        <v>41</v>
      </c>
      <c r="S970">
        <v>47</v>
      </c>
      <c r="T970">
        <v>5</v>
      </c>
      <c r="U970">
        <v>8</v>
      </c>
      <c r="V970">
        <v>17</v>
      </c>
      <c r="W970">
        <v>3</v>
      </c>
      <c r="X970">
        <v>11</v>
      </c>
      <c r="Y970">
        <v>6</v>
      </c>
      <c r="Z970">
        <v>228</v>
      </c>
      <c r="AA970">
        <v>8</v>
      </c>
      <c r="AB970">
        <v>4</v>
      </c>
      <c r="AC970">
        <v>11</v>
      </c>
      <c r="AD970">
        <v>1</v>
      </c>
      <c r="AE970">
        <v>1</v>
      </c>
      <c r="AF970">
        <v>0</v>
      </c>
      <c r="AK970">
        <v>0</v>
      </c>
      <c r="AL970">
        <v>4</v>
      </c>
      <c r="AM970">
        <v>2</v>
      </c>
      <c r="AN970">
        <v>0</v>
      </c>
      <c r="AT970">
        <v>2</v>
      </c>
      <c r="BC970">
        <v>0</v>
      </c>
      <c r="BD970">
        <v>8</v>
      </c>
      <c r="BE970">
        <v>408</v>
      </c>
      <c r="BF970">
        <v>408</v>
      </c>
      <c r="BG970">
        <v>653</v>
      </c>
      <c r="BJ970">
        <v>1</v>
      </c>
      <c r="BL970" t="s">
        <v>2066</v>
      </c>
      <c r="BM970" s="4">
        <v>43283.184027777781</v>
      </c>
      <c r="BN970" s="4">
        <v>43283.2109375</v>
      </c>
      <c r="BO970" s="4">
        <v>43283.2109375</v>
      </c>
      <c r="BP970" t="s">
        <v>92</v>
      </c>
      <c r="BQ970" t="s">
        <v>93</v>
      </c>
      <c r="BR970" t="s">
        <v>94</v>
      </c>
    </row>
    <row r="971" spans="1:70" x14ac:dyDescent="0.3">
      <c r="A971" t="str">
        <f>"200524C0400"</f>
        <v>200524C0400</v>
      </c>
      <c r="B971" t="s">
        <v>2067</v>
      </c>
      <c r="C971">
        <v>20</v>
      </c>
      <c r="D971" t="s">
        <v>88</v>
      </c>
      <c r="E971">
        <v>66</v>
      </c>
      <c r="F971" t="s">
        <v>1713</v>
      </c>
      <c r="G971">
        <v>524</v>
      </c>
      <c r="H971">
        <v>4</v>
      </c>
      <c r="I971" t="s">
        <v>98</v>
      </c>
      <c r="J971">
        <v>0</v>
      </c>
      <c r="K971">
        <v>1</v>
      </c>
      <c r="L971">
        <v>5</v>
      </c>
      <c r="M971">
        <v>264</v>
      </c>
      <c r="N971">
        <v>411</v>
      </c>
      <c r="O971">
        <v>8</v>
      </c>
      <c r="P971">
        <v>411</v>
      </c>
      <c r="Q971">
        <v>52</v>
      </c>
      <c r="R971">
        <v>47</v>
      </c>
      <c r="S971">
        <v>13</v>
      </c>
      <c r="T971">
        <v>4</v>
      </c>
      <c r="U971">
        <v>16</v>
      </c>
      <c r="V971">
        <v>9</v>
      </c>
      <c r="W971">
        <v>8</v>
      </c>
      <c r="X971">
        <v>7</v>
      </c>
      <c r="Y971">
        <v>215</v>
      </c>
      <c r="Z971">
        <v>3</v>
      </c>
      <c r="AA971">
        <v>3</v>
      </c>
      <c r="AB971">
        <v>14</v>
      </c>
      <c r="AC971">
        <v>0</v>
      </c>
      <c r="AD971">
        <v>1</v>
      </c>
      <c r="AE971">
        <v>0</v>
      </c>
      <c r="AF971">
        <v>0</v>
      </c>
      <c r="AK971">
        <v>7</v>
      </c>
      <c r="AL971">
        <v>1</v>
      </c>
      <c r="AM971">
        <v>0</v>
      </c>
      <c r="AN971">
        <v>3</v>
      </c>
      <c r="AT971">
        <v>1</v>
      </c>
      <c r="BC971">
        <v>1</v>
      </c>
      <c r="BD971">
        <v>8</v>
      </c>
      <c r="BE971">
        <v>411</v>
      </c>
      <c r="BF971">
        <v>413</v>
      </c>
      <c r="BG971">
        <v>653</v>
      </c>
      <c r="BJ971">
        <v>1</v>
      </c>
      <c r="BL971" t="s">
        <v>2068</v>
      </c>
      <c r="BM971" s="4">
        <v>43283.168749999997</v>
      </c>
      <c r="BN971" s="4">
        <v>43283.181689814817</v>
      </c>
      <c r="BO971" s="4">
        <v>43283.181689814817</v>
      </c>
      <c r="BP971" t="s">
        <v>92</v>
      </c>
      <c r="BQ971" t="s">
        <v>93</v>
      </c>
      <c r="BR971" t="s">
        <v>94</v>
      </c>
    </row>
    <row r="972" spans="1:70" x14ac:dyDescent="0.3">
      <c r="A972" t="str">
        <f>"200525B0100"</f>
        <v>200525B0100</v>
      </c>
      <c r="B972" t="s">
        <v>2069</v>
      </c>
      <c r="C972">
        <v>20</v>
      </c>
      <c r="D972" t="s">
        <v>88</v>
      </c>
      <c r="E972">
        <v>66</v>
      </c>
      <c r="F972" t="s">
        <v>1713</v>
      </c>
      <c r="G972">
        <v>525</v>
      </c>
      <c r="H972">
        <v>1</v>
      </c>
      <c r="I972" t="s">
        <v>90</v>
      </c>
      <c r="J972">
        <v>0</v>
      </c>
      <c r="K972">
        <v>1</v>
      </c>
      <c r="L972">
        <v>5</v>
      </c>
      <c r="M972">
        <v>149</v>
      </c>
      <c r="N972">
        <v>344</v>
      </c>
      <c r="O972">
        <v>6</v>
      </c>
      <c r="P972">
        <v>340</v>
      </c>
      <c r="Q972">
        <v>62</v>
      </c>
      <c r="R972">
        <v>58</v>
      </c>
      <c r="S972">
        <v>13</v>
      </c>
      <c r="T972">
        <v>3</v>
      </c>
      <c r="U972">
        <v>7</v>
      </c>
      <c r="V972">
        <v>8</v>
      </c>
      <c r="W972">
        <v>5</v>
      </c>
      <c r="X972">
        <v>4</v>
      </c>
      <c r="Y972">
        <v>147</v>
      </c>
      <c r="Z972">
        <v>6</v>
      </c>
      <c r="AA972">
        <v>4</v>
      </c>
      <c r="AB972">
        <v>9</v>
      </c>
      <c r="AC972">
        <v>1</v>
      </c>
      <c r="AD972">
        <v>2</v>
      </c>
      <c r="AE972">
        <v>0</v>
      </c>
      <c r="AF972">
        <v>0</v>
      </c>
      <c r="AK972">
        <v>4</v>
      </c>
      <c r="AL972">
        <v>0</v>
      </c>
      <c r="AM972">
        <v>0</v>
      </c>
      <c r="AN972">
        <v>0</v>
      </c>
      <c r="AT972">
        <v>1</v>
      </c>
      <c r="BC972">
        <v>0</v>
      </c>
      <c r="BD972">
        <v>6</v>
      </c>
      <c r="BE972">
        <v>340</v>
      </c>
      <c r="BF972">
        <v>340</v>
      </c>
      <c r="BG972">
        <v>467</v>
      </c>
      <c r="BJ972">
        <v>1</v>
      </c>
      <c r="BL972" t="s">
        <v>2070</v>
      </c>
      <c r="BM972" s="4">
        <v>43283.097916666666</v>
      </c>
      <c r="BN972" s="4">
        <v>43283.102164351854</v>
      </c>
      <c r="BO972" s="4">
        <v>43283.102164351854</v>
      </c>
      <c r="BP972" t="s">
        <v>92</v>
      </c>
      <c r="BQ972" t="s">
        <v>93</v>
      </c>
      <c r="BR972" t="s">
        <v>94</v>
      </c>
    </row>
    <row r="973" spans="1:70" x14ac:dyDescent="0.3">
      <c r="A973" t="str">
        <f>"200525C0100"</f>
        <v>200525C0100</v>
      </c>
      <c r="B973" t="s">
        <v>2071</v>
      </c>
      <c r="C973">
        <v>20</v>
      </c>
      <c r="D973" t="s">
        <v>88</v>
      </c>
      <c r="E973">
        <v>66</v>
      </c>
      <c r="F973" t="s">
        <v>1713</v>
      </c>
      <c r="G973">
        <v>525</v>
      </c>
      <c r="H973">
        <v>1</v>
      </c>
      <c r="I973" t="s">
        <v>98</v>
      </c>
      <c r="J973">
        <v>0</v>
      </c>
      <c r="K973">
        <v>1</v>
      </c>
      <c r="L973">
        <v>5</v>
      </c>
      <c r="M973">
        <v>154</v>
      </c>
      <c r="N973">
        <v>336</v>
      </c>
      <c r="O973">
        <v>7</v>
      </c>
      <c r="P973">
        <v>317</v>
      </c>
      <c r="Q973">
        <v>51</v>
      </c>
      <c r="R973">
        <v>65</v>
      </c>
      <c r="S973">
        <v>11</v>
      </c>
      <c r="T973">
        <v>6</v>
      </c>
      <c r="U973">
        <v>9</v>
      </c>
      <c r="V973">
        <v>4</v>
      </c>
      <c r="W973">
        <v>3</v>
      </c>
      <c r="X973">
        <v>5</v>
      </c>
      <c r="Y973">
        <v>147</v>
      </c>
      <c r="Z973">
        <v>6</v>
      </c>
      <c r="AA973">
        <v>6</v>
      </c>
      <c r="AB973">
        <v>6</v>
      </c>
      <c r="AC973">
        <v>1</v>
      </c>
      <c r="AD973">
        <v>0</v>
      </c>
      <c r="AE973">
        <v>0</v>
      </c>
      <c r="AF973">
        <v>0</v>
      </c>
      <c r="AK973">
        <v>3</v>
      </c>
      <c r="AL973">
        <v>0</v>
      </c>
      <c r="AM973">
        <v>0</v>
      </c>
      <c r="AN973">
        <v>1</v>
      </c>
      <c r="AT973">
        <v>5</v>
      </c>
      <c r="BC973">
        <v>0</v>
      </c>
      <c r="BD973">
        <v>6</v>
      </c>
      <c r="BE973">
        <v>335</v>
      </c>
      <c r="BF973">
        <v>335</v>
      </c>
      <c r="BG973">
        <v>466</v>
      </c>
      <c r="BJ973">
        <v>1</v>
      </c>
      <c r="BL973" t="s">
        <v>2072</v>
      </c>
      <c r="BM973" s="4">
        <v>43283.098611111112</v>
      </c>
      <c r="BN973" s="4">
        <v>43283.106192129628</v>
      </c>
      <c r="BO973" s="4">
        <v>43283.106192129628</v>
      </c>
      <c r="BP973" t="s">
        <v>92</v>
      </c>
      <c r="BQ973" t="s">
        <v>93</v>
      </c>
      <c r="BR973" t="s">
        <v>94</v>
      </c>
    </row>
    <row r="974" spans="1:70" x14ac:dyDescent="0.3">
      <c r="A974" t="str">
        <f>"200526B0100"</f>
        <v>200526B0100</v>
      </c>
      <c r="B974" t="s">
        <v>2073</v>
      </c>
      <c r="C974">
        <v>20</v>
      </c>
      <c r="D974" t="s">
        <v>88</v>
      </c>
      <c r="E974">
        <v>66</v>
      </c>
      <c r="F974" t="s">
        <v>1713</v>
      </c>
      <c r="G974">
        <v>526</v>
      </c>
      <c r="H974">
        <v>1</v>
      </c>
      <c r="I974" t="s">
        <v>90</v>
      </c>
      <c r="J974">
        <v>0</v>
      </c>
      <c r="K974">
        <v>1</v>
      </c>
      <c r="L974">
        <v>5</v>
      </c>
      <c r="M974">
        <v>204</v>
      </c>
      <c r="N974">
        <v>325</v>
      </c>
      <c r="O974">
        <v>5</v>
      </c>
      <c r="P974">
        <v>325</v>
      </c>
      <c r="Q974">
        <v>57</v>
      </c>
      <c r="R974">
        <v>50</v>
      </c>
      <c r="S974">
        <v>10</v>
      </c>
      <c r="T974">
        <v>5</v>
      </c>
      <c r="U974">
        <v>8</v>
      </c>
      <c r="V974">
        <v>7</v>
      </c>
      <c r="W974">
        <v>3</v>
      </c>
      <c r="X974">
        <v>8</v>
      </c>
      <c r="Y974">
        <v>143</v>
      </c>
      <c r="Z974">
        <v>3</v>
      </c>
      <c r="AA974">
        <v>5</v>
      </c>
      <c r="AB974">
        <v>9</v>
      </c>
      <c r="AC974">
        <v>2</v>
      </c>
      <c r="AD974" t="s">
        <v>105</v>
      </c>
      <c r="AE974" t="s">
        <v>105</v>
      </c>
      <c r="AF974" t="s">
        <v>105</v>
      </c>
      <c r="AK974">
        <v>3</v>
      </c>
      <c r="AL974" t="s">
        <v>105</v>
      </c>
      <c r="AM974" t="s">
        <v>105</v>
      </c>
      <c r="AN974" t="s">
        <v>105</v>
      </c>
      <c r="AT974" t="s">
        <v>105</v>
      </c>
      <c r="BC974" t="s">
        <v>105</v>
      </c>
      <c r="BD974">
        <v>12</v>
      </c>
      <c r="BE974">
        <v>325</v>
      </c>
      <c r="BF974">
        <v>325</v>
      </c>
      <c r="BG974">
        <v>505</v>
      </c>
      <c r="BI974" t="s">
        <v>106</v>
      </c>
      <c r="BJ974">
        <v>1</v>
      </c>
      <c r="BL974" t="s">
        <v>2074</v>
      </c>
      <c r="BM974" s="4">
        <v>43283.070138888892</v>
      </c>
      <c r="BN974" s="4">
        <v>43283.075092592589</v>
      </c>
      <c r="BO974" s="4">
        <v>43283.075092592589</v>
      </c>
      <c r="BP974" t="s">
        <v>92</v>
      </c>
      <c r="BQ974" t="s">
        <v>93</v>
      </c>
      <c r="BR974" t="s">
        <v>94</v>
      </c>
    </row>
    <row r="975" spans="1:70" x14ac:dyDescent="0.3">
      <c r="A975" t="str">
        <f>"200526C0100"</f>
        <v>200526C0100</v>
      </c>
      <c r="B975" t="s">
        <v>2075</v>
      </c>
      <c r="C975">
        <v>20</v>
      </c>
      <c r="D975" t="s">
        <v>88</v>
      </c>
      <c r="E975">
        <v>66</v>
      </c>
      <c r="F975" t="s">
        <v>1713</v>
      </c>
      <c r="G975">
        <v>526</v>
      </c>
      <c r="H975">
        <v>1</v>
      </c>
      <c r="I975" t="s">
        <v>98</v>
      </c>
      <c r="J975">
        <v>0</v>
      </c>
      <c r="K975">
        <v>1</v>
      </c>
      <c r="L975">
        <v>5</v>
      </c>
      <c r="M975">
        <v>206</v>
      </c>
      <c r="N975">
        <v>321</v>
      </c>
      <c r="O975">
        <v>7</v>
      </c>
      <c r="P975" t="s">
        <v>105</v>
      </c>
      <c r="Q975">
        <v>61</v>
      </c>
      <c r="R975">
        <v>45</v>
      </c>
      <c r="S975">
        <v>12</v>
      </c>
      <c r="T975">
        <v>2</v>
      </c>
      <c r="U975">
        <v>11</v>
      </c>
      <c r="V975">
        <v>6</v>
      </c>
      <c r="W975">
        <v>4</v>
      </c>
      <c r="X975">
        <v>4</v>
      </c>
      <c r="Y975">
        <v>134</v>
      </c>
      <c r="Z975">
        <v>5</v>
      </c>
      <c r="AA975">
        <v>6</v>
      </c>
      <c r="AB975">
        <v>7</v>
      </c>
      <c r="AC975">
        <v>5</v>
      </c>
      <c r="AD975">
        <v>1</v>
      </c>
      <c r="AE975">
        <v>0</v>
      </c>
      <c r="AF975">
        <v>0</v>
      </c>
      <c r="AK975">
        <v>2</v>
      </c>
      <c r="AL975" t="s">
        <v>105</v>
      </c>
      <c r="AM975" t="s">
        <v>105</v>
      </c>
      <c r="AN975" t="s">
        <v>105</v>
      </c>
      <c r="AT975" t="s">
        <v>105</v>
      </c>
      <c r="BC975" t="s">
        <v>105</v>
      </c>
      <c r="BD975">
        <v>11</v>
      </c>
      <c r="BE975">
        <v>316</v>
      </c>
      <c r="BF975">
        <v>316</v>
      </c>
      <c r="BG975">
        <v>505</v>
      </c>
      <c r="BI975" t="s">
        <v>106</v>
      </c>
      <c r="BJ975">
        <v>1</v>
      </c>
      <c r="BL975" t="s">
        <v>2076</v>
      </c>
      <c r="BM975" s="4">
        <v>43283.066666666666</v>
      </c>
      <c r="BN975" s="4">
        <v>43283.073553240742</v>
      </c>
      <c r="BO975" s="4">
        <v>43283.073553240742</v>
      </c>
      <c r="BP975" t="s">
        <v>92</v>
      </c>
      <c r="BQ975" t="s">
        <v>93</v>
      </c>
      <c r="BR975" t="s">
        <v>94</v>
      </c>
    </row>
    <row r="976" spans="1:70" x14ac:dyDescent="0.3">
      <c r="A976" t="str">
        <f>"200527B0100"</f>
        <v>200527B0100</v>
      </c>
      <c r="B976" t="s">
        <v>2077</v>
      </c>
      <c r="C976">
        <v>20</v>
      </c>
      <c r="D976" t="s">
        <v>88</v>
      </c>
      <c r="E976">
        <v>66</v>
      </c>
      <c r="F976" t="s">
        <v>1713</v>
      </c>
      <c r="G976">
        <v>527</v>
      </c>
      <c r="H976">
        <v>1</v>
      </c>
      <c r="I976" t="s">
        <v>90</v>
      </c>
      <c r="J976">
        <v>0</v>
      </c>
      <c r="K976">
        <v>1</v>
      </c>
      <c r="L976">
        <v>5</v>
      </c>
      <c r="M976">
        <v>227</v>
      </c>
      <c r="N976">
        <v>420</v>
      </c>
      <c r="O976">
        <v>4</v>
      </c>
      <c r="P976">
        <v>420</v>
      </c>
      <c r="Q976">
        <v>77</v>
      </c>
      <c r="R976">
        <v>61</v>
      </c>
      <c r="S976">
        <v>12</v>
      </c>
      <c r="T976">
        <v>8</v>
      </c>
      <c r="U976">
        <v>11</v>
      </c>
      <c r="V976">
        <v>6</v>
      </c>
      <c r="W976">
        <v>8</v>
      </c>
      <c r="X976">
        <v>11</v>
      </c>
      <c r="Y976">
        <v>192</v>
      </c>
      <c r="Z976">
        <v>6</v>
      </c>
      <c r="AA976">
        <v>2</v>
      </c>
      <c r="AB976">
        <v>5</v>
      </c>
      <c r="AC976">
        <v>1</v>
      </c>
      <c r="AD976">
        <v>0</v>
      </c>
      <c r="AE976">
        <v>0</v>
      </c>
      <c r="AF976">
        <v>1</v>
      </c>
      <c r="AK976">
        <v>2</v>
      </c>
      <c r="AL976">
        <v>1</v>
      </c>
      <c r="AM976">
        <v>0</v>
      </c>
      <c r="AN976">
        <v>1</v>
      </c>
      <c r="AT976">
        <v>5</v>
      </c>
      <c r="BC976">
        <v>0</v>
      </c>
      <c r="BD976">
        <v>11</v>
      </c>
      <c r="BE976">
        <v>420</v>
      </c>
      <c r="BF976">
        <v>421</v>
      </c>
      <c r="BG976">
        <v>625</v>
      </c>
      <c r="BJ976">
        <v>1</v>
      </c>
      <c r="BL976" t="s">
        <v>2078</v>
      </c>
      <c r="BM976" s="4">
        <v>43283.11041666667</v>
      </c>
      <c r="BN976" s="4">
        <v>43283.11445601852</v>
      </c>
      <c r="BO976" s="4">
        <v>43283.11445601852</v>
      </c>
      <c r="BP976" t="s">
        <v>92</v>
      </c>
      <c r="BQ976" t="s">
        <v>93</v>
      </c>
      <c r="BR976" t="s">
        <v>94</v>
      </c>
    </row>
    <row r="977" spans="1:70" x14ac:dyDescent="0.3">
      <c r="A977" t="str">
        <f>"200527C0100"</f>
        <v>200527C0100</v>
      </c>
      <c r="B977" t="s">
        <v>2079</v>
      </c>
      <c r="C977">
        <v>20</v>
      </c>
      <c r="D977" t="s">
        <v>88</v>
      </c>
      <c r="E977">
        <v>66</v>
      </c>
      <c r="F977" t="s">
        <v>1713</v>
      </c>
      <c r="G977">
        <v>527</v>
      </c>
      <c r="H977">
        <v>1</v>
      </c>
      <c r="I977" t="s">
        <v>98</v>
      </c>
      <c r="J977">
        <v>0</v>
      </c>
      <c r="K977">
        <v>1</v>
      </c>
      <c r="L977">
        <v>5</v>
      </c>
      <c r="M977">
        <v>209</v>
      </c>
      <c r="N977">
        <v>438</v>
      </c>
      <c r="O977">
        <v>7</v>
      </c>
      <c r="P977">
        <v>438</v>
      </c>
      <c r="Q977">
        <v>87</v>
      </c>
      <c r="R977">
        <v>63</v>
      </c>
      <c r="S977">
        <v>8</v>
      </c>
      <c r="T977">
        <v>10</v>
      </c>
      <c r="U977">
        <v>17</v>
      </c>
      <c r="V977">
        <v>6</v>
      </c>
      <c r="W977">
        <v>6</v>
      </c>
      <c r="X977">
        <v>5</v>
      </c>
      <c r="Y977">
        <v>53</v>
      </c>
      <c r="Z977">
        <v>6</v>
      </c>
      <c r="AA977">
        <v>4</v>
      </c>
      <c r="AB977">
        <v>7</v>
      </c>
      <c r="AC977">
        <v>0</v>
      </c>
      <c r="AD977">
        <v>0</v>
      </c>
      <c r="AE977">
        <v>0</v>
      </c>
      <c r="AF977">
        <v>0</v>
      </c>
      <c r="AK977">
        <v>7</v>
      </c>
      <c r="AL977">
        <v>3</v>
      </c>
      <c r="AM977">
        <v>0</v>
      </c>
      <c r="AN977">
        <v>0</v>
      </c>
      <c r="AT977">
        <v>8</v>
      </c>
      <c r="BC977">
        <v>0</v>
      </c>
      <c r="BD977">
        <v>18</v>
      </c>
      <c r="BE977">
        <v>48</v>
      </c>
      <c r="BF977">
        <v>308</v>
      </c>
      <c r="BG977">
        <v>625</v>
      </c>
      <c r="BJ977">
        <v>1</v>
      </c>
      <c r="BL977" t="s">
        <v>2080</v>
      </c>
      <c r="BM977" s="4">
        <v>43283.101388888892</v>
      </c>
      <c r="BN977" s="4">
        <v>43283.108263888891</v>
      </c>
      <c r="BO977" s="4">
        <v>43283.108263888891</v>
      </c>
      <c r="BP977" t="s">
        <v>92</v>
      </c>
      <c r="BQ977" t="s">
        <v>93</v>
      </c>
      <c r="BR977" t="s">
        <v>94</v>
      </c>
    </row>
    <row r="978" spans="1:70" x14ac:dyDescent="0.3">
      <c r="A978" t="str">
        <f>"200528B0100"</f>
        <v>200528B0100</v>
      </c>
      <c r="B978" t="s">
        <v>2081</v>
      </c>
      <c r="C978">
        <v>20</v>
      </c>
      <c r="D978" t="s">
        <v>88</v>
      </c>
      <c r="E978">
        <v>66</v>
      </c>
      <c r="F978" t="s">
        <v>1713</v>
      </c>
      <c r="G978">
        <v>528</v>
      </c>
      <c r="H978">
        <v>1</v>
      </c>
      <c r="I978" t="s">
        <v>90</v>
      </c>
      <c r="J978">
        <v>0</v>
      </c>
      <c r="K978">
        <v>1</v>
      </c>
      <c r="L978">
        <v>5</v>
      </c>
      <c r="M978">
        <v>176</v>
      </c>
      <c r="N978">
        <v>352</v>
      </c>
      <c r="O978">
        <v>5</v>
      </c>
      <c r="P978">
        <v>352</v>
      </c>
      <c r="Q978">
        <v>49</v>
      </c>
      <c r="R978">
        <v>66</v>
      </c>
      <c r="S978">
        <v>6</v>
      </c>
      <c r="T978">
        <v>13</v>
      </c>
      <c r="U978">
        <v>9</v>
      </c>
      <c r="V978">
        <v>15</v>
      </c>
      <c r="W978">
        <v>9</v>
      </c>
      <c r="X978">
        <v>7</v>
      </c>
      <c r="Y978">
        <v>156</v>
      </c>
      <c r="Z978">
        <v>2</v>
      </c>
      <c r="AA978">
        <v>1</v>
      </c>
      <c r="AB978">
        <v>7</v>
      </c>
      <c r="AC978">
        <v>2</v>
      </c>
      <c r="AD978">
        <v>0</v>
      </c>
      <c r="AE978">
        <v>0</v>
      </c>
      <c r="AF978">
        <v>0</v>
      </c>
      <c r="AK978">
        <v>2</v>
      </c>
      <c r="AL978">
        <v>1</v>
      </c>
      <c r="AM978">
        <v>0</v>
      </c>
      <c r="AN978">
        <v>1</v>
      </c>
      <c r="AT978">
        <v>1</v>
      </c>
      <c r="BC978">
        <v>0</v>
      </c>
      <c r="BD978">
        <v>5</v>
      </c>
      <c r="BE978">
        <v>352</v>
      </c>
      <c r="BF978">
        <v>352</v>
      </c>
      <c r="BG978">
        <v>506</v>
      </c>
      <c r="BJ978">
        <v>1</v>
      </c>
      <c r="BL978" t="s">
        <v>2082</v>
      </c>
      <c r="BM978" s="4">
        <v>43283.01666666667</v>
      </c>
      <c r="BN978" s="4">
        <v>43283.021782407406</v>
      </c>
      <c r="BO978" s="4">
        <v>43283.021782407406</v>
      </c>
      <c r="BP978" t="s">
        <v>92</v>
      </c>
      <c r="BQ978" t="s">
        <v>93</v>
      </c>
      <c r="BR978" t="s">
        <v>94</v>
      </c>
    </row>
    <row r="979" spans="1:70" x14ac:dyDescent="0.3">
      <c r="A979" t="str">
        <f>"200528C0100"</f>
        <v>200528C0100</v>
      </c>
      <c r="B979" t="s">
        <v>2083</v>
      </c>
      <c r="C979">
        <v>20</v>
      </c>
      <c r="D979" t="s">
        <v>88</v>
      </c>
      <c r="E979">
        <v>66</v>
      </c>
      <c r="F979" t="s">
        <v>1713</v>
      </c>
      <c r="G979">
        <v>528</v>
      </c>
      <c r="H979">
        <v>1</v>
      </c>
      <c r="I979" t="s">
        <v>98</v>
      </c>
      <c r="J979">
        <v>0</v>
      </c>
      <c r="K979">
        <v>1</v>
      </c>
      <c r="L979">
        <v>5</v>
      </c>
      <c r="M979">
        <v>173</v>
      </c>
      <c r="N979">
        <v>355</v>
      </c>
      <c r="O979">
        <v>3</v>
      </c>
      <c r="P979">
        <v>358</v>
      </c>
      <c r="Q979">
        <v>57</v>
      </c>
      <c r="R979">
        <v>68</v>
      </c>
      <c r="S979">
        <v>9</v>
      </c>
      <c r="T979">
        <v>5</v>
      </c>
      <c r="U979">
        <v>12</v>
      </c>
      <c r="V979">
        <v>5</v>
      </c>
      <c r="W979">
        <v>5</v>
      </c>
      <c r="X979">
        <v>6</v>
      </c>
      <c r="Y979">
        <v>158</v>
      </c>
      <c r="Z979">
        <v>5</v>
      </c>
      <c r="AA979">
        <v>3</v>
      </c>
      <c r="AB979">
        <v>14</v>
      </c>
      <c r="AC979">
        <v>2</v>
      </c>
      <c r="AD979">
        <v>1</v>
      </c>
      <c r="AE979">
        <v>0</v>
      </c>
      <c r="AF979">
        <v>0</v>
      </c>
      <c r="AK979">
        <v>1</v>
      </c>
      <c r="AL979">
        <v>0</v>
      </c>
      <c r="AM979">
        <v>0</v>
      </c>
      <c r="AN979">
        <v>0</v>
      </c>
      <c r="AT979">
        <v>1</v>
      </c>
      <c r="BC979">
        <v>0</v>
      </c>
      <c r="BD979">
        <v>6</v>
      </c>
      <c r="BE979">
        <v>358</v>
      </c>
      <c r="BF979">
        <v>358</v>
      </c>
      <c r="BG979">
        <v>506</v>
      </c>
      <c r="BJ979">
        <v>1</v>
      </c>
      <c r="BL979" t="s">
        <v>2084</v>
      </c>
      <c r="BM979" s="4">
        <v>43282.946388888886</v>
      </c>
      <c r="BN979" s="4">
        <v>43282.95034722222</v>
      </c>
      <c r="BO979" s="4">
        <v>43282.95034722222</v>
      </c>
      <c r="BP979" t="s">
        <v>339</v>
      </c>
      <c r="BQ979" t="s">
        <v>340</v>
      </c>
      <c r="BR979" t="s">
        <v>94</v>
      </c>
    </row>
    <row r="980" spans="1:70" x14ac:dyDescent="0.3">
      <c r="A980" t="str">
        <f>"200528C0200"</f>
        <v>200528C0200</v>
      </c>
      <c r="B980" t="s">
        <v>2085</v>
      </c>
      <c r="C980">
        <v>20</v>
      </c>
      <c r="D980" t="s">
        <v>88</v>
      </c>
      <c r="E980">
        <v>66</v>
      </c>
      <c r="F980" t="s">
        <v>1713</v>
      </c>
      <c r="G980">
        <v>528</v>
      </c>
      <c r="H980">
        <v>2</v>
      </c>
      <c r="I980" t="s">
        <v>98</v>
      </c>
      <c r="J980">
        <v>0</v>
      </c>
      <c r="K980">
        <v>1</v>
      </c>
      <c r="L980">
        <v>5</v>
      </c>
      <c r="M980">
        <v>172</v>
      </c>
      <c r="N980">
        <v>354</v>
      </c>
      <c r="O980">
        <v>5</v>
      </c>
      <c r="P980">
        <v>364</v>
      </c>
      <c r="Q980">
        <v>56</v>
      </c>
      <c r="R980">
        <v>70</v>
      </c>
      <c r="S980">
        <v>11</v>
      </c>
      <c r="T980">
        <v>11</v>
      </c>
      <c r="U980">
        <v>12</v>
      </c>
      <c r="V980">
        <v>9</v>
      </c>
      <c r="W980">
        <v>5</v>
      </c>
      <c r="X980">
        <v>8</v>
      </c>
      <c r="Y980">
        <v>139</v>
      </c>
      <c r="Z980">
        <v>6</v>
      </c>
      <c r="AA980">
        <v>3</v>
      </c>
      <c r="AB980">
        <v>10</v>
      </c>
      <c r="AC980">
        <v>1</v>
      </c>
      <c r="AD980">
        <v>0</v>
      </c>
      <c r="AE980">
        <v>11</v>
      </c>
      <c r="AF980">
        <v>0</v>
      </c>
      <c r="AK980">
        <v>0</v>
      </c>
      <c r="AL980">
        <v>0</v>
      </c>
      <c r="AM980">
        <v>0</v>
      </c>
      <c r="AN980">
        <v>1</v>
      </c>
      <c r="AT980">
        <v>2</v>
      </c>
      <c r="BC980">
        <v>0</v>
      </c>
      <c r="BD980">
        <v>3</v>
      </c>
      <c r="BE980">
        <v>364</v>
      </c>
      <c r="BF980">
        <v>358</v>
      </c>
      <c r="BG980">
        <v>506</v>
      </c>
      <c r="BJ980">
        <v>1</v>
      </c>
      <c r="BL980" t="s">
        <v>2086</v>
      </c>
      <c r="BM980" s="4">
        <v>43282.94972222222</v>
      </c>
      <c r="BN980" s="4">
        <v>43282.954085648147</v>
      </c>
      <c r="BO980" s="4">
        <v>43282.954085648147</v>
      </c>
      <c r="BP980" t="s">
        <v>339</v>
      </c>
      <c r="BQ980" t="s">
        <v>340</v>
      </c>
      <c r="BR980" t="s">
        <v>94</v>
      </c>
    </row>
    <row r="981" spans="1:70" x14ac:dyDescent="0.3">
      <c r="A981" t="str">
        <f>"200529B0100"</f>
        <v>200529B0100</v>
      </c>
      <c r="B981" t="s">
        <v>2087</v>
      </c>
      <c r="C981">
        <v>20</v>
      </c>
      <c r="D981" t="s">
        <v>88</v>
      </c>
      <c r="E981">
        <v>66</v>
      </c>
      <c r="F981" t="s">
        <v>1713</v>
      </c>
      <c r="G981">
        <v>529</v>
      </c>
      <c r="H981">
        <v>1</v>
      </c>
      <c r="I981" t="s">
        <v>90</v>
      </c>
      <c r="J981">
        <v>0</v>
      </c>
      <c r="K981">
        <v>1</v>
      </c>
      <c r="L981">
        <v>5</v>
      </c>
      <c r="BG981">
        <v>576</v>
      </c>
      <c r="BI981" t="s">
        <v>122</v>
      </c>
      <c r="BJ981">
        <v>0</v>
      </c>
      <c r="BL981" t="s">
        <v>2088</v>
      </c>
      <c r="BM981" s="4">
        <v>43283.581944444442</v>
      </c>
      <c r="BN981" s="4">
        <v>43283.583865740744</v>
      </c>
      <c r="BO981" s="4">
        <v>43283.583865740744</v>
      </c>
      <c r="BP981" t="s">
        <v>92</v>
      </c>
      <c r="BQ981" t="s">
        <v>93</v>
      </c>
      <c r="BR981" t="s">
        <v>94</v>
      </c>
    </row>
    <row r="982" spans="1:70" x14ac:dyDescent="0.3">
      <c r="A982" t="str">
        <f>"200529C0100"</f>
        <v>200529C0100</v>
      </c>
      <c r="B982" t="s">
        <v>2089</v>
      </c>
      <c r="C982">
        <v>20</v>
      </c>
      <c r="D982" t="s">
        <v>88</v>
      </c>
      <c r="E982">
        <v>66</v>
      </c>
      <c r="F982" t="s">
        <v>1713</v>
      </c>
      <c r="G982">
        <v>529</v>
      </c>
      <c r="H982">
        <v>1</v>
      </c>
      <c r="I982" t="s">
        <v>98</v>
      </c>
      <c r="J982">
        <v>0</v>
      </c>
      <c r="K982">
        <v>1</v>
      </c>
      <c r="L982">
        <v>5</v>
      </c>
      <c r="M982">
        <v>178</v>
      </c>
      <c r="N982">
        <v>420</v>
      </c>
      <c r="O982">
        <v>9</v>
      </c>
      <c r="P982">
        <v>420</v>
      </c>
      <c r="Q982">
        <v>79</v>
      </c>
      <c r="R982">
        <v>118</v>
      </c>
      <c r="S982">
        <v>5</v>
      </c>
      <c r="T982">
        <v>5</v>
      </c>
      <c r="U982">
        <v>4</v>
      </c>
      <c r="V982">
        <v>3</v>
      </c>
      <c r="W982">
        <v>9</v>
      </c>
      <c r="X982">
        <v>10</v>
      </c>
      <c r="Y982">
        <v>147</v>
      </c>
      <c r="Z982">
        <v>3</v>
      </c>
      <c r="AA982">
        <v>1</v>
      </c>
      <c r="AB982">
        <v>10</v>
      </c>
      <c r="AC982">
        <v>2</v>
      </c>
      <c r="AD982">
        <v>0</v>
      </c>
      <c r="AE982">
        <v>1</v>
      </c>
      <c r="AF982">
        <v>0</v>
      </c>
      <c r="AK982">
        <v>8</v>
      </c>
      <c r="AL982">
        <v>0</v>
      </c>
      <c r="AM982">
        <v>0</v>
      </c>
      <c r="AN982">
        <v>0</v>
      </c>
      <c r="AT982">
        <v>4</v>
      </c>
      <c r="BC982">
        <v>1</v>
      </c>
      <c r="BD982">
        <v>10</v>
      </c>
      <c r="BE982">
        <v>420</v>
      </c>
      <c r="BF982">
        <v>420</v>
      </c>
      <c r="BG982">
        <v>576</v>
      </c>
      <c r="BJ982">
        <v>1</v>
      </c>
      <c r="BL982" t="s">
        <v>2090</v>
      </c>
      <c r="BM982" s="4">
        <v>43283.052083333336</v>
      </c>
      <c r="BN982" s="4">
        <v>43283.061840277776</v>
      </c>
      <c r="BO982" s="4">
        <v>43283.061840277776</v>
      </c>
      <c r="BP982" t="s">
        <v>92</v>
      </c>
      <c r="BQ982" t="s">
        <v>93</v>
      </c>
      <c r="BR982" t="s">
        <v>94</v>
      </c>
    </row>
    <row r="983" spans="1:70" x14ac:dyDescent="0.3">
      <c r="A983" t="str">
        <f>"200530B0100"</f>
        <v>200530B0100</v>
      </c>
      <c r="B983" t="s">
        <v>2091</v>
      </c>
      <c r="C983">
        <v>20</v>
      </c>
      <c r="D983" t="s">
        <v>88</v>
      </c>
      <c r="E983">
        <v>66</v>
      </c>
      <c r="F983" t="s">
        <v>1713</v>
      </c>
      <c r="G983">
        <v>530</v>
      </c>
      <c r="H983">
        <v>1</v>
      </c>
      <c r="I983" t="s">
        <v>90</v>
      </c>
      <c r="J983">
        <v>0</v>
      </c>
      <c r="K983">
        <v>1</v>
      </c>
      <c r="L983">
        <v>5</v>
      </c>
      <c r="M983">
        <v>171</v>
      </c>
      <c r="N983">
        <v>396</v>
      </c>
      <c r="O983">
        <v>14</v>
      </c>
      <c r="P983">
        <v>374</v>
      </c>
      <c r="Q983">
        <v>65</v>
      </c>
      <c r="R983">
        <v>83</v>
      </c>
      <c r="S983">
        <v>5</v>
      </c>
      <c r="T983">
        <v>3</v>
      </c>
      <c r="U983">
        <v>14</v>
      </c>
      <c r="V983">
        <v>7</v>
      </c>
      <c r="W983">
        <v>5</v>
      </c>
      <c r="X983">
        <v>2</v>
      </c>
      <c r="Y983">
        <v>175</v>
      </c>
      <c r="Z983">
        <v>7</v>
      </c>
      <c r="AA983">
        <v>1</v>
      </c>
      <c r="AB983">
        <v>9</v>
      </c>
      <c r="AC983">
        <v>2</v>
      </c>
      <c r="AD983">
        <v>0</v>
      </c>
      <c r="AE983">
        <v>0</v>
      </c>
      <c r="AF983">
        <v>0</v>
      </c>
      <c r="AK983">
        <v>2</v>
      </c>
      <c r="AL983">
        <v>1</v>
      </c>
      <c r="AM983">
        <v>0</v>
      </c>
      <c r="AN983">
        <v>0</v>
      </c>
      <c r="AT983">
        <v>3</v>
      </c>
      <c r="BC983">
        <v>0</v>
      </c>
      <c r="BD983">
        <v>10</v>
      </c>
      <c r="BE983">
        <v>394</v>
      </c>
      <c r="BF983">
        <v>394</v>
      </c>
      <c r="BG983">
        <v>544</v>
      </c>
      <c r="BJ983">
        <v>1</v>
      </c>
      <c r="BL983" t="s">
        <v>2092</v>
      </c>
      <c r="BM983" s="4">
        <v>43283.107638888891</v>
      </c>
      <c r="BN983" s="4">
        <v>43283.112754629627</v>
      </c>
      <c r="BO983" s="4">
        <v>43283.112754629627</v>
      </c>
      <c r="BP983" t="s">
        <v>92</v>
      </c>
      <c r="BQ983" t="s">
        <v>93</v>
      </c>
      <c r="BR983" t="s">
        <v>94</v>
      </c>
    </row>
    <row r="984" spans="1:70" x14ac:dyDescent="0.3">
      <c r="A984" t="str">
        <f>"200530C0100"</f>
        <v>200530C0100</v>
      </c>
      <c r="B984" t="s">
        <v>2093</v>
      </c>
      <c r="C984">
        <v>20</v>
      </c>
      <c r="D984" t="s">
        <v>88</v>
      </c>
      <c r="E984">
        <v>66</v>
      </c>
      <c r="F984" t="s">
        <v>1713</v>
      </c>
      <c r="G984">
        <v>530</v>
      </c>
      <c r="H984">
        <v>1</v>
      </c>
      <c r="I984" t="s">
        <v>98</v>
      </c>
      <c r="J984">
        <v>0</v>
      </c>
      <c r="K984">
        <v>1</v>
      </c>
      <c r="L984">
        <v>5</v>
      </c>
      <c r="M984">
        <v>143</v>
      </c>
      <c r="N984">
        <v>9</v>
      </c>
      <c r="O984">
        <v>9</v>
      </c>
      <c r="P984">
        <v>416</v>
      </c>
      <c r="Q984">
        <v>90</v>
      </c>
      <c r="R984">
        <v>70</v>
      </c>
      <c r="S984">
        <v>8</v>
      </c>
      <c r="T984">
        <v>12</v>
      </c>
      <c r="U984">
        <v>6</v>
      </c>
      <c r="V984">
        <v>9</v>
      </c>
      <c r="W984">
        <v>4</v>
      </c>
      <c r="X984">
        <v>6</v>
      </c>
      <c r="Y984">
        <v>174</v>
      </c>
      <c r="Z984">
        <v>8</v>
      </c>
      <c r="AA984">
        <v>2</v>
      </c>
      <c r="AB984">
        <v>14</v>
      </c>
      <c r="AC984">
        <v>5</v>
      </c>
      <c r="AD984">
        <v>0</v>
      </c>
      <c r="AE984">
        <v>0</v>
      </c>
      <c r="AF984">
        <v>0</v>
      </c>
      <c r="AK984">
        <v>6</v>
      </c>
      <c r="AL984">
        <v>1</v>
      </c>
      <c r="AM984">
        <v>0</v>
      </c>
      <c r="AN984">
        <v>0</v>
      </c>
      <c r="AT984">
        <v>1</v>
      </c>
      <c r="BC984">
        <v>0</v>
      </c>
      <c r="BD984">
        <v>8</v>
      </c>
      <c r="BE984">
        <v>424</v>
      </c>
      <c r="BF984">
        <v>424</v>
      </c>
      <c r="BG984">
        <v>544</v>
      </c>
      <c r="BJ984">
        <v>1</v>
      </c>
      <c r="BL984" t="s">
        <v>2094</v>
      </c>
      <c r="BM984" s="4">
        <v>43283.107638888891</v>
      </c>
      <c r="BN984" s="4">
        <v>43283.112083333333</v>
      </c>
      <c r="BO984" s="4">
        <v>43283.112083333333</v>
      </c>
      <c r="BP984" t="s">
        <v>92</v>
      </c>
      <c r="BQ984" t="s">
        <v>93</v>
      </c>
      <c r="BR984" t="s">
        <v>94</v>
      </c>
    </row>
    <row r="985" spans="1:70" x14ac:dyDescent="0.3">
      <c r="A985" t="str">
        <f>"200531B0100"</f>
        <v>200531B0100</v>
      </c>
      <c r="B985" t="s">
        <v>2095</v>
      </c>
      <c r="C985">
        <v>20</v>
      </c>
      <c r="D985" t="s">
        <v>88</v>
      </c>
      <c r="E985">
        <v>66</v>
      </c>
      <c r="F985" t="s">
        <v>1713</v>
      </c>
      <c r="G985">
        <v>531</v>
      </c>
      <c r="H985">
        <v>1</v>
      </c>
      <c r="I985" t="s">
        <v>90</v>
      </c>
      <c r="J985">
        <v>0</v>
      </c>
      <c r="K985">
        <v>1</v>
      </c>
      <c r="L985">
        <v>5</v>
      </c>
      <c r="M985">
        <v>118</v>
      </c>
      <c r="N985">
        <v>401</v>
      </c>
      <c r="O985">
        <v>3</v>
      </c>
      <c r="P985" t="s">
        <v>105</v>
      </c>
      <c r="Q985">
        <v>44</v>
      </c>
      <c r="R985">
        <v>67</v>
      </c>
      <c r="S985">
        <v>7</v>
      </c>
      <c r="T985">
        <v>3</v>
      </c>
      <c r="U985">
        <v>7</v>
      </c>
      <c r="V985">
        <v>4</v>
      </c>
      <c r="W985">
        <v>5</v>
      </c>
      <c r="X985">
        <v>6</v>
      </c>
      <c r="Y985">
        <v>115</v>
      </c>
      <c r="Z985">
        <v>4</v>
      </c>
      <c r="AA985">
        <v>4</v>
      </c>
      <c r="AB985">
        <v>8</v>
      </c>
      <c r="AC985">
        <v>1</v>
      </c>
      <c r="AD985">
        <v>0</v>
      </c>
      <c r="AE985">
        <v>0</v>
      </c>
      <c r="AF985">
        <v>0</v>
      </c>
      <c r="AK985">
        <v>3</v>
      </c>
      <c r="AL985">
        <v>0</v>
      </c>
      <c r="AM985">
        <v>0</v>
      </c>
      <c r="AN985">
        <v>0</v>
      </c>
      <c r="AT985">
        <v>0</v>
      </c>
      <c r="BC985">
        <v>0</v>
      </c>
      <c r="BD985">
        <v>4</v>
      </c>
      <c r="BE985">
        <v>282</v>
      </c>
      <c r="BF985">
        <v>282</v>
      </c>
      <c r="BG985">
        <v>379</v>
      </c>
      <c r="BJ985">
        <v>1</v>
      </c>
      <c r="BL985" t="s">
        <v>2096</v>
      </c>
      <c r="BM985" s="4">
        <v>43283.131249999999</v>
      </c>
      <c r="BN985" s="4">
        <v>43283.150416666664</v>
      </c>
      <c r="BO985" s="4">
        <v>43283.150416666664</v>
      </c>
      <c r="BP985" t="s">
        <v>92</v>
      </c>
      <c r="BQ985" t="s">
        <v>93</v>
      </c>
      <c r="BR985" t="s">
        <v>94</v>
      </c>
    </row>
    <row r="986" spans="1:70" x14ac:dyDescent="0.3">
      <c r="A986" t="str">
        <f>"200531C0100"</f>
        <v>200531C0100</v>
      </c>
      <c r="B986" t="s">
        <v>2097</v>
      </c>
      <c r="C986">
        <v>20</v>
      </c>
      <c r="D986" t="s">
        <v>88</v>
      </c>
      <c r="E986">
        <v>66</v>
      </c>
      <c r="F986" t="s">
        <v>1713</v>
      </c>
      <c r="G986">
        <v>531</v>
      </c>
      <c r="H986">
        <v>1</v>
      </c>
      <c r="I986" t="s">
        <v>98</v>
      </c>
      <c r="J986">
        <v>0</v>
      </c>
      <c r="K986">
        <v>1</v>
      </c>
      <c r="L986">
        <v>5</v>
      </c>
      <c r="M986">
        <v>140</v>
      </c>
      <c r="N986">
        <v>261</v>
      </c>
      <c r="O986">
        <v>6</v>
      </c>
      <c r="P986">
        <v>0</v>
      </c>
      <c r="Q986">
        <v>55</v>
      </c>
      <c r="R986">
        <v>39</v>
      </c>
      <c r="S986">
        <v>11</v>
      </c>
      <c r="T986">
        <v>5</v>
      </c>
      <c r="U986">
        <v>7</v>
      </c>
      <c r="V986">
        <v>2</v>
      </c>
      <c r="W986">
        <v>4</v>
      </c>
      <c r="X986">
        <v>4</v>
      </c>
      <c r="Y986">
        <v>107</v>
      </c>
      <c r="Z986">
        <v>4</v>
      </c>
      <c r="AA986">
        <v>0</v>
      </c>
      <c r="AB986">
        <v>9</v>
      </c>
      <c r="AC986">
        <v>1</v>
      </c>
      <c r="AD986">
        <v>1</v>
      </c>
      <c r="AE986">
        <v>0</v>
      </c>
      <c r="AF986">
        <v>0</v>
      </c>
      <c r="AK986">
        <v>2</v>
      </c>
      <c r="AL986">
        <v>2</v>
      </c>
      <c r="AM986">
        <v>0</v>
      </c>
      <c r="AN986">
        <v>1</v>
      </c>
      <c r="AT986">
        <v>0</v>
      </c>
      <c r="BC986">
        <v>0</v>
      </c>
      <c r="BD986">
        <v>7</v>
      </c>
      <c r="BE986">
        <v>261</v>
      </c>
      <c r="BF986">
        <v>261</v>
      </c>
      <c r="BG986">
        <v>379</v>
      </c>
      <c r="BJ986">
        <v>1</v>
      </c>
      <c r="BL986" t="s">
        <v>2098</v>
      </c>
      <c r="BM986" s="4">
        <v>43283.134027777778</v>
      </c>
      <c r="BN986" s="4">
        <v>43283.141712962963</v>
      </c>
      <c r="BO986" s="4">
        <v>43283.141712962963</v>
      </c>
      <c r="BP986" t="s">
        <v>92</v>
      </c>
      <c r="BQ986" t="s">
        <v>93</v>
      </c>
      <c r="BR986" t="s">
        <v>94</v>
      </c>
    </row>
    <row r="987" spans="1:70" x14ac:dyDescent="0.3">
      <c r="A987" t="str">
        <f>"200532B0100"</f>
        <v>200532B0100</v>
      </c>
      <c r="B987" t="s">
        <v>2099</v>
      </c>
      <c r="C987">
        <v>20</v>
      </c>
      <c r="D987" t="s">
        <v>88</v>
      </c>
      <c r="E987">
        <v>66</v>
      </c>
      <c r="F987" t="s">
        <v>1713</v>
      </c>
      <c r="G987">
        <v>532</v>
      </c>
      <c r="H987">
        <v>1</v>
      </c>
      <c r="I987" t="s">
        <v>90</v>
      </c>
      <c r="J987">
        <v>0</v>
      </c>
      <c r="K987">
        <v>1</v>
      </c>
      <c r="L987">
        <v>5</v>
      </c>
      <c r="M987">
        <v>153</v>
      </c>
      <c r="N987">
        <v>330</v>
      </c>
      <c r="O987">
        <v>6</v>
      </c>
      <c r="P987">
        <v>327</v>
      </c>
      <c r="Q987">
        <v>53</v>
      </c>
      <c r="R987">
        <v>80</v>
      </c>
      <c r="S987">
        <v>6</v>
      </c>
      <c r="T987">
        <v>9</v>
      </c>
      <c r="U987">
        <v>13</v>
      </c>
      <c r="V987">
        <v>0</v>
      </c>
      <c r="W987">
        <v>1</v>
      </c>
      <c r="X987">
        <v>7</v>
      </c>
      <c r="Y987">
        <v>129</v>
      </c>
      <c r="Z987">
        <v>1</v>
      </c>
      <c r="AA987">
        <v>1</v>
      </c>
      <c r="AB987">
        <v>7</v>
      </c>
      <c r="AC987">
        <v>0</v>
      </c>
      <c r="AD987">
        <v>1</v>
      </c>
      <c r="AE987">
        <v>0</v>
      </c>
      <c r="AF987">
        <v>0</v>
      </c>
      <c r="AK987">
        <v>1</v>
      </c>
      <c r="AL987">
        <v>1</v>
      </c>
      <c r="AM987">
        <v>0</v>
      </c>
      <c r="AN987">
        <v>0</v>
      </c>
      <c r="AT987">
        <v>3</v>
      </c>
      <c r="BC987">
        <v>0</v>
      </c>
      <c r="BD987">
        <v>14</v>
      </c>
      <c r="BE987">
        <v>327</v>
      </c>
      <c r="BF987">
        <v>327</v>
      </c>
      <c r="BG987">
        <v>461</v>
      </c>
      <c r="BJ987">
        <v>1</v>
      </c>
      <c r="BL987" t="s">
        <v>2100</v>
      </c>
      <c r="BM987" s="4">
        <v>43283.135416666664</v>
      </c>
      <c r="BN987" s="4">
        <v>43283.140532407408</v>
      </c>
      <c r="BO987" s="4">
        <v>43283.140532407408</v>
      </c>
      <c r="BP987" t="s">
        <v>92</v>
      </c>
      <c r="BQ987" t="s">
        <v>93</v>
      </c>
      <c r="BR987" t="s">
        <v>94</v>
      </c>
    </row>
    <row r="988" spans="1:70" x14ac:dyDescent="0.3">
      <c r="A988" t="str">
        <f>"200532C0100"</f>
        <v>200532C0100</v>
      </c>
      <c r="B988" t="s">
        <v>2101</v>
      </c>
      <c r="C988">
        <v>20</v>
      </c>
      <c r="D988" t="s">
        <v>88</v>
      </c>
      <c r="E988">
        <v>66</v>
      </c>
      <c r="F988" t="s">
        <v>1713</v>
      </c>
      <c r="G988">
        <v>532</v>
      </c>
      <c r="H988">
        <v>1</v>
      </c>
      <c r="I988" t="s">
        <v>98</v>
      </c>
      <c r="J988">
        <v>0</v>
      </c>
      <c r="K988">
        <v>1</v>
      </c>
      <c r="L988">
        <v>5</v>
      </c>
      <c r="M988">
        <v>160</v>
      </c>
      <c r="N988">
        <v>326</v>
      </c>
      <c r="O988">
        <v>6</v>
      </c>
      <c r="P988">
        <v>326</v>
      </c>
      <c r="Q988">
        <v>59</v>
      </c>
      <c r="R988">
        <v>80</v>
      </c>
      <c r="S988">
        <v>12</v>
      </c>
      <c r="T988">
        <v>8</v>
      </c>
      <c r="U988">
        <v>8</v>
      </c>
      <c r="V988">
        <v>5</v>
      </c>
      <c r="W988">
        <v>10</v>
      </c>
      <c r="X988">
        <v>8</v>
      </c>
      <c r="Y988">
        <v>108</v>
      </c>
      <c r="Z988">
        <v>2</v>
      </c>
      <c r="AA988">
        <v>3</v>
      </c>
      <c r="AB988">
        <v>7</v>
      </c>
      <c r="AC988" t="s">
        <v>105</v>
      </c>
      <c r="AD988" t="s">
        <v>105</v>
      </c>
      <c r="AE988" t="s">
        <v>105</v>
      </c>
      <c r="AF988" t="s">
        <v>105</v>
      </c>
      <c r="AK988">
        <v>5</v>
      </c>
      <c r="AL988">
        <v>1</v>
      </c>
      <c r="AM988">
        <v>1</v>
      </c>
      <c r="AN988" t="s">
        <v>105</v>
      </c>
      <c r="AT988">
        <v>4</v>
      </c>
      <c r="BC988" t="s">
        <v>105</v>
      </c>
      <c r="BD988">
        <v>5</v>
      </c>
      <c r="BE988">
        <v>326</v>
      </c>
      <c r="BF988">
        <v>326</v>
      </c>
      <c r="BG988">
        <v>461</v>
      </c>
      <c r="BI988" t="s">
        <v>106</v>
      </c>
      <c r="BJ988">
        <v>1</v>
      </c>
      <c r="BL988" t="s">
        <v>2102</v>
      </c>
      <c r="BM988" s="4">
        <v>43283.134722222225</v>
      </c>
      <c r="BN988" s="4">
        <v>43283.145949074074</v>
      </c>
      <c r="BO988" s="4">
        <v>43283.145949074074</v>
      </c>
      <c r="BP988" t="s">
        <v>92</v>
      </c>
      <c r="BQ988" t="s">
        <v>93</v>
      </c>
      <c r="BR988" t="s">
        <v>94</v>
      </c>
    </row>
    <row r="989" spans="1:70" x14ac:dyDescent="0.3">
      <c r="A989" t="str">
        <f>"200533B0100"</f>
        <v>200533B0100</v>
      </c>
      <c r="B989" t="s">
        <v>2103</v>
      </c>
      <c r="C989">
        <v>20</v>
      </c>
      <c r="D989" t="s">
        <v>88</v>
      </c>
      <c r="E989">
        <v>66</v>
      </c>
      <c r="F989" t="s">
        <v>1713</v>
      </c>
      <c r="G989">
        <v>533</v>
      </c>
      <c r="H989">
        <v>1</v>
      </c>
      <c r="I989" t="s">
        <v>90</v>
      </c>
      <c r="J989">
        <v>0</v>
      </c>
      <c r="K989">
        <v>1</v>
      </c>
      <c r="L989">
        <v>5</v>
      </c>
      <c r="M989">
        <v>149</v>
      </c>
      <c r="N989">
        <v>388</v>
      </c>
      <c r="O989">
        <v>8</v>
      </c>
      <c r="P989">
        <v>388</v>
      </c>
      <c r="Q989">
        <v>64</v>
      </c>
      <c r="R989">
        <v>88</v>
      </c>
      <c r="S989">
        <v>10</v>
      </c>
      <c r="T989">
        <v>4</v>
      </c>
      <c r="U989">
        <v>12</v>
      </c>
      <c r="V989">
        <v>7</v>
      </c>
      <c r="W989">
        <v>6</v>
      </c>
      <c r="X989">
        <v>7</v>
      </c>
      <c r="Y989">
        <v>144</v>
      </c>
      <c r="Z989">
        <v>7</v>
      </c>
      <c r="AA989">
        <v>5</v>
      </c>
      <c r="AB989">
        <v>16</v>
      </c>
      <c r="AC989">
        <v>0</v>
      </c>
      <c r="AD989">
        <v>0</v>
      </c>
      <c r="AE989">
        <v>0</v>
      </c>
      <c r="AF989">
        <v>0</v>
      </c>
      <c r="AK989">
        <v>7</v>
      </c>
      <c r="AL989">
        <v>1</v>
      </c>
      <c r="AM989">
        <v>0</v>
      </c>
      <c r="AN989">
        <v>1</v>
      </c>
      <c r="AT989">
        <v>2</v>
      </c>
      <c r="BC989">
        <v>0</v>
      </c>
      <c r="BD989">
        <v>7</v>
      </c>
      <c r="BE989">
        <v>388</v>
      </c>
      <c r="BF989">
        <v>388</v>
      </c>
      <c r="BG989">
        <v>515</v>
      </c>
      <c r="BJ989">
        <v>1</v>
      </c>
      <c r="BL989" t="s">
        <v>2104</v>
      </c>
      <c r="BM989" s="4">
        <v>43283.133333333331</v>
      </c>
      <c r="BN989" s="4">
        <v>43283.137106481481</v>
      </c>
      <c r="BO989" s="4">
        <v>43283.137106481481</v>
      </c>
      <c r="BP989" t="s">
        <v>92</v>
      </c>
      <c r="BQ989" t="s">
        <v>93</v>
      </c>
      <c r="BR989" t="s">
        <v>94</v>
      </c>
    </row>
    <row r="990" spans="1:70" x14ac:dyDescent="0.3">
      <c r="A990" t="str">
        <f>"200534B0100"</f>
        <v>200534B0100</v>
      </c>
      <c r="B990" t="s">
        <v>2105</v>
      </c>
      <c r="C990">
        <v>20</v>
      </c>
      <c r="D990" t="s">
        <v>88</v>
      </c>
      <c r="E990">
        <v>66</v>
      </c>
      <c r="F990" t="s">
        <v>1713</v>
      </c>
      <c r="G990">
        <v>534</v>
      </c>
      <c r="H990">
        <v>1</v>
      </c>
      <c r="I990" t="s">
        <v>90</v>
      </c>
      <c r="J990">
        <v>0</v>
      </c>
      <c r="K990">
        <v>1</v>
      </c>
      <c r="L990">
        <v>5</v>
      </c>
      <c r="M990">
        <v>140</v>
      </c>
      <c r="N990">
        <v>405</v>
      </c>
      <c r="O990">
        <v>9</v>
      </c>
      <c r="P990">
        <v>397</v>
      </c>
      <c r="Q990">
        <v>61</v>
      </c>
      <c r="R990">
        <v>143</v>
      </c>
      <c r="S990">
        <v>3</v>
      </c>
      <c r="T990">
        <v>15</v>
      </c>
      <c r="U990">
        <v>5</v>
      </c>
      <c r="V990">
        <v>6</v>
      </c>
      <c r="W990">
        <v>2</v>
      </c>
      <c r="X990">
        <v>5</v>
      </c>
      <c r="Y990">
        <v>119</v>
      </c>
      <c r="Z990">
        <v>5</v>
      </c>
      <c r="AA990">
        <v>2</v>
      </c>
      <c r="AB990">
        <v>10</v>
      </c>
      <c r="AC990">
        <v>1</v>
      </c>
      <c r="AD990">
        <v>1</v>
      </c>
      <c r="AE990">
        <v>0</v>
      </c>
      <c r="AF990">
        <v>0</v>
      </c>
      <c r="AK990">
        <v>3</v>
      </c>
      <c r="AL990">
        <v>1</v>
      </c>
      <c r="AM990">
        <v>0</v>
      </c>
      <c r="AN990">
        <v>1</v>
      </c>
      <c r="AT990">
        <v>6</v>
      </c>
      <c r="BC990">
        <v>0</v>
      </c>
      <c r="BD990">
        <v>8</v>
      </c>
      <c r="BE990">
        <v>397</v>
      </c>
      <c r="BF990">
        <v>397</v>
      </c>
      <c r="BG990">
        <v>537</v>
      </c>
      <c r="BJ990">
        <v>1</v>
      </c>
      <c r="BL990" t="s">
        <v>2106</v>
      </c>
      <c r="BM990" s="4">
        <v>43282.977199074077</v>
      </c>
      <c r="BN990" s="4">
        <v>43282.980173611111</v>
      </c>
      <c r="BO990" s="4">
        <v>43282.980173611111</v>
      </c>
      <c r="BP990" t="s">
        <v>339</v>
      </c>
      <c r="BQ990" t="s">
        <v>340</v>
      </c>
      <c r="BR990" t="s">
        <v>94</v>
      </c>
    </row>
    <row r="991" spans="1:70" x14ac:dyDescent="0.3">
      <c r="A991" t="str">
        <f>"200534C0100"</f>
        <v>200534C0100</v>
      </c>
      <c r="B991" t="s">
        <v>2107</v>
      </c>
      <c r="C991">
        <v>20</v>
      </c>
      <c r="D991" t="s">
        <v>88</v>
      </c>
      <c r="E991">
        <v>66</v>
      </c>
      <c r="F991" t="s">
        <v>1713</v>
      </c>
      <c r="G991">
        <v>534</v>
      </c>
      <c r="H991">
        <v>1</v>
      </c>
      <c r="I991" t="s">
        <v>98</v>
      </c>
      <c r="J991">
        <v>0</v>
      </c>
      <c r="K991">
        <v>1</v>
      </c>
      <c r="L991">
        <v>5</v>
      </c>
      <c r="M991">
        <v>156</v>
      </c>
      <c r="N991">
        <v>7</v>
      </c>
      <c r="O991">
        <v>7</v>
      </c>
      <c r="P991">
        <v>411</v>
      </c>
      <c r="Q991">
        <v>71</v>
      </c>
      <c r="R991">
        <v>160</v>
      </c>
      <c r="S991">
        <v>5</v>
      </c>
      <c r="T991">
        <v>5</v>
      </c>
      <c r="U991">
        <v>15</v>
      </c>
      <c r="V991">
        <v>3</v>
      </c>
      <c r="W991">
        <v>1</v>
      </c>
      <c r="X991">
        <v>12</v>
      </c>
      <c r="Y991">
        <v>108</v>
      </c>
      <c r="Z991">
        <v>3</v>
      </c>
      <c r="AA991">
        <v>3</v>
      </c>
      <c r="AB991">
        <v>13</v>
      </c>
      <c r="AC991">
        <v>3</v>
      </c>
      <c r="AD991">
        <v>0</v>
      </c>
      <c r="AE991">
        <v>0</v>
      </c>
      <c r="AF991">
        <v>0</v>
      </c>
      <c r="AK991">
        <v>0</v>
      </c>
      <c r="AL991">
        <v>0</v>
      </c>
      <c r="AM991">
        <v>0</v>
      </c>
      <c r="AN991">
        <v>0</v>
      </c>
      <c r="AT991">
        <v>3</v>
      </c>
      <c r="BC991">
        <v>2</v>
      </c>
      <c r="BD991">
        <v>4</v>
      </c>
      <c r="BE991">
        <v>411</v>
      </c>
      <c r="BF991">
        <v>411</v>
      </c>
      <c r="BG991">
        <v>537</v>
      </c>
      <c r="BJ991">
        <v>1</v>
      </c>
      <c r="BL991" t="s">
        <v>2108</v>
      </c>
      <c r="BM991" s="4">
        <v>43283.131249999999</v>
      </c>
      <c r="BN991" s="4">
        <v>43283.135520833333</v>
      </c>
      <c r="BO991" s="4">
        <v>43283.135520833333</v>
      </c>
      <c r="BP991" t="s">
        <v>92</v>
      </c>
      <c r="BQ991" t="s">
        <v>93</v>
      </c>
      <c r="BR991" t="s">
        <v>94</v>
      </c>
    </row>
    <row r="992" spans="1:70" x14ac:dyDescent="0.3">
      <c r="A992" t="str">
        <f>"200535B0100"</f>
        <v>200535B0100</v>
      </c>
      <c r="B992" t="s">
        <v>2109</v>
      </c>
      <c r="C992">
        <v>20</v>
      </c>
      <c r="D992" t="s">
        <v>88</v>
      </c>
      <c r="E992">
        <v>66</v>
      </c>
      <c r="F992" t="s">
        <v>1713</v>
      </c>
      <c r="G992">
        <v>535</v>
      </c>
      <c r="H992">
        <v>1</v>
      </c>
      <c r="I992" t="s">
        <v>90</v>
      </c>
      <c r="J992">
        <v>0</v>
      </c>
      <c r="K992">
        <v>1</v>
      </c>
      <c r="L992">
        <v>5</v>
      </c>
      <c r="M992">
        <v>173</v>
      </c>
      <c r="N992">
        <v>484</v>
      </c>
      <c r="O992">
        <v>7</v>
      </c>
      <c r="P992">
        <v>484</v>
      </c>
      <c r="Q992">
        <v>107</v>
      </c>
      <c r="R992">
        <v>93</v>
      </c>
      <c r="S992">
        <v>20</v>
      </c>
      <c r="T992">
        <v>7</v>
      </c>
      <c r="U992">
        <v>14</v>
      </c>
      <c r="V992">
        <v>13</v>
      </c>
      <c r="W992">
        <v>9</v>
      </c>
      <c r="X992">
        <v>1</v>
      </c>
      <c r="Y992">
        <v>186</v>
      </c>
      <c r="Z992">
        <v>8</v>
      </c>
      <c r="AA992">
        <v>2</v>
      </c>
      <c r="AB992">
        <v>9</v>
      </c>
      <c r="AC992">
        <v>0</v>
      </c>
      <c r="AD992">
        <v>0</v>
      </c>
      <c r="AE992">
        <v>1</v>
      </c>
      <c r="AF992">
        <v>0</v>
      </c>
      <c r="AK992">
        <v>4</v>
      </c>
      <c r="AL992">
        <v>2</v>
      </c>
      <c r="AM992">
        <v>0</v>
      </c>
      <c r="AN992">
        <v>0</v>
      </c>
      <c r="AT992">
        <v>1</v>
      </c>
      <c r="BC992">
        <v>0</v>
      </c>
      <c r="BD992">
        <v>7</v>
      </c>
      <c r="BE992">
        <v>484</v>
      </c>
      <c r="BF992">
        <v>484</v>
      </c>
      <c r="BG992">
        <v>649</v>
      </c>
      <c r="BJ992">
        <v>1</v>
      </c>
      <c r="BL992" t="s">
        <v>2110</v>
      </c>
      <c r="BM992" s="4">
        <v>43283.132638888892</v>
      </c>
      <c r="BN992" s="4">
        <v>43283.136145833334</v>
      </c>
      <c r="BO992" s="4">
        <v>43283.136145833334</v>
      </c>
      <c r="BP992" t="s">
        <v>92</v>
      </c>
      <c r="BQ992" t="s">
        <v>93</v>
      </c>
      <c r="BR992" t="s">
        <v>94</v>
      </c>
    </row>
    <row r="993" spans="1:70" x14ac:dyDescent="0.3">
      <c r="A993" t="str">
        <f>"200535C0100"</f>
        <v>200535C0100</v>
      </c>
      <c r="B993" t="s">
        <v>2111</v>
      </c>
      <c r="C993">
        <v>20</v>
      </c>
      <c r="D993" t="s">
        <v>88</v>
      </c>
      <c r="E993">
        <v>66</v>
      </c>
      <c r="F993" t="s">
        <v>1713</v>
      </c>
      <c r="G993">
        <v>535</v>
      </c>
      <c r="H993">
        <v>1</v>
      </c>
      <c r="I993" t="s">
        <v>98</v>
      </c>
      <c r="J993">
        <v>0</v>
      </c>
      <c r="K993">
        <v>1</v>
      </c>
      <c r="L993">
        <v>5</v>
      </c>
      <c r="M993">
        <v>204</v>
      </c>
      <c r="N993">
        <v>466</v>
      </c>
      <c r="O993">
        <v>5</v>
      </c>
      <c r="P993">
        <v>466</v>
      </c>
      <c r="Q993">
        <v>72</v>
      </c>
      <c r="R993">
        <v>83</v>
      </c>
      <c r="S993">
        <v>12</v>
      </c>
      <c r="T993">
        <v>7</v>
      </c>
      <c r="U993">
        <v>14</v>
      </c>
      <c r="V993">
        <v>16</v>
      </c>
      <c r="W993">
        <v>3</v>
      </c>
      <c r="X993">
        <v>8</v>
      </c>
      <c r="Y993">
        <v>192</v>
      </c>
      <c r="Z993">
        <v>6</v>
      </c>
      <c r="AA993">
        <v>5</v>
      </c>
      <c r="AB993">
        <v>24</v>
      </c>
      <c r="AC993">
        <v>3</v>
      </c>
      <c r="AD993">
        <v>0</v>
      </c>
      <c r="AE993">
        <v>0</v>
      </c>
      <c r="AF993">
        <v>0</v>
      </c>
      <c r="AK993">
        <v>4</v>
      </c>
      <c r="AL993">
        <v>1</v>
      </c>
      <c r="AM993">
        <v>0</v>
      </c>
      <c r="AN993">
        <v>0</v>
      </c>
      <c r="AT993">
        <v>7</v>
      </c>
      <c r="BC993">
        <v>0</v>
      </c>
      <c r="BD993">
        <v>9</v>
      </c>
      <c r="BE993">
        <v>466</v>
      </c>
      <c r="BF993">
        <v>466</v>
      </c>
      <c r="BG993">
        <v>648</v>
      </c>
      <c r="BJ993">
        <v>1</v>
      </c>
      <c r="BL993" t="s">
        <v>2112</v>
      </c>
      <c r="BM993" s="4">
        <v>43283.134722222225</v>
      </c>
      <c r="BN993" s="4">
        <v>43283.139050925929</v>
      </c>
      <c r="BO993" s="4">
        <v>43283.139050925929</v>
      </c>
      <c r="BP993" t="s">
        <v>92</v>
      </c>
      <c r="BQ993" t="s">
        <v>93</v>
      </c>
      <c r="BR993" t="s">
        <v>94</v>
      </c>
    </row>
    <row r="994" spans="1:70" x14ac:dyDescent="0.3">
      <c r="A994" t="str">
        <f>"200535S0100"</f>
        <v>200535S0100</v>
      </c>
      <c r="B994" t="s">
        <v>2113</v>
      </c>
      <c r="C994">
        <v>20</v>
      </c>
      <c r="D994" t="s">
        <v>88</v>
      </c>
      <c r="E994">
        <v>66</v>
      </c>
      <c r="F994" t="s">
        <v>1713</v>
      </c>
      <c r="G994">
        <v>535</v>
      </c>
      <c r="H994">
        <v>1</v>
      </c>
      <c r="I994" t="s">
        <v>113</v>
      </c>
      <c r="J994">
        <v>0</v>
      </c>
      <c r="K994">
        <v>1</v>
      </c>
      <c r="L994">
        <v>6</v>
      </c>
      <c r="M994">
        <v>752</v>
      </c>
      <c r="N994">
        <v>20</v>
      </c>
      <c r="O994">
        <v>0</v>
      </c>
      <c r="P994">
        <v>20</v>
      </c>
      <c r="Q994">
        <v>5</v>
      </c>
      <c r="R994">
        <v>3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</v>
      </c>
      <c r="Y994">
        <v>9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K994">
        <v>0</v>
      </c>
      <c r="AL994">
        <v>0</v>
      </c>
      <c r="AM994">
        <v>0</v>
      </c>
      <c r="AN994">
        <v>0</v>
      </c>
      <c r="AT994">
        <v>0</v>
      </c>
      <c r="BC994">
        <v>1</v>
      </c>
      <c r="BD994">
        <v>0</v>
      </c>
      <c r="BE994">
        <v>20</v>
      </c>
      <c r="BF994">
        <v>20</v>
      </c>
      <c r="BG994">
        <v>0</v>
      </c>
      <c r="BJ994">
        <v>1</v>
      </c>
      <c r="BL994" t="s">
        <v>2114</v>
      </c>
      <c r="BM994" s="4">
        <v>43283.334027777775</v>
      </c>
      <c r="BN994" s="4">
        <v>43283.352650462963</v>
      </c>
      <c r="BO994" s="4">
        <v>43283.352650462963</v>
      </c>
      <c r="BP994" t="s">
        <v>92</v>
      </c>
      <c r="BQ994" t="s">
        <v>93</v>
      </c>
      <c r="BR994" t="s">
        <v>94</v>
      </c>
    </row>
    <row r="995" spans="1:70" x14ac:dyDescent="0.3">
      <c r="A995" t="str">
        <f>"200536B0100"</f>
        <v>200536B0100</v>
      </c>
      <c r="B995" t="s">
        <v>2115</v>
      </c>
      <c r="C995">
        <v>20</v>
      </c>
      <c r="D995" t="s">
        <v>88</v>
      </c>
      <c r="E995">
        <v>66</v>
      </c>
      <c r="F995" t="s">
        <v>1713</v>
      </c>
      <c r="G995">
        <v>536</v>
      </c>
      <c r="H995">
        <v>1</v>
      </c>
      <c r="I995" t="s">
        <v>90</v>
      </c>
      <c r="J995">
        <v>0</v>
      </c>
      <c r="K995">
        <v>1</v>
      </c>
      <c r="L995">
        <v>5</v>
      </c>
      <c r="M995">
        <v>237</v>
      </c>
      <c r="N995">
        <v>494</v>
      </c>
      <c r="O995">
        <v>10</v>
      </c>
      <c r="P995">
        <v>491</v>
      </c>
      <c r="Q995">
        <v>97</v>
      </c>
      <c r="R995">
        <v>79</v>
      </c>
      <c r="S995">
        <v>14</v>
      </c>
      <c r="T995">
        <v>4</v>
      </c>
      <c r="U995">
        <v>15</v>
      </c>
      <c r="V995">
        <v>12</v>
      </c>
      <c r="W995">
        <v>10</v>
      </c>
      <c r="X995">
        <v>9</v>
      </c>
      <c r="Y995">
        <v>207</v>
      </c>
      <c r="Z995">
        <v>8</v>
      </c>
      <c r="AA995">
        <v>11</v>
      </c>
      <c r="AB995">
        <v>7</v>
      </c>
      <c r="AC995">
        <v>1</v>
      </c>
      <c r="AD995">
        <v>0</v>
      </c>
      <c r="AE995">
        <v>0</v>
      </c>
      <c r="AF995">
        <v>0</v>
      </c>
      <c r="AK995">
        <v>6</v>
      </c>
      <c r="AL995">
        <v>1</v>
      </c>
      <c r="AM995">
        <v>1</v>
      </c>
      <c r="AN995">
        <v>0</v>
      </c>
      <c r="AT995">
        <v>2</v>
      </c>
      <c r="BC995">
        <v>0</v>
      </c>
      <c r="BD995">
        <v>7</v>
      </c>
      <c r="BE995">
        <v>491</v>
      </c>
      <c r="BF995">
        <v>491</v>
      </c>
      <c r="BG995">
        <v>707</v>
      </c>
      <c r="BJ995">
        <v>1</v>
      </c>
      <c r="BL995" t="s">
        <v>2116</v>
      </c>
      <c r="BM995" s="4">
        <v>43283.102777777778</v>
      </c>
      <c r="BN995" s="4">
        <v>43283.106782407405</v>
      </c>
      <c r="BO995" s="4">
        <v>43283.106782407405</v>
      </c>
      <c r="BP995" t="s">
        <v>92</v>
      </c>
      <c r="BQ995" t="s">
        <v>93</v>
      </c>
      <c r="BR995" t="s">
        <v>94</v>
      </c>
    </row>
    <row r="996" spans="1:70" x14ac:dyDescent="0.3">
      <c r="A996" t="str">
        <f>"200537B0100"</f>
        <v>200537B0100</v>
      </c>
      <c r="B996" t="s">
        <v>2117</v>
      </c>
      <c r="C996">
        <v>20</v>
      </c>
      <c r="D996" t="s">
        <v>88</v>
      </c>
      <c r="E996">
        <v>66</v>
      </c>
      <c r="F996" t="s">
        <v>1713</v>
      </c>
      <c r="G996">
        <v>537</v>
      </c>
      <c r="H996">
        <v>1</v>
      </c>
      <c r="I996" t="s">
        <v>90</v>
      </c>
      <c r="J996">
        <v>0</v>
      </c>
      <c r="K996">
        <v>1</v>
      </c>
      <c r="L996">
        <v>5</v>
      </c>
      <c r="M996">
        <v>181</v>
      </c>
      <c r="N996">
        <v>390</v>
      </c>
      <c r="O996">
        <v>5</v>
      </c>
      <c r="P996">
        <v>386</v>
      </c>
      <c r="Q996">
        <v>70</v>
      </c>
      <c r="R996">
        <v>60</v>
      </c>
      <c r="S996">
        <v>16</v>
      </c>
      <c r="T996">
        <v>1</v>
      </c>
      <c r="U996">
        <v>12</v>
      </c>
      <c r="V996">
        <v>7</v>
      </c>
      <c r="W996">
        <v>2</v>
      </c>
      <c r="X996">
        <v>1</v>
      </c>
      <c r="Y996">
        <v>192</v>
      </c>
      <c r="Z996">
        <v>6</v>
      </c>
      <c r="AA996">
        <v>0</v>
      </c>
      <c r="AB996">
        <v>5</v>
      </c>
      <c r="AC996">
        <v>0</v>
      </c>
      <c r="AD996">
        <v>1</v>
      </c>
      <c r="AE996">
        <v>1</v>
      </c>
      <c r="AF996">
        <v>0</v>
      </c>
      <c r="AK996">
        <v>3</v>
      </c>
      <c r="AL996">
        <v>2</v>
      </c>
      <c r="AM996">
        <v>0</v>
      </c>
      <c r="AN996">
        <v>1</v>
      </c>
      <c r="AT996">
        <v>0</v>
      </c>
      <c r="BC996">
        <v>0</v>
      </c>
      <c r="BD996">
        <v>7</v>
      </c>
      <c r="BE996">
        <v>386</v>
      </c>
      <c r="BF996">
        <v>387</v>
      </c>
      <c r="BG996">
        <v>548</v>
      </c>
      <c r="BJ996">
        <v>1</v>
      </c>
      <c r="BL996" t="s">
        <v>2118</v>
      </c>
      <c r="BM996" s="4">
        <v>43283.067361111112</v>
      </c>
      <c r="BN996" s="4">
        <v>43283.071608796294</v>
      </c>
      <c r="BO996" s="4">
        <v>43283.071608796294</v>
      </c>
      <c r="BP996" t="s">
        <v>92</v>
      </c>
      <c r="BQ996" t="s">
        <v>93</v>
      </c>
      <c r="BR996" t="s">
        <v>94</v>
      </c>
    </row>
    <row r="997" spans="1:70" x14ac:dyDescent="0.3">
      <c r="A997" t="str">
        <f>"200537C0100"</f>
        <v>200537C0100</v>
      </c>
      <c r="B997" t="s">
        <v>2119</v>
      </c>
      <c r="C997">
        <v>20</v>
      </c>
      <c r="D997" t="s">
        <v>88</v>
      </c>
      <c r="E997">
        <v>66</v>
      </c>
      <c r="F997" t="s">
        <v>1713</v>
      </c>
      <c r="G997">
        <v>537</v>
      </c>
      <c r="H997">
        <v>1</v>
      </c>
      <c r="I997" t="s">
        <v>98</v>
      </c>
      <c r="J997">
        <v>0</v>
      </c>
      <c r="K997">
        <v>1</v>
      </c>
      <c r="L997">
        <v>5</v>
      </c>
      <c r="M997">
        <v>192</v>
      </c>
      <c r="N997">
        <v>374</v>
      </c>
      <c r="O997">
        <v>8</v>
      </c>
      <c r="P997">
        <v>377</v>
      </c>
      <c r="Q997">
        <v>51</v>
      </c>
      <c r="R997">
        <v>54</v>
      </c>
      <c r="S997">
        <v>10</v>
      </c>
      <c r="T997">
        <v>5</v>
      </c>
      <c r="U997">
        <v>14</v>
      </c>
      <c r="V997">
        <v>6</v>
      </c>
      <c r="W997">
        <v>8</v>
      </c>
      <c r="X997">
        <v>5</v>
      </c>
      <c r="Y997">
        <v>180</v>
      </c>
      <c r="Z997">
        <v>7</v>
      </c>
      <c r="AA997">
        <v>9</v>
      </c>
      <c r="AB997">
        <v>7</v>
      </c>
      <c r="AC997">
        <v>1</v>
      </c>
      <c r="AD997">
        <v>0</v>
      </c>
      <c r="AE997">
        <v>1</v>
      </c>
      <c r="AF997">
        <v>0</v>
      </c>
      <c r="AK997">
        <v>5</v>
      </c>
      <c r="AL997">
        <v>1</v>
      </c>
      <c r="AM997">
        <v>0</v>
      </c>
      <c r="AN997">
        <v>1</v>
      </c>
      <c r="AT997">
        <v>0</v>
      </c>
      <c r="BC997">
        <v>0</v>
      </c>
      <c r="BD997">
        <v>12</v>
      </c>
      <c r="BE997">
        <v>377</v>
      </c>
      <c r="BF997">
        <v>377</v>
      </c>
      <c r="BG997">
        <v>547</v>
      </c>
      <c r="BJ997">
        <v>1</v>
      </c>
      <c r="BL997" t="s">
        <v>2120</v>
      </c>
      <c r="BM997" s="4">
        <v>43283.134027777778</v>
      </c>
      <c r="BN997" s="4">
        <v>43283.140196759261</v>
      </c>
      <c r="BO997" s="4">
        <v>43283.140196759261</v>
      </c>
      <c r="BP997" t="s">
        <v>92</v>
      </c>
      <c r="BQ997" t="s">
        <v>93</v>
      </c>
      <c r="BR997" t="s">
        <v>94</v>
      </c>
    </row>
    <row r="998" spans="1:70" x14ac:dyDescent="0.3">
      <c r="A998" t="str">
        <f>"200538B0100"</f>
        <v>200538B0100</v>
      </c>
      <c r="B998" t="s">
        <v>2121</v>
      </c>
      <c r="C998">
        <v>20</v>
      </c>
      <c r="D998" t="s">
        <v>88</v>
      </c>
      <c r="E998">
        <v>66</v>
      </c>
      <c r="F998" t="s">
        <v>1713</v>
      </c>
      <c r="G998">
        <v>538</v>
      </c>
      <c r="H998">
        <v>1</v>
      </c>
      <c r="I998" t="s">
        <v>90</v>
      </c>
      <c r="J998">
        <v>0</v>
      </c>
      <c r="K998">
        <v>1</v>
      </c>
      <c r="L998">
        <v>5</v>
      </c>
      <c r="M998">
        <v>172</v>
      </c>
      <c r="N998">
        <v>366</v>
      </c>
      <c r="O998">
        <v>5</v>
      </c>
      <c r="P998">
        <v>366</v>
      </c>
      <c r="Q998">
        <v>52</v>
      </c>
      <c r="R998">
        <v>63</v>
      </c>
      <c r="S998">
        <v>10</v>
      </c>
      <c r="T998">
        <v>3</v>
      </c>
      <c r="U998">
        <v>20</v>
      </c>
      <c r="V998">
        <v>7</v>
      </c>
      <c r="W998">
        <v>10</v>
      </c>
      <c r="X998">
        <v>3</v>
      </c>
      <c r="Y998">
        <v>164</v>
      </c>
      <c r="Z998">
        <v>3</v>
      </c>
      <c r="AA998">
        <v>0</v>
      </c>
      <c r="AB998">
        <v>5</v>
      </c>
      <c r="AC998">
        <v>2</v>
      </c>
      <c r="AD998">
        <v>0</v>
      </c>
      <c r="AE998">
        <v>1</v>
      </c>
      <c r="AF998">
        <v>0</v>
      </c>
      <c r="AK998">
        <v>4</v>
      </c>
      <c r="AL998">
        <v>2</v>
      </c>
      <c r="AM998">
        <v>0</v>
      </c>
      <c r="AN998">
        <v>0</v>
      </c>
      <c r="AT998">
        <v>2</v>
      </c>
      <c r="BC998">
        <v>0</v>
      </c>
      <c r="BD998">
        <v>12</v>
      </c>
      <c r="BE998">
        <v>363</v>
      </c>
      <c r="BF998">
        <v>363</v>
      </c>
      <c r="BG998">
        <v>515</v>
      </c>
      <c r="BJ998">
        <v>1</v>
      </c>
      <c r="BL998" t="s">
        <v>2122</v>
      </c>
      <c r="BM998" s="4">
        <v>43283.102083333331</v>
      </c>
      <c r="BN998" s="4">
        <v>43283.10597222222</v>
      </c>
      <c r="BO998" s="4">
        <v>43283.10597222222</v>
      </c>
      <c r="BP998" t="s">
        <v>92</v>
      </c>
      <c r="BQ998" t="s">
        <v>93</v>
      </c>
      <c r="BR998" t="s">
        <v>94</v>
      </c>
    </row>
    <row r="999" spans="1:70" x14ac:dyDescent="0.3">
      <c r="A999" t="str">
        <f>"200538C0100"</f>
        <v>200538C0100</v>
      </c>
      <c r="B999" t="s">
        <v>2123</v>
      </c>
      <c r="C999">
        <v>20</v>
      </c>
      <c r="D999" t="s">
        <v>88</v>
      </c>
      <c r="E999">
        <v>66</v>
      </c>
      <c r="F999" t="s">
        <v>1713</v>
      </c>
      <c r="G999">
        <v>538</v>
      </c>
      <c r="H999">
        <v>1</v>
      </c>
      <c r="I999" t="s">
        <v>98</v>
      </c>
      <c r="J999">
        <v>0</v>
      </c>
      <c r="K999">
        <v>1</v>
      </c>
      <c r="L999">
        <v>5</v>
      </c>
      <c r="M999">
        <v>158</v>
      </c>
      <c r="N999">
        <v>381</v>
      </c>
      <c r="O999">
        <v>10</v>
      </c>
      <c r="P999">
        <v>381</v>
      </c>
      <c r="Q999">
        <v>50</v>
      </c>
      <c r="R999">
        <v>52</v>
      </c>
      <c r="S999">
        <v>6</v>
      </c>
      <c r="T999">
        <v>4</v>
      </c>
      <c r="U999">
        <v>16</v>
      </c>
      <c r="V999">
        <v>10</v>
      </c>
      <c r="W999">
        <v>7</v>
      </c>
      <c r="X999">
        <v>6</v>
      </c>
      <c r="Y999">
        <v>201</v>
      </c>
      <c r="Z999">
        <v>5</v>
      </c>
      <c r="AA999">
        <v>1</v>
      </c>
      <c r="AB999">
        <v>7</v>
      </c>
      <c r="AC999">
        <v>1</v>
      </c>
      <c r="AD999">
        <v>2</v>
      </c>
      <c r="AE999">
        <v>0</v>
      </c>
      <c r="AF999">
        <v>0</v>
      </c>
      <c r="AK999">
        <v>6</v>
      </c>
      <c r="AL999">
        <v>0</v>
      </c>
      <c r="AM999">
        <v>0</v>
      </c>
      <c r="AN999">
        <v>0</v>
      </c>
      <c r="AT999">
        <v>0</v>
      </c>
      <c r="BC999">
        <v>0</v>
      </c>
      <c r="BD999">
        <v>7</v>
      </c>
      <c r="BE999">
        <v>381</v>
      </c>
      <c r="BF999">
        <v>381</v>
      </c>
      <c r="BG999">
        <v>515</v>
      </c>
      <c r="BJ999">
        <v>1</v>
      </c>
      <c r="BL999" t="s">
        <v>2124</v>
      </c>
      <c r="BM999" s="4">
        <v>43283.103472222225</v>
      </c>
      <c r="BN999" s="4">
        <v>43283.110312500001</v>
      </c>
      <c r="BO999" s="4">
        <v>43283.110312500001</v>
      </c>
      <c r="BP999" t="s">
        <v>92</v>
      </c>
      <c r="BQ999" t="s">
        <v>93</v>
      </c>
      <c r="BR999" t="s">
        <v>94</v>
      </c>
    </row>
    <row r="1000" spans="1:70" x14ac:dyDescent="0.3">
      <c r="A1000" t="str">
        <f>"200539B0100"</f>
        <v>200539B0100</v>
      </c>
      <c r="B1000" t="s">
        <v>2125</v>
      </c>
      <c r="C1000">
        <v>20</v>
      </c>
      <c r="D1000" t="s">
        <v>88</v>
      </c>
      <c r="E1000">
        <v>66</v>
      </c>
      <c r="F1000" t="s">
        <v>1713</v>
      </c>
      <c r="G1000">
        <v>539</v>
      </c>
      <c r="H1000">
        <v>1</v>
      </c>
      <c r="I1000" t="s">
        <v>90</v>
      </c>
      <c r="J1000">
        <v>0</v>
      </c>
      <c r="K1000">
        <v>1</v>
      </c>
      <c r="L1000">
        <v>5</v>
      </c>
      <c r="M1000">
        <v>156</v>
      </c>
      <c r="N1000">
        <v>282</v>
      </c>
      <c r="O1000">
        <v>4</v>
      </c>
      <c r="P1000">
        <v>271</v>
      </c>
      <c r="Q1000">
        <v>45</v>
      </c>
      <c r="R1000">
        <v>56</v>
      </c>
      <c r="S1000">
        <v>9</v>
      </c>
      <c r="T1000">
        <v>1</v>
      </c>
      <c r="U1000">
        <v>8</v>
      </c>
      <c r="V1000">
        <v>4</v>
      </c>
      <c r="W1000">
        <v>4</v>
      </c>
      <c r="X1000">
        <v>5</v>
      </c>
      <c r="Y1000">
        <v>105</v>
      </c>
      <c r="Z1000">
        <v>4</v>
      </c>
      <c r="AA1000">
        <v>5</v>
      </c>
      <c r="AB1000">
        <v>8</v>
      </c>
      <c r="AC1000">
        <v>3</v>
      </c>
      <c r="AD1000">
        <v>1</v>
      </c>
      <c r="AE1000">
        <v>0</v>
      </c>
      <c r="AF1000">
        <v>0</v>
      </c>
      <c r="AK1000">
        <v>1</v>
      </c>
      <c r="AL1000">
        <v>3</v>
      </c>
      <c r="AM1000">
        <v>0</v>
      </c>
      <c r="AN1000">
        <v>0</v>
      </c>
      <c r="AT1000">
        <v>0</v>
      </c>
      <c r="BC1000">
        <v>0</v>
      </c>
      <c r="BD1000">
        <v>9</v>
      </c>
      <c r="BE1000">
        <v>283</v>
      </c>
      <c r="BF1000">
        <v>271</v>
      </c>
      <c r="BG1000">
        <v>418</v>
      </c>
      <c r="BJ1000">
        <v>1</v>
      </c>
      <c r="BL1000" t="s">
        <v>2126</v>
      </c>
      <c r="BM1000" s="4">
        <v>43283.097916666666</v>
      </c>
      <c r="BN1000" s="4">
        <v>43283.101851851854</v>
      </c>
      <c r="BO1000" s="4">
        <v>43283.101851851854</v>
      </c>
      <c r="BP1000" t="s">
        <v>92</v>
      </c>
      <c r="BQ1000" t="s">
        <v>93</v>
      </c>
      <c r="BR1000" t="s">
        <v>94</v>
      </c>
    </row>
    <row r="1001" spans="1:70" x14ac:dyDescent="0.3">
      <c r="A1001" t="str">
        <f>"200539C0100"</f>
        <v>200539C0100</v>
      </c>
      <c r="B1001" t="s">
        <v>2127</v>
      </c>
      <c r="C1001">
        <v>20</v>
      </c>
      <c r="D1001" t="s">
        <v>88</v>
      </c>
      <c r="E1001">
        <v>66</v>
      </c>
      <c r="F1001" t="s">
        <v>1713</v>
      </c>
      <c r="G1001">
        <v>539</v>
      </c>
      <c r="H1001">
        <v>1</v>
      </c>
      <c r="I1001" t="s">
        <v>98</v>
      </c>
      <c r="J1001">
        <v>0</v>
      </c>
      <c r="K1001">
        <v>1</v>
      </c>
      <c r="L1001">
        <v>5</v>
      </c>
      <c r="M1001">
        <v>137</v>
      </c>
      <c r="N1001">
        <v>301</v>
      </c>
      <c r="O1001">
        <v>2</v>
      </c>
      <c r="P1001">
        <v>301</v>
      </c>
      <c r="Q1001">
        <v>51</v>
      </c>
      <c r="R1001">
        <v>58</v>
      </c>
      <c r="S1001">
        <v>8</v>
      </c>
      <c r="T1001">
        <v>11</v>
      </c>
      <c r="U1001">
        <v>12</v>
      </c>
      <c r="V1001">
        <v>5</v>
      </c>
      <c r="W1001">
        <v>5</v>
      </c>
      <c r="X1001">
        <v>7</v>
      </c>
      <c r="Y1001">
        <v>126</v>
      </c>
      <c r="Z1001">
        <v>2</v>
      </c>
      <c r="AA1001">
        <v>4</v>
      </c>
      <c r="AB1001">
        <v>3</v>
      </c>
      <c r="AC1001">
        <v>0</v>
      </c>
      <c r="AD1001">
        <v>1</v>
      </c>
      <c r="AE1001">
        <v>0</v>
      </c>
      <c r="AF1001">
        <v>0</v>
      </c>
      <c r="AK1001">
        <v>3</v>
      </c>
      <c r="AL1001">
        <v>0</v>
      </c>
      <c r="AM1001">
        <v>0</v>
      </c>
      <c r="AN1001">
        <v>0</v>
      </c>
      <c r="AT1001">
        <v>0</v>
      </c>
      <c r="BC1001">
        <v>0</v>
      </c>
      <c r="BD1001">
        <v>5</v>
      </c>
      <c r="BE1001">
        <v>301</v>
      </c>
      <c r="BF1001">
        <v>301</v>
      </c>
      <c r="BG1001">
        <v>417</v>
      </c>
      <c r="BJ1001">
        <v>1</v>
      </c>
      <c r="BL1001" t="s">
        <v>2128</v>
      </c>
      <c r="BM1001" s="4">
        <v>43283.098611111112</v>
      </c>
      <c r="BN1001" s="4">
        <v>43283.102349537039</v>
      </c>
      <c r="BO1001" s="4">
        <v>43283.102349537039</v>
      </c>
      <c r="BP1001" t="s">
        <v>92</v>
      </c>
      <c r="BQ1001" t="s">
        <v>93</v>
      </c>
      <c r="BR1001" t="s">
        <v>94</v>
      </c>
    </row>
    <row r="1002" spans="1:70" x14ac:dyDescent="0.3">
      <c r="A1002" t="str">
        <f>"200540B0100"</f>
        <v>200540B0100</v>
      </c>
      <c r="B1002" t="s">
        <v>2129</v>
      </c>
      <c r="C1002">
        <v>20</v>
      </c>
      <c r="D1002" t="s">
        <v>88</v>
      </c>
      <c r="E1002">
        <v>66</v>
      </c>
      <c r="F1002" t="s">
        <v>1713</v>
      </c>
      <c r="G1002">
        <v>540</v>
      </c>
      <c r="H1002">
        <v>1</v>
      </c>
      <c r="I1002" t="s">
        <v>90</v>
      </c>
      <c r="J1002">
        <v>0</v>
      </c>
      <c r="K1002">
        <v>1</v>
      </c>
      <c r="L1002">
        <v>5</v>
      </c>
      <c r="M1002">
        <v>318</v>
      </c>
      <c r="N1002">
        <v>366</v>
      </c>
      <c r="O1002">
        <v>2</v>
      </c>
      <c r="P1002">
        <v>365</v>
      </c>
      <c r="Q1002">
        <v>78</v>
      </c>
      <c r="R1002">
        <v>51</v>
      </c>
      <c r="S1002">
        <v>14</v>
      </c>
      <c r="T1002">
        <v>7</v>
      </c>
      <c r="U1002">
        <v>20</v>
      </c>
      <c r="V1002">
        <v>7</v>
      </c>
      <c r="W1002">
        <v>6</v>
      </c>
      <c r="X1002">
        <v>1</v>
      </c>
      <c r="Y1002">
        <v>150</v>
      </c>
      <c r="Z1002">
        <v>3</v>
      </c>
      <c r="AA1002">
        <v>0</v>
      </c>
      <c r="AB1002">
        <v>7</v>
      </c>
      <c r="AC1002">
        <v>0</v>
      </c>
      <c r="AD1002">
        <v>0</v>
      </c>
      <c r="AE1002">
        <v>0</v>
      </c>
      <c r="AF1002">
        <v>0</v>
      </c>
      <c r="AK1002">
        <v>5</v>
      </c>
      <c r="AL1002">
        <v>1</v>
      </c>
      <c r="AM1002">
        <v>1</v>
      </c>
      <c r="AN1002">
        <v>1</v>
      </c>
      <c r="AT1002">
        <v>4</v>
      </c>
      <c r="BC1002">
        <v>0</v>
      </c>
      <c r="BD1002">
        <v>9</v>
      </c>
      <c r="BE1002">
        <v>365</v>
      </c>
      <c r="BF1002">
        <v>365</v>
      </c>
      <c r="BG1002">
        <v>663</v>
      </c>
      <c r="BJ1002">
        <v>1</v>
      </c>
      <c r="BL1002" t="s">
        <v>2130</v>
      </c>
      <c r="BM1002" s="4">
        <v>43283.047361111108</v>
      </c>
      <c r="BN1002" s="4">
        <v>43283.052141203705</v>
      </c>
      <c r="BO1002" s="4">
        <v>43283.052141203705</v>
      </c>
      <c r="BP1002" t="s">
        <v>339</v>
      </c>
      <c r="BQ1002" t="s">
        <v>340</v>
      </c>
      <c r="BR1002" t="s">
        <v>94</v>
      </c>
    </row>
    <row r="1003" spans="1:70" x14ac:dyDescent="0.3">
      <c r="A1003" t="str">
        <f>"200540C0100"</f>
        <v>200540C0100</v>
      </c>
      <c r="B1003" t="s">
        <v>2131</v>
      </c>
      <c r="C1003">
        <v>20</v>
      </c>
      <c r="D1003" t="s">
        <v>88</v>
      </c>
      <c r="E1003">
        <v>66</v>
      </c>
      <c r="F1003" t="s">
        <v>1713</v>
      </c>
      <c r="G1003">
        <v>540</v>
      </c>
      <c r="H1003">
        <v>1</v>
      </c>
      <c r="I1003" t="s">
        <v>98</v>
      </c>
      <c r="J1003">
        <v>0</v>
      </c>
      <c r="K1003">
        <v>1</v>
      </c>
      <c r="L1003">
        <v>5</v>
      </c>
      <c r="M1003">
        <v>338</v>
      </c>
      <c r="N1003">
        <v>346</v>
      </c>
      <c r="O1003">
        <v>2</v>
      </c>
      <c r="P1003">
        <v>348</v>
      </c>
      <c r="Q1003">
        <v>44</v>
      </c>
      <c r="R1003">
        <v>43</v>
      </c>
      <c r="S1003">
        <v>18</v>
      </c>
      <c r="T1003">
        <v>2</v>
      </c>
      <c r="U1003">
        <v>20</v>
      </c>
      <c r="V1003">
        <v>7</v>
      </c>
      <c r="W1003">
        <v>6</v>
      </c>
      <c r="X1003">
        <v>4</v>
      </c>
      <c r="Y1003">
        <v>166</v>
      </c>
      <c r="Z1003">
        <v>3</v>
      </c>
      <c r="AA1003">
        <v>4</v>
      </c>
      <c r="AB1003">
        <v>8</v>
      </c>
      <c r="AC1003">
        <v>2</v>
      </c>
      <c r="AD1003">
        <v>2</v>
      </c>
      <c r="AE1003">
        <v>0</v>
      </c>
      <c r="AF1003">
        <v>0</v>
      </c>
      <c r="AK1003">
        <v>5</v>
      </c>
      <c r="AL1003">
        <v>3</v>
      </c>
      <c r="AM1003">
        <v>0</v>
      </c>
      <c r="AN1003">
        <v>0</v>
      </c>
      <c r="AT1003">
        <v>2</v>
      </c>
      <c r="BC1003">
        <v>1</v>
      </c>
      <c r="BD1003">
        <v>8</v>
      </c>
      <c r="BE1003">
        <v>348</v>
      </c>
      <c r="BF1003">
        <v>348</v>
      </c>
      <c r="BG1003">
        <v>662</v>
      </c>
      <c r="BJ1003">
        <v>1</v>
      </c>
      <c r="BL1003" t="s">
        <v>2132</v>
      </c>
      <c r="BM1003" s="4">
        <v>43283.138888888891</v>
      </c>
      <c r="BN1003" s="4">
        <v>43283.144375000003</v>
      </c>
      <c r="BO1003" s="4">
        <v>43283.144375000003</v>
      </c>
      <c r="BP1003" t="s">
        <v>92</v>
      </c>
      <c r="BQ1003" t="s">
        <v>93</v>
      </c>
      <c r="BR1003" t="s">
        <v>94</v>
      </c>
    </row>
    <row r="1004" spans="1:70" x14ac:dyDescent="0.3">
      <c r="A1004" t="str">
        <f>"200540C0200"</f>
        <v>200540C0200</v>
      </c>
      <c r="B1004" t="s">
        <v>2133</v>
      </c>
      <c r="C1004">
        <v>20</v>
      </c>
      <c r="D1004" t="s">
        <v>88</v>
      </c>
      <c r="E1004">
        <v>66</v>
      </c>
      <c r="F1004" t="s">
        <v>1713</v>
      </c>
      <c r="G1004">
        <v>540</v>
      </c>
      <c r="H1004">
        <v>2</v>
      </c>
      <c r="I1004" t="s">
        <v>98</v>
      </c>
      <c r="J1004">
        <v>0</v>
      </c>
      <c r="K1004">
        <v>1</v>
      </c>
      <c r="L1004">
        <v>5</v>
      </c>
      <c r="M1004">
        <v>329</v>
      </c>
      <c r="N1004">
        <v>355</v>
      </c>
      <c r="O1004">
        <v>3</v>
      </c>
      <c r="P1004">
        <v>356</v>
      </c>
      <c r="Q1004">
        <v>54</v>
      </c>
      <c r="R1004">
        <v>37</v>
      </c>
      <c r="S1004">
        <v>8</v>
      </c>
      <c r="T1004">
        <v>5</v>
      </c>
      <c r="U1004">
        <v>13</v>
      </c>
      <c r="V1004">
        <v>5</v>
      </c>
      <c r="W1004">
        <v>5</v>
      </c>
      <c r="X1004">
        <v>5</v>
      </c>
      <c r="Y1004">
        <v>183</v>
      </c>
      <c r="Z1004">
        <v>3</v>
      </c>
      <c r="AA1004">
        <v>1</v>
      </c>
      <c r="AB1004">
        <v>5</v>
      </c>
      <c r="AC1004">
        <v>3</v>
      </c>
      <c r="AD1004">
        <v>1</v>
      </c>
      <c r="AE1004">
        <v>0</v>
      </c>
      <c r="AF1004">
        <v>0</v>
      </c>
      <c r="AK1004">
        <v>10</v>
      </c>
      <c r="AL1004">
        <v>3</v>
      </c>
      <c r="AM1004">
        <v>0</v>
      </c>
      <c r="AN1004">
        <v>2</v>
      </c>
      <c r="AT1004">
        <v>1</v>
      </c>
      <c r="BC1004">
        <v>0</v>
      </c>
      <c r="BD1004">
        <v>12</v>
      </c>
      <c r="BE1004">
        <v>356</v>
      </c>
      <c r="BF1004">
        <v>356</v>
      </c>
      <c r="BG1004">
        <v>662</v>
      </c>
      <c r="BJ1004">
        <v>1</v>
      </c>
      <c r="BL1004" t="s">
        <v>2134</v>
      </c>
      <c r="BM1004" s="4">
        <v>43283.05201388889</v>
      </c>
      <c r="BN1004" s="4">
        <v>43283.054965277777</v>
      </c>
      <c r="BO1004" s="4">
        <v>43283.054965277777</v>
      </c>
      <c r="BP1004" t="s">
        <v>339</v>
      </c>
      <c r="BQ1004" t="s">
        <v>340</v>
      </c>
      <c r="BR1004" t="s">
        <v>94</v>
      </c>
    </row>
    <row r="1005" spans="1:70" x14ac:dyDescent="0.3">
      <c r="A1005" t="str">
        <f>"200541B0100"</f>
        <v>200541B0100</v>
      </c>
      <c r="B1005" t="s">
        <v>2135</v>
      </c>
      <c r="C1005">
        <v>20</v>
      </c>
      <c r="D1005" t="s">
        <v>88</v>
      </c>
      <c r="E1005">
        <v>66</v>
      </c>
      <c r="F1005" t="s">
        <v>1713</v>
      </c>
      <c r="G1005">
        <v>541</v>
      </c>
      <c r="H1005">
        <v>1</v>
      </c>
      <c r="I1005" t="s">
        <v>90</v>
      </c>
      <c r="J1005">
        <v>0</v>
      </c>
      <c r="K1005">
        <v>1</v>
      </c>
      <c r="L1005">
        <v>5</v>
      </c>
      <c r="M1005">
        <v>245</v>
      </c>
      <c r="N1005">
        <v>364</v>
      </c>
      <c r="O1005">
        <v>2</v>
      </c>
      <c r="P1005">
        <v>366</v>
      </c>
      <c r="Q1005">
        <v>61</v>
      </c>
      <c r="R1005">
        <v>28</v>
      </c>
      <c r="S1005">
        <v>13</v>
      </c>
      <c r="T1005">
        <v>5</v>
      </c>
      <c r="U1005">
        <v>19</v>
      </c>
      <c r="V1005">
        <v>10</v>
      </c>
      <c r="W1005">
        <v>7</v>
      </c>
      <c r="X1005">
        <v>3</v>
      </c>
      <c r="Y1005">
        <v>183</v>
      </c>
      <c r="Z1005">
        <v>5</v>
      </c>
      <c r="AA1005">
        <v>8</v>
      </c>
      <c r="AB1005">
        <v>9</v>
      </c>
      <c r="AC1005">
        <v>1</v>
      </c>
      <c r="AD1005">
        <v>1</v>
      </c>
      <c r="AE1005">
        <v>0</v>
      </c>
      <c r="AF1005">
        <v>0</v>
      </c>
      <c r="AK1005">
        <v>3</v>
      </c>
      <c r="AL1005">
        <v>2</v>
      </c>
      <c r="AM1005">
        <v>0</v>
      </c>
      <c r="AN1005">
        <v>1</v>
      </c>
      <c r="AT1005">
        <v>0</v>
      </c>
      <c r="BC1005">
        <v>0</v>
      </c>
      <c r="BD1005">
        <v>7</v>
      </c>
      <c r="BE1005">
        <v>366</v>
      </c>
      <c r="BF1005">
        <v>366</v>
      </c>
      <c r="BG1005">
        <v>587</v>
      </c>
      <c r="BJ1005">
        <v>1</v>
      </c>
      <c r="BL1005" t="s">
        <v>2136</v>
      </c>
      <c r="BM1005" s="4">
        <v>43283.147916666669</v>
      </c>
      <c r="BN1005" s="4">
        <v>43283.156550925924</v>
      </c>
      <c r="BO1005" s="4">
        <v>43283.156550925924</v>
      </c>
      <c r="BP1005" t="s">
        <v>92</v>
      </c>
      <c r="BQ1005" t="s">
        <v>93</v>
      </c>
      <c r="BR1005" t="s">
        <v>94</v>
      </c>
    </row>
    <row r="1006" spans="1:70" x14ac:dyDescent="0.3">
      <c r="A1006" t="str">
        <f>"200541C0100"</f>
        <v>200541C0100</v>
      </c>
      <c r="B1006" t="s">
        <v>2137</v>
      </c>
      <c r="C1006">
        <v>20</v>
      </c>
      <c r="D1006" t="s">
        <v>88</v>
      </c>
      <c r="E1006">
        <v>66</v>
      </c>
      <c r="F1006" t="s">
        <v>1713</v>
      </c>
      <c r="G1006">
        <v>541</v>
      </c>
      <c r="H1006">
        <v>1</v>
      </c>
      <c r="I1006" t="s">
        <v>98</v>
      </c>
      <c r="J1006">
        <v>0</v>
      </c>
      <c r="K1006">
        <v>1</v>
      </c>
      <c r="L1006">
        <v>5</v>
      </c>
      <c r="M1006">
        <v>234</v>
      </c>
      <c r="N1006">
        <v>375</v>
      </c>
      <c r="O1006">
        <v>0</v>
      </c>
      <c r="P1006">
        <v>0</v>
      </c>
      <c r="Q1006">
        <v>51</v>
      </c>
      <c r="R1006">
        <v>21</v>
      </c>
      <c r="S1006">
        <v>19</v>
      </c>
      <c r="T1006">
        <v>6</v>
      </c>
      <c r="U1006">
        <v>17</v>
      </c>
      <c r="V1006">
        <v>15</v>
      </c>
      <c r="W1006">
        <v>2</v>
      </c>
      <c r="X1006">
        <v>6</v>
      </c>
      <c r="Y1006">
        <v>201</v>
      </c>
      <c r="Z1006">
        <v>8</v>
      </c>
      <c r="AA1006">
        <v>1</v>
      </c>
      <c r="AB1006">
        <v>10</v>
      </c>
      <c r="AC1006">
        <v>0</v>
      </c>
      <c r="AD1006">
        <v>1</v>
      </c>
      <c r="AE1006">
        <v>1</v>
      </c>
      <c r="AF1006">
        <v>0</v>
      </c>
      <c r="AK1006">
        <v>5</v>
      </c>
      <c r="AL1006">
        <v>1</v>
      </c>
      <c r="AM1006">
        <v>0</v>
      </c>
      <c r="AN1006">
        <v>2</v>
      </c>
      <c r="AT1006">
        <v>1</v>
      </c>
      <c r="BC1006">
        <v>0</v>
      </c>
      <c r="BD1006">
        <v>7</v>
      </c>
      <c r="BE1006" t="s">
        <v>105</v>
      </c>
      <c r="BF1006">
        <v>375</v>
      </c>
      <c r="BG1006">
        <v>587</v>
      </c>
      <c r="BJ1006">
        <v>1</v>
      </c>
      <c r="BL1006" t="s">
        <v>2138</v>
      </c>
      <c r="BM1006" s="4">
        <v>43283.164583333331</v>
      </c>
      <c r="BN1006" s="4">
        <v>43283.179270833331</v>
      </c>
      <c r="BO1006" s="4">
        <v>43283.179270833331</v>
      </c>
      <c r="BP1006" t="s">
        <v>92</v>
      </c>
      <c r="BQ1006" t="s">
        <v>93</v>
      </c>
      <c r="BR1006" t="s">
        <v>94</v>
      </c>
    </row>
    <row r="1007" spans="1:70" x14ac:dyDescent="0.3">
      <c r="A1007" t="str">
        <f>"200541C0200"</f>
        <v>200541C0200</v>
      </c>
      <c r="B1007" t="s">
        <v>2139</v>
      </c>
      <c r="C1007">
        <v>20</v>
      </c>
      <c r="D1007" t="s">
        <v>88</v>
      </c>
      <c r="E1007">
        <v>66</v>
      </c>
      <c r="F1007" t="s">
        <v>1713</v>
      </c>
      <c r="G1007">
        <v>541</v>
      </c>
      <c r="H1007">
        <v>2</v>
      </c>
      <c r="I1007" t="s">
        <v>98</v>
      </c>
      <c r="J1007">
        <v>0</v>
      </c>
      <c r="K1007">
        <v>1</v>
      </c>
      <c r="L1007">
        <v>5</v>
      </c>
      <c r="BG1007">
        <v>587</v>
      </c>
      <c r="BI1007" t="s">
        <v>122</v>
      </c>
      <c r="BJ1007">
        <v>0</v>
      </c>
      <c r="BL1007" t="s">
        <v>2140</v>
      </c>
      <c r="BM1007" s="4">
        <v>43283.550694444442</v>
      </c>
      <c r="BN1007" s="4">
        <v>43283.553715277776</v>
      </c>
      <c r="BO1007" s="4">
        <v>43283.553715277776</v>
      </c>
      <c r="BP1007" t="s">
        <v>92</v>
      </c>
      <c r="BQ1007" t="s">
        <v>93</v>
      </c>
      <c r="BR1007" t="s">
        <v>94</v>
      </c>
    </row>
    <row r="1008" spans="1:70" x14ac:dyDescent="0.3">
      <c r="A1008" t="str">
        <f>"200541C0300"</f>
        <v>200541C0300</v>
      </c>
      <c r="B1008" t="s">
        <v>2141</v>
      </c>
      <c r="C1008">
        <v>20</v>
      </c>
      <c r="D1008" t="s">
        <v>88</v>
      </c>
      <c r="E1008">
        <v>66</v>
      </c>
      <c r="F1008" t="s">
        <v>1713</v>
      </c>
      <c r="G1008">
        <v>541</v>
      </c>
      <c r="H1008">
        <v>3</v>
      </c>
      <c r="I1008" t="s">
        <v>98</v>
      </c>
      <c r="J1008">
        <v>0</v>
      </c>
      <c r="K1008">
        <v>1</v>
      </c>
      <c r="L1008">
        <v>5</v>
      </c>
      <c r="M1008">
        <v>250</v>
      </c>
      <c r="N1008">
        <v>365</v>
      </c>
      <c r="O1008">
        <v>3</v>
      </c>
      <c r="P1008">
        <v>366</v>
      </c>
      <c r="Q1008">
        <v>57</v>
      </c>
      <c r="R1008">
        <v>37</v>
      </c>
      <c r="S1008">
        <v>16</v>
      </c>
      <c r="T1008">
        <v>4</v>
      </c>
      <c r="U1008">
        <v>20</v>
      </c>
      <c r="V1008">
        <v>6</v>
      </c>
      <c r="W1008">
        <v>3</v>
      </c>
      <c r="X1008">
        <v>3</v>
      </c>
      <c r="Y1008">
        <v>183</v>
      </c>
      <c r="Z1008">
        <v>3</v>
      </c>
      <c r="AA1008">
        <v>5</v>
      </c>
      <c r="AB1008">
        <v>7</v>
      </c>
      <c r="AC1008">
        <v>3</v>
      </c>
      <c r="AD1008">
        <v>1</v>
      </c>
      <c r="AE1008">
        <v>0</v>
      </c>
      <c r="AF1008">
        <v>1</v>
      </c>
      <c r="AK1008">
        <v>3</v>
      </c>
      <c r="AL1008">
        <v>2</v>
      </c>
      <c r="AM1008">
        <v>0</v>
      </c>
      <c r="AN1008">
        <v>0</v>
      </c>
      <c r="AT1008">
        <v>1</v>
      </c>
      <c r="BC1008">
        <v>0</v>
      </c>
      <c r="BD1008">
        <v>11</v>
      </c>
      <c r="BE1008">
        <v>366</v>
      </c>
      <c r="BF1008">
        <v>366</v>
      </c>
      <c r="BG1008">
        <v>587</v>
      </c>
      <c r="BJ1008">
        <v>1</v>
      </c>
      <c r="BL1008" t="s">
        <v>2142</v>
      </c>
      <c r="BM1008" s="4">
        <v>43283.146527777775</v>
      </c>
      <c r="BN1008" s="4">
        <v>43283.153055555558</v>
      </c>
      <c r="BO1008" s="4">
        <v>43283.153055555558</v>
      </c>
      <c r="BP1008" t="s">
        <v>92</v>
      </c>
      <c r="BQ1008" t="s">
        <v>93</v>
      </c>
      <c r="BR1008" t="s">
        <v>94</v>
      </c>
    </row>
    <row r="1009" spans="1:70" x14ac:dyDescent="0.3">
      <c r="A1009" t="str">
        <f>"200542B0100"</f>
        <v>200542B0100</v>
      </c>
      <c r="B1009" t="s">
        <v>2143</v>
      </c>
      <c r="C1009">
        <v>20</v>
      </c>
      <c r="D1009" t="s">
        <v>88</v>
      </c>
      <c r="E1009">
        <v>66</v>
      </c>
      <c r="F1009" t="s">
        <v>1713</v>
      </c>
      <c r="G1009">
        <v>542</v>
      </c>
      <c r="H1009">
        <v>1</v>
      </c>
      <c r="I1009" t="s">
        <v>90</v>
      </c>
      <c r="J1009">
        <v>0</v>
      </c>
      <c r="K1009">
        <v>1</v>
      </c>
      <c r="L1009">
        <v>5</v>
      </c>
      <c r="M1009">
        <v>251</v>
      </c>
      <c r="N1009" t="s">
        <v>127</v>
      </c>
      <c r="O1009">
        <v>5</v>
      </c>
      <c r="P1009" t="s">
        <v>127</v>
      </c>
      <c r="Q1009">
        <v>60</v>
      </c>
      <c r="R1009">
        <v>45</v>
      </c>
      <c r="S1009">
        <v>17</v>
      </c>
      <c r="T1009">
        <v>5</v>
      </c>
      <c r="U1009">
        <v>15</v>
      </c>
      <c r="V1009">
        <v>18</v>
      </c>
      <c r="W1009">
        <v>7</v>
      </c>
      <c r="X1009">
        <v>2</v>
      </c>
      <c r="Y1009">
        <v>160</v>
      </c>
      <c r="Z1009">
        <v>112</v>
      </c>
      <c r="AA1009">
        <v>7</v>
      </c>
      <c r="AB1009">
        <v>11</v>
      </c>
      <c r="AC1009">
        <v>1</v>
      </c>
      <c r="AD1009">
        <v>0</v>
      </c>
      <c r="AE1009">
        <v>1</v>
      </c>
      <c r="AF1009">
        <v>0</v>
      </c>
      <c r="AK1009">
        <v>8</v>
      </c>
      <c r="AL1009">
        <v>3</v>
      </c>
      <c r="AM1009">
        <v>0</v>
      </c>
      <c r="AN1009">
        <v>0</v>
      </c>
      <c r="AT1009">
        <v>1</v>
      </c>
      <c r="BC1009">
        <v>0</v>
      </c>
      <c r="BD1009">
        <v>12</v>
      </c>
      <c r="BE1009">
        <v>366</v>
      </c>
      <c r="BF1009">
        <v>485</v>
      </c>
      <c r="BG1009">
        <v>617</v>
      </c>
      <c r="BJ1009">
        <v>1</v>
      </c>
      <c r="BL1009" t="s">
        <v>2144</v>
      </c>
      <c r="BM1009" s="4">
        <v>43283.147916666669</v>
      </c>
      <c r="BN1009" s="4">
        <v>43283.167754629627</v>
      </c>
      <c r="BO1009" s="4">
        <v>43283.167754629627</v>
      </c>
      <c r="BP1009" t="s">
        <v>92</v>
      </c>
      <c r="BQ1009" t="s">
        <v>93</v>
      </c>
      <c r="BR1009" t="s">
        <v>94</v>
      </c>
    </row>
    <row r="1010" spans="1:70" x14ac:dyDescent="0.3">
      <c r="A1010" t="str">
        <f>"200542C0100"</f>
        <v>200542C0100</v>
      </c>
      <c r="B1010" t="s">
        <v>2145</v>
      </c>
      <c r="C1010">
        <v>20</v>
      </c>
      <c r="D1010" t="s">
        <v>88</v>
      </c>
      <c r="E1010">
        <v>66</v>
      </c>
      <c r="F1010" t="s">
        <v>1713</v>
      </c>
      <c r="G1010">
        <v>542</v>
      </c>
      <c r="H1010">
        <v>1</v>
      </c>
      <c r="I1010" t="s">
        <v>98</v>
      </c>
      <c r="J1010">
        <v>0</v>
      </c>
      <c r="K1010">
        <v>1</v>
      </c>
      <c r="L1010">
        <v>5</v>
      </c>
      <c r="M1010">
        <v>241</v>
      </c>
      <c r="N1010">
        <v>398</v>
      </c>
      <c r="O1010">
        <v>2</v>
      </c>
      <c r="P1010">
        <v>398</v>
      </c>
      <c r="Q1010">
        <v>48</v>
      </c>
      <c r="R1010">
        <v>46</v>
      </c>
      <c r="S1010">
        <v>19</v>
      </c>
      <c r="T1010">
        <v>6</v>
      </c>
      <c r="U1010">
        <v>13</v>
      </c>
      <c r="V1010">
        <v>2</v>
      </c>
      <c r="W1010">
        <v>5</v>
      </c>
      <c r="X1010">
        <v>5</v>
      </c>
      <c r="Y1010">
        <v>215</v>
      </c>
      <c r="Z1010">
        <v>5</v>
      </c>
      <c r="AA1010">
        <v>5</v>
      </c>
      <c r="AB1010">
        <v>5</v>
      </c>
      <c r="AC1010">
        <v>1</v>
      </c>
      <c r="AD1010">
        <v>1</v>
      </c>
      <c r="AE1010">
        <v>0</v>
      </c>
      <c r="AF1010">
        <v>0</v>
      </c>
      <c r="AK1010">
        <v>3</v>
      </c>
      <c r="AL1010">
        <v>2</v>
      </c>
      <c r="AM1010">
        <v>0</v>
      </c>
      <c r="AN1010">
        <v>3</v>
      </c>
      <c r="AT1010">
        <v>1</v>
      </c>
      <c r="BC1010">
        <v>2</v>
      </c>
      <c r="BD1010">
        <v>11</v>
      </c>
      <c r="BE1010">
        <v>398</v>
      </c>
      <c r="BF1010">
        <v>398</v>
      </c>
      <c r="BG1010">
        <v>617</v>
      </c>
      <c r="BJ1010">
        <v>1</v>
      </c>
      <c r="BL1010" t="s">
        <v>2146</v>
      </c>
      <c r="BM1010" s="4">
        <v>43283.159722222219</v>
      </c>
      <c r="BN1010" s="4">
        <v>43283.175856481481</v>
      </c>
      <c r="BO1010" s="4">
        <v>43283.175856481481</v>
      </c>
      <c r="BP1010" t="s">
        <v>92</v>
      </c>
      <c r="BQ1010" t="s">
        <v>93</v>
      </c>
      <c r="BR1010" t="s">
        <v>94</v>
      </c>
    </row>
    <row r="1011" spans="1:70" x14ac:dyDescent="0.3">
      <c r="A1011" t="str">
        <f>"200543B0100"</f>
        <v>200543B0100</v>
      </c>
      <c r="B1011" t="s">
        <v>2147</v>
      </c>
      <c r="C1011">
        <v>20</v>
      </c>
      <c r="D1011" t="s">
        <v>88</v>
      </c>
      <c r="E1011">
        <v>66</v>
      </c>
      <c r="F1011" t="s">
        <v>1713</v>
      </c>
      <c r="G1011">
        <v>543</v>
      </c>
      <c r="H1011">
        <v>1</v>
      </c>
      <c r="I1011" t="s">
        <v>90</v>
      </c>
      <c r="J1011">
        <v>0</v>
      </c>
      <c r="K1011">
        <v>1</v>
      </c>
      <c r="L1011">
        <v>5</v>
      </c>
      <c r="M1011">
        <v>194</v>
      </c>
      <c r="N1011">
        <v>393</v>
      </c>
      <c r="O1011">
        <v>5</v>
      </c>
      <c r="P1011">
        <v>390</v>
      </c>
      <c r="Q1011">
        <v>65</v>
      </c>
      <c r="R1011">
        <v>61</v>
      </c>
      <c r="S1011">
        <v>15</v>
      </c>
      <c r="T1011">
        <v>7</v>
      </c>
      <c r="U1011">
        <v>10</v>
      </c>
      <c r="V1011">
        <v>11</v>
      </c>
      <c r="W1011">
        <v>3</v>
      </c>
      <c r="X1011">
        <v>5</v>
      </c>
      <c r="Y1011">
        <v>175</v>
      </c>
      <c r="Z1011">
        <v>9</v>
      </c>
      <c r="AA1011">
        <v>1</v>
      </c>
      <c r="AB1011">
        <v>14</v>
      </c>
      <c r="AC1011">
        <v>1</v>
      </c>
      <c r="AD1011">
        <v>0</v>
      </c>
      <c r="AE1011">
        <v>0</v>
      </c>
      <c r="AF1011">
        <v>1</v>
      </c>
      <c r="AK1011">
        <v>7</v>
      </c>
      <c r="AL1011">
        <v>1</v>
      </c>
      <c r="AM1011">
        <v>0</v>
      </c>
      <c r="AN1011">
        <v>0</v>
      </c>
      <c r="AT1011">
        <v>2</v>
      </c>
      <c r="BC1011">
        <v>0</v>
      </c>
      <c r="BD1011">
        <v>6</v>
      </c>
      <c r="BE1011">
        <v>394</v>
      </c>
      <c r="BF1011">
        <v>394</v>
      </c>
      <c r="BG1011">
        <v>567</v>
      </c>
      <c r="BJ1011">
        <v>1</v>
      </c>
      <c r="BL1011" t="s">
        <v>2148</v>
      </c>
      <c r="BM1011" s="4">
        <v>43283.211805555555</v>
      </c>
      <c r="BN1011" s="4">
        <v>43283.234270833331</v>
      </c>
      <c r="BO1011" s="4">
        <v>43283.234270833331</v>
      </c>
      <c r="BP1011" t="s">
        <v>92</v>
      </c>
      <c r="BQ1011" t="s">
        <v>93</v>
      </c>
      <c r="BR1011" t="s">
        <v>94</v>
      </c>
    </row>
    <row r="1012" spans="1:70" x14ac:dyDescent="0.3">
      <c r="A1012" t="str">
        <f>"200543C0100"</f>
        <v>200543C0100</v>
      </c>
      <c r="B1012" t="s">
        <v>2149</v>
      </c>
      <c r="C1012">
        <v>20</v>
      </c>
      <c r="D1012" t="s">
        <v>88</v>
      </c>
      <c r="E1012">
        <v>66</v>
      </c>
      <c r="F1012" t="s">
        <v>1713</v>
      </c>
      <c r="G1012">
        <v>543</v>
      </c>
      <c r="H1012">
        <v>1</v>
      </c>
      <c r="I1012" t="s">
        <v>98</v>
      </c>
      <c r="J1012">
        <v>0</v>
      </c>
      <c r="K1012">
        <v>1</v>
      </c>
      <c r="L1012">
        <v>5</v>
      </c>
      <c r="M1012">
        <v>199</v>
      </c>
      <c r="N1012">
        <v>390</v>
      </c>
      <c r="O1012">
        <v>7</v>
      </c>
      <c r="P1012">
        <v>393</v>
      </c>
      <c r="Q1012">
        <v>69</v>
      </c>
      <c r="R1012">
        <v>55</v>
      </c>
      <c r="S1012">
        <v>10</v>
      </c>
      <c r="T1012">
        <v>4</v>
      </c>
      <c r="U1012">
        <v>13</v>
      </c>
      <c r="V1012">
        <v>10</v>
      </c>
      <c r="W1012">
        <v>3</v>
      </c>
      <c r="X1012">
        <v>6</v>
      </c>
      <c r="Y1012">
        <v>180</v>
      </c>
      <c r="Z1012">
        <v>6</v>
      </c>
      <c r="AA1012">
        <v>4</v>
      </c>
      <c r="AB1012">
        <v>11</v>
      </c>
      <c r="AC1012">
        <v>1</v>
      </c>
      <c r="AD1012">
        <v>1</v>
      </c>
      <c r="AE1012">
        <v>1</v>
      </c>
      <c r="AF1012">
        <v>0</v>
      </c>
      <c r="AK1012">
        <v>5</v>
      </c>
      <c r="AL1012">
        <v>0</v>
      </c>
      <c r="AM1012">
        <v>0</v>
      </c>
      <c r="AN1012">
        <v>2</v>
      </c>
      <c r="AT1012">
        <v>3</v>
      </c>
      <c r="BC1012">
        <v>1</v>
      </c>
      <c r="BD1012">
        <v>8</v>
      </c>
      <c r="BE1012">
        <v>393</v>
      </c>
      <c r="BF1012">
        <v>393</v>
      </c>
      <c r="BG1012">
        <v>567</v>
      </c>
      <c r="BJ1012">
        <v>1</v>
      </c>
      <c r="BL1012" t="s">
        <v>2150</v>
      </c>
      <c r="BM1012" s="4">
        <v>43283.210416666669</v>
      </c>
      <c r="BN1012" s="4">
        <v>43283.231979166667</v>
      </c>
      <c r="BO1012" s="4">
        <v>43283.231979166667</v>
      </c>
      <c r="BP1012" t="s">
        <v>92</v>
      </c>
      <c r="BQ1012" t="s">
        <v>93</v>
      </c>
      <c r="BR1012" t="s">
        <v>94</v>
      </c>
    </row>
    <row r="1013" spans="1:70" x14ac:dyDescent="0.3">
      <c r="A1013" t="str">
        <f>"200543C0200"</f>
        <v>200543C0200</v>
      </c>
      <c r="B1013" t="s">
        <v>2151</v>
      </c>
      <c r="C1013">
        <v>20</v>
      </c>
      <c r="D1013" t="s">
        <v>88</v>
      </c>
      <c r="E1013">
        <v>66</v>
      </c>
      <c r="F1013" t="s">
        <v>1713</v>
      </c>
      <c r="G1013">
        <v>543</v>
      </c>
      <c r="H1013">
        <v>2</v>
      </c>
      <c r="I1013" t="s">
        <v>98</v>
      </c>
      <c r="J1013">
        <v>0</v>
      </c>
      <c r="K1013">
        <v>1</v>
      </c>
      <c r="L1013">
        <v>5</v>
      </c>
      <c r="M1013">
        <v>210</v>
      </c>
      <c r="N1013">
        <v>381</v>
      </c>
      <c r="O1013">
        <v>7</v>
      </c>
      <c r="P1013">
        <v>374</v>
      </c>
      <c r="Q1013">
        <v>62</v>
      </c>
      <c r="R1013">
        <v>52</v>
      </c>
      <c r="S1013">
        <v>12</v>
      </c>
      <c r="T1013">
        <v>5</v>
      </c>
      <c r="U1013">
        <v>10</v>
      </c>
      <c r="V1013">
        <v>10</v>
      </c>
      <c r="W1013">
        <v>5</v>
      </c>
      <c r="X1013">
        <v>4</v>
      </c>
      <c r="Y1013">
        <v>175</v>
      </c>
      <c r="Z1013">
        <v>4</v>
      </c>
      <c r="AA1013">
        <v>6</v>
      </c>
      <c r="AB1013">
        <v>10</v>
      </c>
      <c r="AC1013">
        <v>3</v>
      </c>
      <c r="AD1013">
        <v>2</v>
      </c>
      <c r="AE1013">
        <v>1</v>
      </c>
      <c r="AF1013">
        <v>0</v>
      </c>
      <c r="AK1013">
        <v>2</v>
      </c>
      <c r="AL1013">
        <v>3</v>
      </c>
      <c r="AM1013">
        <v>0</v>
      </c>
      <c r="AN1013">
        <v>1</v>
      </c>
      <c r="AT1013">
        <v>1</v>
      </c>
      <c r="BC1013">
        <v>0</v>
      </c>
      <c r="BD1013">
        <v>6</v>
      </c>
      <c r="BE1013">
        <v>374</v>
      </c>
      <c r="BF1013">
        <v>374</v>
      </c>
      <c r="BG1013">
        <v>566</v>
      </c>
      <c r="BJ1013">
        <v>1</v>
      </c>
      <c r="BL1013" t="s">
        <v>2152</v>
      </c>
      <c r="BM1013" s="4">
        <v>43283.212500000001</v>
      </c>
      <c r="BN1013" s="4">
        <v>43283.232685185183</v>
      </c>
      <c r="BO1013" s="4">
        <v>43283.232685185183</v>
      </c>
      <c r="BP1013" t="s">
        <v>92</v>
      </c>
      <c r="BQ1013" t="s">
        <v>93</v>
      </c>
      <c r="BR1013" t="s">
        <v>94</v>
      </c>
    </row>
    <row r="1014" spans="1:70" x14ac:dyDescent="0.3">
      <c r="A1014" t="str">
        <f>"200543C0300"</f>
        <v>200543C0300</v>
      </c>
      <c r="B1014" t="s">
        <v>2153</v>
      </c>
      <c r="C1014">
        <v>20</v>
      </c>
      <c r="D1014" t="s">
        <v>88</v>
      </c>
      <c r="E1014">
        <v>66</v>
      </c>
      <c r="F1014" t="s">
        <v>1713</v>
      </c>
      <c r="G1014">
        <v>543</v>
      </c>
      <c r="H1014">
        <v>3</v>
      </c>
      <c r="I1014" t="s">
        <v>98</v>
      </c>
      <c r="J1014">
        <v>0</v>
      </c>
      <c r="K1014">
        <v>1</v>
      </c>
      <c r="L1014">
        <v>5</v>
      </c>
      <c r="M1014">
        <v>190</v>
      </c>
      <c r="N1014">
        <v>398</v>
      </c>
      <c r="O1014">
        <v>7</v>
      </c>
      <c r="P1014">
        <v>398</v>
      </c>
      <c r="Q1014">
        <v>58</v>
      </c>
      <c r="R1014">
        <v>54</v>
      </c>
      <c r="S1014">
        <v>10</v>
      </c>
      <c r="T1014">
        <v>11</v>
      </c>
      <c r="U1014">
        <v>18</v>
      </c>
      <c r="V1014">
        <v>8</v>
      </c>
      <c r="W1014">
        <v>6</v>
      </c>
      <c r="X1014">
        <v>6</v>
      </c>
      <c r="Y1014">
        <v>186</v>
      </c>
      <c r="Z1014">
        <v>11</v>
      </c>
      <c r="AA1014">
        <v>2</v>
      </c>
      <c r="AB1014">
        <v>12</v>
      </c>
      <c r="AC1014">
        <v>0</v>
      </c>
      <c r="AD1014">
        <v>0</v>
      </c>
      <c r="AE1014">
        <v>1</v>
      </c>
      <c r="AF1014">
        <v>0</v>
      </c>
      <c r="AK1014">
        <v>2</v>
      </c>
      <c r="AL1014">
        <v>1</v>
      </c>
      <c r="AM1014">
        <v>0</v>
      </c>
      <c r="AN1014">
        <v>0</v>
      </c>
      <c r="AT1014">
        <v>0</v>
      </c>
      <c r="BC1014">
        <v>0</v>
      </c>
      <c r="BD1014">
        <v>12</v>
      </c>
      <c r="BE1014">
        <v>398</v>
      </c>
      <c r="BF1014">
        <v>398</v>
      </c>
      <c r="BG1014">
        <v>566</v>
      </c>
      <c r="BJ1014">
        <v>1</v>
      </c>
      <c r="BL1014" t="s">
        <v>2154</v>
      </c>
      <c r="BM1014" s="4">
        <v>43283.306250000001</v>
      </c>
      <c r="BN1014" s="4">
        <v>43283.332337962966</v>
      </c>
      <c r="BO1014" s="4">
        <v>43283.332337962966</v>
      </c>
      <c r="BP1014" t="s">
        <v>92</v>
      </c>
      <c r="BQ1014" t="s">
        <v>93</v>
      </c>
      <c r="BR1014" t="s">
        <v>94</v>
      </c>
    </row>
    <row r="1015" spans="1:70" x14ac:dyDescent="0.3">
      <c r="A1015" t="str">
        <f>"200543E0100"</f>
        <v>200543E0100</v>
      </c>
      <c r="B1015" s="2" t="s">
        <v>2155</v>
      </c>
      <c r="C1015">
        <v>20</v>
      </c>
      <c r="D1015" t="s">
        <v>88</v>
      </c>
      <c r="E1015">
        <v>66</v>
      </c>
      <c r="F1015" t="s">
        <v>1713</v>
      </c>
      <c r="G1015">
        <v>543</v>
      </c>
      <c r="H1015">
        <v>1</v>
      </c>
      <c r="I1015" t="s">
        <v>156</v>
      </c>
      <c r="J1015">
        <v>0</v>
      </c>
      <c r="K1015">
        <v>1</v>
      </c>
      <c r="L1015">
        <v>5</v>
      </c>
      <c r="M1015">
        <v>228</v>
      </c>
      <c r="N1015">
        <v>370</v>
      </c>
      <c r="O1015">
        <v>7</v>
      </c>
      <c r="P1015">
        <v>369</v>
      </c>
      <c r="Q1015">
        <v>60</v>
      </c>
      <c r="R1015">
        <v>42</v>
      </c>
      <c r="S1015">
        <v>14</v>
      </c>
      <c r="T1015">
        <v>8</v>
      </c>
      <c r="U1015">
        <v>20</v>
      </c>
      <c r="V1015">
        <v>7</v>
      </c>
      <c r="W1015">
        <v>3</v>
      </c>
      <c r="X1015">
        <v>2</v>
      </c>
      <c r="Y1015">
        <v>178</v>
      </c>
      <c r="Z1015">
        <v>6</v>
      </c>
      <c r="AA1015">
        <v>4</v>
      </c>
      <c r="AB1015">
        <v>6</v>
      </c>
      <c r="AC1015">
        <v>2</v>
      </c>
      <c r="AD1015">
        <v>0</v>
      </c>
      <c r="AE1015">
        <v>0</v>
      </c>
      <c r="AF1015">
        <v>0</v>
      </c>
      <c r="AK1015">
        <v>3</v>
      </c>
      <c r="AL1015">
        <v>0</v>
      </c>
      <c r="AM1015">
        <v>0</v>
      </c>
      <c r="AN1015">
        <v>3</v>
      </c>
      <c r="AT1015">
        <v>1</v>
      </c>
      <c r="BC1015">
        <v>0</v>
      </c>
      <c r="BD1015">
        <v>10</v>
      </c>
      <c r="BE1015">
        <v>369</v>
      </c>
      <c r="BF1015">
        <v>369</v>
      </c>
      <c r="BG1015">
        <v>576</v>
      </c>
      <c r="BJ1015">
        <v>1</v>
      </c>
      <c r="BL1015" t="s">
        <v>2156</v>
      </c>
      <c r="BM1015" s="4">
        <v>43283.097222222219</v>
      </c>
      <c r="BN1015" s="4">
        <v>43283.101886574077</v>
      </c>
      <c r="BO1015" s="4">
        <v>43283.101886574077</v>
      </c>
      <c r="BP1015" t="s">
        <v>92</v>
      </c>
      <c r="BQ1015" t="s">
        <v>93</v>
      </c>
      <c r="BR1015" t="s">
        <v>94</v>
      </c>
    </row>
    <row r="1016" spans="1:70" x14ac:dyDescent="0.3">
      <c r="A1016" t="str">
        <f>"200543E0101"</f>
        <v>200543E0101</v>
      </c>
      <c r="B1016" s="2" t="s">
        <v>2157</v>
      </c>
      <c r="C1016">
        <v>20</v>
      </c>
      <c r="D1016" t="s">
        <v>88</v>
      </c>
      <c r="E1016">
        <v>66</v>
      </c>
      <c r="F1016" t="s">
        <v>1713</v>
      </c>
      <c r="G1016">
        <v>543</v>
      </c>
      <c r="H1016">
        <v>1</v>
      </c>
      <c r="I1016" t="s">
        <v>156</v>
      </c>
      <c r="J1016">
        <v>1</v>
      </c>
      <c r="K1016">
        <v>1</v>
      </c>
      <c r="L1016">
        <v>5</v>
      </c>
      <c r="M1016">
        <v>249</v>
      </c>
      <c r="N1016">
        <v>349</v>
      </c>
      <c r="O1016">
        <v>4</v>
      </c>
      <c r="P1016">
        <v>349</v>
      </c>
      <c r="Q1016">
        <v>50</v>
      </c>
      <c r="R1016">
        <v>31</v>
      </c>
      <c r="S1016">
        <v>5</v>
      </c>
      <c r="T1016">
        <v>5</v>
      </c>
      <c r="U1016">
        <v>21</v>
      </c>
      <c r="V1016">
        <v>18</v>
      </c>
      <c r="W1016">
        <v>5</v>
      </c>
      <c r="X1016">
        <v>2</v>
      </c>
      <c r="Y1016">
        <v>178</v>
      </c>
      <c r="Z1016">
        <v>1</v>
      </c>
      <c r="AA1016">
        <v>2</v>
      </c>
      <c r="AB1016">
        <v>13</v>
      </c>
      <c r="AC1016">
        <v>3</v>
      </c>
      <c r="AD1016">
        <v>0</v>
      </c>
      <c r="AE1016">
        <v>0</v>
      </c>
      <c r="AF1016">
        <v>0</v>
      </c>
      <c r="AK1016">
        <v>3</v>
      </c>
      <c r="AL1016">
        <v>2</v>
      </c>
      <c r="AM1016">
        <v>0</v>
      </c>
      <c r="AN1016">
        <v>0</v>
      </c>
      <c r="AT1016">
        <v>0</v>
      </c>
      <c r="BC1016">
        <v>0</v>
      </c>
      <c r="BD1016">
        <v>10</v>
      </c>
      <c r="BE1016">
        <v>349</v>
      </c>
      <c r="BF1016">
        <v>349</v>
      </c>
      <c r="BG1016">
        <v>576</v>
      </c>
      <c r="BJ1016">
        <v>1</v>
      </c>
      <c r="BL1016" t="s">
        <v>2158</v>
      </c>
      <c r="BM1016" s="4">
        <v>43283.095138888886</v>
      </c>
      <c r="BN1016" s="4">
        <v>43283.098460648151</v>
      </c>
      <c r="BO1016" s="4">
        <v>43283.098460648151</v>
      </c>
      <c r="BP1016" t="s">
        <v>92</v>
      </c>
      <c r="BQ1016" t="s">
        <v>93</v>
      </c>
      <c r="BR1016" t="s">
        <v>94</v>
      </c>
    </row>
    <row r="1017" spans="1:70" x14ac:dyDescent="0.3">
      <c r="A1017" t="str">
        <f>"200543E0102"</f>
        <v>200543E0102</v>
      </c>
      <c r="B1017" s="2" t="s">
        <v>2159</v>
      </c>
      <c r="C1017">
        <v>20</v>
      </c>
      <c r="D1017" t="s">
        <v>88</v>
      </c>
      <c r="E1017">
        <v>66</v>
      </c>
      <c r="F1017" t="s">
        <v>1713</v>
      </c>
      <c r="G1017">
        <v>543</v>
      </c>
      <c r="H1017">
        <v>1</v>
      </c>
      <c r="I1017" t="s">
        <v>156</v>
      </c>
      <c r="J1017">
        <v>2</v>
      </c>
      <c r="K1017">
        <v>1</v>
      </c>
      <c r="L1017">
        <v>5</v>
      </c>
      <c r="M1017">
        <v>251</v>
      </c>
      <c r="N1017">
        <v>346</v>
      </c>
      <c r="O1017">
        <v>3</v>
      </c>
      <c r="P1017">
        <v>346</v>
      </c>
      <c r="Q1017">
        <v>45</v>
      </c>
      <c r="R1017">
        <v>28</v>
      </c>
      <c r="S1017">
        <v>11</v>
      </c>
      <c r="T1017">
        <v>4</v>
      </c>
      <c r="U1017">
        <v>23</v>
      </c>
      <c r="V1017">
        <v>5</v>
      </c>
      <c r="W1017">
        <v>7</v>
      </c>
      <c r="X1017">
        <v>5</v>
      </c>
      <c r="Y1017">
        <v>183</v>
      </c>
      <c r="Z1017">
        <v>10</v>
      </c>
      <c r="AA1017">
        <v>3</v>
      </c>
      <c r="AB1017">
        <v>6</v>
      </c>
      <c r="AC1017">
        <v>0</v>
      </c>
      <c r="AD1017">
        <v>0</v>
      </c>
      <c r="AE1017">
        <v>0</v>
      </c>
      <c r="AF1017">
        <v>0</v>
      </c>
      <c r="AK1017">
        <v>4</v>
      </c>
      <c r="AL1017">
        <v>3</v>
      </c>
      <c r="AM1017">
        <v>0</v>
      </c>
      <c r="AN1017">
        <v>1</v>
      </c>
      <c r="AT1017">
        <v>2</v>
      </c>
      <c r="BC1017">
        <v>0</v>
      </c>
      <c r="BD1017">
        <v>6</v>
      </c>
      <c r="BE1017">
        <v>346</v>
      </c>
      <c r="BF1017">
        <v>346</v>
      </c>
      <c r="BG1017">
        <v>575</v>
      </c>
      <c r="BJ1017">
        <v>1</v>
      </c>
      <c r="BL1017" t="s">
        <v>2160</v>
      </c>
      <c r="BM1017" s="4">
        <v>43283.094444444447</v>
      </c>
      <c r="BN1017" s="4">
        <v>43283.098622685182</v>
      </c>
      <c r="BO1017" s="4">
        <v>43283.098622685182</v>
      </c>
      <c r="BP1017" t="s">
        <v>92</v>
      </c>
      <c r="BQ1017" t="s">
        <v>93</v>
      </c>
      <c r="BR1017" t="s">
        <v>94</v>
      </c>
    </row>
    <row r="1018" spans="1:70" x14ac:dyDescent="0.3">
      <c r="A1018" t="str">
        <f>"200543E0103"</f>
        <v>200543E0103</v>
      </c>
      <c r="B1018" s="2" t="s">
        <v>2161</v>
      </c>
      <c r="C1018">
        <v>20</v>
      </c>
      <c r="D1018" t="s">
        <v>88</v>
      </c>
      <c r="E1018">
        <v>66</v>
      </c>
      <c r="F1018" t="s">
        <v>1713</v>
      </c>
      <c r="G1018">
        <v>543</v>
      </c>
      <c r="H1018">
        <v>1</v>
      </c>
      <c r="I1018" t="s">
        <v>156</v>
      </c>
      <c r="J1018">
        <v>3</v>
      </c>
      <c r="K1018">
        <v>1</v>
      </c>
      <c r="L1018">
        <v>5</v>
      </c>
      <c r="M1018">
        <v>255</v>
      </c>
      <c r="N1018">
        <v>342</v>
      </c>
      <c r="O1018">
        <v>6</v>
      </c>
      <c r="P1018">
        <v>343</v>
      </c>
      <c r="Q1018">
        <v>53</v>
      </c>
      <c r="R1018">
        <v>45</v>
      </c>
      <c r="S1018">
        <v>11</v>
      </c>
      <c r="T1018">
        <v>8</v>
      </c>
      <c r="U1018">
        <v>14</v>
      </c>
      <c r="V1018">
        <v>4</v>
      </c>
      <c r="W1018">
        <v>4</v>
      </c>
      <c r="X1018">
        <v>3</v>
      </c>
      <c r="Y1018">
        <v>168</v>
      </c>
      <c r="Z1018">
        <v>6</v>
      </c>
      <c r="AA1018">
        <v>3</v>
      </c>
      <c r="AB1018">
        <v>7</v>
      </c>
      <c r="AC1018">
        <v>2</v>
      </c>
      <c r="AD1018">
        <v>1</v>
      </c>
      <c r="AE1018">
        <v>1</v>
      </c>
      <c r="AF1018">
        <v>0</v>
      </c>
      <c r="AK1018">
        <v>4</v>
      </c>
      <c r="AL1018">
        <v>5</v>
      </c>
      <c r="AM1018">
        <v>0</v>
      </c>
      <c r="AN1018">
        <v>0</v>
      </c>
      <c r="AT1018">
        <v>0</v>
      </c>
      <c r="BC1018">
        <v>0</v>
      </c>
      <c r="BD1018">
        <v>4</v>
      </c>
      <c r="BE1018">
        <v>343</v>
      </c>
      <c r="BF1018">
        <v>343</v>
      </c>
      <c r="BG1018">
        <v>575</v>
      </c>
      <c r="BJ1018">
        <v>1</v>
      </c>
      <c r="BL1018" t="s">
        <v>2162</v>
      </c>
      <c r="BM1018" s="4">
        <v>43283.095833333333</v>
      </c>
      <c r="BN1018" s="4">
        <v>43283.099699074075</v>
      </c>
      <c r="BO1018" s="4">
        <v>43283.099699074075</v>
      </c>
      <c r="BP1018" t="s">
        <v>92</v>
      </c>
      <c r="BQ1018" t="s">
        <v>93</v>
      </c>
      <c r="BR1018" t="s">
        <v>94</v>
      </c>
    </row>
    <row r="1019" spans="1:70" x14ac:dyDescent="0.3">
      <c r="A1019" t="str">
        <f>"200544B0100"</f>
        <v>200544B0100</v>
      </c>
      <c r="B1019" t="s">
        <v>2163</v>
      </c>
      <c r="C1019">
        <v>20</v>
      </c>
      <c r="D1019" t="s">
        <v>88</v>
      </c>
      <c r="E1019">
        <v>66</v>
      </c>
      <c r="F1019" t="s">
        <v>1713</v>
      </c>
      <c r="G1019">
        <v>544</v>
      </c>
      <c r="H1019">
        <v>1</v>
      </c>
      <c r="I1019" t="s">
        <v>90</v>
      </c>
      <c r="J1019">
        <v>0</v>
      </c>
      <c r="K1019">
        <v>1</v>
      </c>
      <c r="L1019">
        <v>5</v>
      </c>
      <c r="M1019">
        <v>197</v>
      </c>
      <c r="N1019">
        <v>397</v>
      </c>
      <c r="O1019">
        <v>4</v>
      </c>
      <c r="P1019">
        <v>390</v>
      </c>
      <c r="Q1019">
        <v>72</v>
      </c>
      <c r="R1019">
        <v>46</v>
      </c>
      <c r="S1019">
        <v>14</v>
      </c>
      <c r="T1019">
        <v>9</v>
      </c>
      <c r="U1019">
        <v>16</v>
      </c>
      <c r="V1019">
        <v>6</v>
      </c>
      <c r="W1019">
        <v>13</v>
      </c>
      <c r="X1019">
        <v>6</v>
      </c>
      <c r="Y1019">
        <v>163</v>
      </c>
      <c r="Z1019">
        <v>8</v>
      </c>
      <c r="AA1019">
        <v>3</v>
      </c>
      <c r="AB1019">
        <v>9</v>
      </c>
      <c r="AC1019">
        <v>3</v>
      </c>
      <c r="AD1019">
        <v>1</v>
      </c>
      <c r="AE1019">
        <v>0</v>
      </c>
      <c r="AF1019">
        <v>1</v>
      </c>
      <c r="AK1019">
        <v>5</v>
      </c>
      <c r="AL1019">
        <v>0</v>
      </c>
      <c r="AM1019">
        <v>0</v>
      </c>
      <c r="AN1019">
        <v>1</v>
      </c>
      <c r="AT1019">
        <v>2</v>
      </c>
      <c r="BC1019">
        <v>0</v>
      </c>
      <c r="BD1019">
        <v>12</v>
      </c>
      <c r="BE1019">
        <v>390</v>
      </c>
      <c r="BF1019">
        <v>390</v>
      </c>
      <c r="BG1019">
        <v>572</v>
      </c>
      <c r="BJ1019">
        <v>1</v>
      </c>
      <c r="BL1019" t="s">
        <v>2164</v>
      </c>
      <c r="BM1019" s="4">
        <v>43283.263888888891</v>
      </c>
      <c r="BN1019" s="4">
        <v>43283.29142361111</v>
      </c>
      <c r="BO1019" s="4">
        <v>43283.29142361111</v>
      </c>
      <c r="BP1019" t="s">
        <v>92</v>
      </c>
      <c r="BQ1019" t="s">
        <v>93</v>
      </c>
      <c r="BR1019" t="s">
        <v>94</v>
      </c>
    </row>
    <row r="1020" spans="1:70" x14ac:dyDescent="0.3">
      <c r="A1020" t="str">
        <f>"200544C0100"</f>
        <v>200544C0100</v>
      </c>
      <c r="B1020" t="s">
        <v>2165</v>
      </c>
      <c r="C1020">
        <v>20</v>
      </c>
      <c r="D1020" t="s">
        <v>88</v>
      </c>
      <c r="E1020">
        <v>66</v>
      </c>
      <c r="F1020" t="s">
        <v>1713</v>
      </c>
      <c r="G1020">
        <v>544</v>
      </c>
      <c r="H1020">
        <v>1</v>
      </c>
      <c r="I1020" t="s">
        <v>98</v>
      </c>
      <c r="J1020">
        <v>0</v>
      </c>
      <c r="K1020">
        <v>1</v>
      </c>
      <c r="L1020">
        <v>5</v>
      </c>
      <c r="M1020">
        <v>212</v>
      </c>
      <c r="N1020">
        <v>381</v>
      </c>
      <c r="O1020">
        <v>3</v>
      </c>
      <c r="P1020">
        <v>388</v>
      </c>
      <c r="Q1020">
        <v>33</v>
      </c>
      <c r="R1020">
        <v>60</v>
      </c>
      <c r="S1020">
        <v>4</v>
      </c>
      <c r="T1020">
        <v>6</v>
      </c>
      <c r="U1020">
        <v>8</v>
      </c>
      <c r="V1020">
        <v>9</v>
      </c>
      <c r="W1020">
        <v>8</v>
      </c>
      <c r="X1020">
        <v>3</v>
      </c>
      <c r="Y1020">
        <v>200</v>
      </c>
      <c r="Z1020">
        <v>12</v>
      </c>
      <c r="AA1020">
        <v>8</v>
      </c>
      <c r="AB1020">
        <v>11</v>
      </c>
      <c r="AC1020">
        <v>2</v>
      </c>
      <c r="AD1020">
        <v>0</v>
      </c>
      <c r="AE1020">
        <v>0</v>
      </c>
      <c r="AF1020">
        <v>0</v>
      </c>
      <c r="AK1020">
        <v>4</v>
      </c>
      <c r="AL1020">
        <v>5</v>
      </c>
      <c r="AM1020">
        <v>0</v>
      </c>
      <c r="AN1020">
        <v>2</v>
      </c>
      <c r="AT1020">
        <v>0</v>
      </c>
      <c r="BC1020">
        <v>1</v>
      </c>
      <c r="BD1020">
        <v>16</v>
      </c>
      <c r="BE1020">
        <v>392</v>
      </c>
      <c r="BF1020">
        <v>392</v>
      </c>
      <c r="BG1020">
        <v>571</v>
      </c>
      <c r="BJ1020">
        <v>1</v>
      </c>
      <c r="BL1020" t="s">
        <v>2166</v>
      </c>
      <c r="BM1020" s="4">
        <v>43283.099305555559</v>
      </c>
      <c r="BN1020" s="4">
        <v>43283.104201388887</v>
      </c>
      <c r="BO1020" s="4">
        <v>43283.104201388887</v>
      </c>
      <c r="BP1020" t="s">
        <v>92</v>
      </c>
      <c r="BQ1020" t="s">
        <v>93</v>
      </c>
      <c r="BR1020" t="s">
        <v>94</v>
      </c>
    </row>
    <row r="1021" spans="1:70" x14ac:dyDescent="0.3">
      <c r="A1021" t="str">
        <f>"200545B0100"</f>
        <v>200545B0100</v>
      </c>
      <c r="B1021" t="s">
        <v>2167</v>
      </c>
      <c r="C1021">
        <v>20</v>
      </c>
      <c r="D1021" t="s">
        <v>88</v>
      </c>
      <c r="E1021">
        <v>66</v>
      </c>
      <c r="F1021" t="s">
        <v>1713</v>
      </c>
      <c r="G1021">
        <v>545</v>
      </c>
      <c r="H1021">
        <v>1</v>
      </c>
      <c r="I1021" t="s">
        <v>90</v>
      </c>
      <c r="J1021">
        <v>0</v>
      </c>
      <c r="K1021">
        <v>1</v>
      </c>
      <c r="L1021">
        <v>5</v>
      </c>
      <c r="M1021">
        <v>138</v>
      </c>
      <c r="N1021">
        <v>274</v>
      </c>
      <c r="O1021">
        <v>9</v>
      </c>
      <c r="P1021">
        <v>264</v>
      </c>
      <c r="Q1021">
        <v>78</v>
      </c>
      <c r="R1021">
        <v>45</v>
      </c>
      <c r="S1021">
        <v>6</v>
      </c>
      <c r="T1021">
        <v>1</v>
      </c>
      <c r="U1021">
        <v>7</v>
      </c>
      <c r="V1021">
        <v>7</v>
      </c>
      <c r="W1021">
        <v>5</v>
      </c>
      <c r="X1021">
        <v>3</v>
      </c>
      <c r="Y1021">
        <v>98</v>
      </c>
      <c r="Z1021">
        <v>5</v>
      </c>
      <c r="AA1021">
        <v>1</v>
      </c>
      <c r="AB1021">
        <v>7</v>
      </c>
      <c r="AC1021">
        <v>1</v>
      </c>
      <c r="AD1021">
        <v>0</v>
      </c>
      <c r="AE1021">
        <v>0</v>
      </c>
      <c r="AF1021">
        <v>0</v>
      </c>
      <c r="AK1021">
        <v>0</v>
      </c>
      <c r="AL1021">
        <v>0</v>
      </c>
      <c r="AM1021">
        <v>0</v>
      </c>
      <c r="AN1021">
        <v>0</v>
      </c>
      <c r="AT1021">
        <v>0</v>
      </c>
      <c r="BC1021">
        <v>0</v>
      </c>
      <c r="BD1021">
        <v>6</v>
      </c>
      <c r="BE1021">
        <v>270</v>
      </c>
      <c r="BF1021">
        <v>270</v>
      </c>
      <c r="BG1021">
        <v>386</v>
      </c>
      <c r="BJ1021">
        <v>1</v>
      </c>
      <c r="BL1021" t="s">
        <v>2168</v>
      </c>
      <c r="BM1021" s="4">
        <v>43283.181250000001</v>
      </c>
      <c r="BN1021" s="4">
        <v>43283.199282407404</v>
      </c>
      <c r="BO1021" s="4">
        <v>43283.199282407404</v>
      </c>
      <c r="BP1021" t="s">
        <v>92</v>
      </c>
      <c r="BQ1021" t="s">
        <v>93</v>
      </c>
      <c r="BR1021" t="s">
        <v>94</v>
      </c>
    </row>
    <row r="1022" spans="1:70" x14ac:dyDescent="0.3">
      <c r="A1022" t="str">
        <f>"200545C0100"</f>
        <v>200545C0100</v>
      </c>
      <c r="B1022" t="s">
        <v>2169</v>
      </c>
      <c r="C1022">
        <v>20</v>
      </c>
      <c r="D1022" t="s">
        <v>88</v>
      </c>
      <c r="E1022">
        <v>66</v>
      </c>
      <c r="F1022" t="s">
        <v>1713</v>
      </c>
      <c r="G1022">
        <v>545</v>
      </c>
      <c r="H1022">
        <v>1</v>
      </c>
      <c r="I1022" t="s">
        <v>98</v>
      </c>
      <c r="J1022">
        <v>0</v>
      </c>
      <c r="K1022">
        <v>1</v>
      </c>
      <c r="L1022">
        <v>5</v>
      </c>
      <c r="M1022">
        <v>120</v>
      </c>
      <c r="N1022">
        <v>287</v>
      </c>
      <c r="O1022">
        <v>4</v>
      </c>
      <c r="P1022">
        <v>287</v>
      </c>
      <c r="Q1022">
        <v>63</v>
      </c>
      <c r="R1022">
        <v>42</v>
      </c>
      <c r="S1022">
        <v>7</v>
      </c>
      <c r="T1022">
        <v>5</v>
      </c>
      <c r="U1022">
        <v>11</v>
      </c>
      <c r="V1022">
        <v>14</v>
      </c>
      <c r="W1022">
        <v>1</v>
      </c>
      <c r="X1022">
        <v>5</v>
      </c>
      <c r="Y1022">
        <v>113</v>
      </c>
      <c r="Z1022">
        <v>4</v>
      </c>
      <c r="AA1022">
        <v>1</v>
      </c>
      <c r="AB1022">
        <v>13</v>
      </c>
      <c r="AC1022" t="s">
        <v>105</v>
      </c>
      <c r="AD1022" t="s">
        <v>105</v>
      </c>
      <c r="AE1022" t="s">
        <v>105</v>
      </c>
      <c r="AF1022" t="s">
        <v>105</v>
      </c>
      <c r="AK1022">
        <v>1</v>
      </c>
      <c r="AL1022" t="s">
        <v>105</v>
      </c>
      <c r="AM1022" t="s">
        <v>105</v>
      </c>
      <c r="AN1022">
        <v>1</v>
      </c>
      <c r="AT1022">
        <v>1</v>
      </c>
      <c r="BC1022" t="s">
        <v>105</v>
      </c>
      <c r="BD1022">
        <v>5</v>
      </c>
      <c r="BE1022">
        <v>287</v>
      </c>
      <c r="BF1022">
        <v>287</v>
      </c>
      <c r="BG1022">
        <v>385</v>
      </c>
      <c r="BI1022" t="s">
        <v>106</v>
      </c>
      <c r="BJ1022">
        <v>1</v>
      </c>
      <c r="BL1022" t="s">
        <v>2170</v>
      </c>
      <c r="BM1022" s="4">
        <v>43283.176388888889</v>
      </c>
      <c r="BN1022" s="4">
        <v>43283.191979166666</v>
      </c>
      <c r="BO1022" s="4">
        <v>43283.191979166666</v>
      </c>
      <c r="BP1022" t="s">
        <v>92</v>
      </c>
      <c r="BQ1022" t="s">
        <v>93</v>
      </c>
      <c r="BR1022" t="s">
        <v>94</v>
      </c>
    </row>
    <row r="1023" spans="1:70" x14ac:dyDescent="0.3">
      <c r="A1023" t="str">
        <f>"200545S0100"</f>
        <v>200545S0100</v>
      </c>
      <c r="B1023" t="s">
        <v>2171</v>
      </c>
      <c r="C1023">
        <v>20</v>
      </c>
      <c r="D1023" t="s">
        <v>88</v>
      </c>
      <c r="E1023">
        <v>66</v>
      </c>
      <c r="F1023" t="s">
        <v>1713</v>
      </c>
      <c r="G1023">
        <v>545</v>
      </c>
      <c r="H1023">
        <v>1</v>
      </c>
      <c r="I1023" t="s">
        <v>113</v>
      </c>
      <c r="J1023">
        <v>0</v>
      </c>
      <c r="K1023">
        <v>1</v>
      </c>
      <c r="L1023">
        <v>6</v>
      </c>
      <c r="M1023">
        <v>757</v>
      </c>
      <c r="N1023">
        <v>15</v>
      </c>
      <c r="O1023">
        <v>0</v>
      </c>
      <c r="P1023">
        <v>15</v>
      </c>
      <c r="Q1023">
        <v>3</v>
      </c>
      <c r="R1023">
        <v>2</v>
      </c>
      <c r="S1023">
        <v>0</v>
      </c>
      <c r="T1023">
        <v>0</v>
      </c>
      <c r="U1023">
        <v>1</v>
      </c>
      <c r="V1023">
        <v>0</v>
      </c>
      <c r="W1023">
        <v>1</v>
      </c>
      <c r="X1023">
        <v>1</v>
      </c>
      <c r="Y1023">
        <v>7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K1023">
        <v>0</v>
      </c>
      <c r="AL1023">
        <v>0</v>
      </c>
      <c r="AM1023">
        <v>0</v>
      </c>
      <c r="AN1023">
        <v>0</v>
      </c>
      <c r="AT1023">
        <v>0</v>
      </c>
      <c r="BC1023">
        <v>0</v>
      </c>
      <c r="BD1023">
        <v>0</v>
      </c>
      <c r="BE1023">
        <v>15</v>
      </c>
      <c r="BF1023">
        <v>15</v>
      </c>
      <c r="BG1023">
        <v>0</v>
      </c>
      <c r="BJ1023">
        <v>1</v>
      </c>
      <c r="BL1023" t="s">
        <v>2172</v>
      </c>
      <c r="BM1023" s="4">
        <v>43283.334027777775</v>
      </c>
      <c r="BN1023" s="4">
        <v>43283.354583333334</v>
      </c>
      <c r="BO1023" s="4">
        <v>43283.354583333334</v>
      </c>
      <c r="BP1023" t="s">
        <v>92</v>
      </c>
      <c r="BQ1023" t="s">
        <v>93</v>
      </c>
      <c r="BR1023" t="s">
        <v>94</v>
      </c>
    </row>
    <row r="1024" spans="1:70" x14ac:dyDescent="0.3">
      <c r="A1024" t="str">
        <f>"200546B0100"</f>
        <v>200546B0100</v>
      </c>
      <c r="B1024" t="s">
        <v>2173</v>
      </c>
      <c r="C1024">
        <v>20</v>
      </c>
      <c r="D1024" t="s">
        <v>88</v>
      </c>
      <c r="E1024">
        <v>66</v>
      </c>
      <c r="F1024" t="s">
        <v>1713</v>
      </c>
      <c r="G1024">
        <v>546</v>
      </c>
      <c r="H1024">
        <v>1</v>
      </c>
      <c r="I1024" t="s">
        <v>90</v>
      </c>
      <c r="J1024">
        <v>0</v>
      </c>
      <c r="K1024">
        <v>1</v>
      </c>
      <c r="L1024">
        <v>5</v>
      </c>
      <c r="M1024">
        <v>245</v>
      </c>
      <c r="N1024">
        <v>7</v>
      </c>
      <c r="O1024">
        <v>7</v>
      </c>
      <c r="P1024">
        <v>414</v>
      </c>
      <c r="Q1024">
        <v>61</v>
      </c>
      <c r="R1024">
        <v>76</v>
      </c>
      <c r="S1024">
        <v>18</v>
      </c>
      <c r="T1024">
        <v>17</v>
      </c>
      <c r="U1024">
        <v>12</v>
      </c>
      <c r="V1024">
        <v>7</v>
      </c>
      <c r="W1024">
        <v>5</v>
      </c>
      <c r="X1024">
        <v>6</v>
      </c>
      <c r="Y1024">
        <v>176</v>
      </c>
      <c r="Z1024">
        <v>8</v>
      </c>
      <c r="AA1024">
        <v>3</v>
      </c>
      <c r="AB1024">
        <v>15</v>
      </c>
      <c r="AC1024">
        <v>1</v>
      </c>
      <c r="AD1024" t="s">
        <v>105</v>
      </c>
      <c r="AE1024" t="s">
        <v>105</v>
      </c>
      <c r="AF1024" t="s">
        <v>105</v>
      </c>
      <c r="AK1024">
        <v>2</v>
      </c>
      <c r="AL1024">
        <v>1</v>
      </c>
      <c r="AM1024" t="s">
        <v>105</v>
      </c>
      <c r="AN1024" t="s">
        <v>105</v>
      </c>
      <c r="AT1024">
        <v>1</v>
      </c>
      <c r="BC1024" t="s">
        <v>105</v>
      </c>
      <c r="BD1024">
        <v>5</v>
      </c>
      <c r="BE1024">
        <v>414</v>
      </c>
      <c r="BF1024">
        <v>414</v>
      </c>
      <c r="BG1024">
        <v>638</v>
      </c>
      <c r="BI1024" t="s">
        <v>106</v>
      </c>
      <c r="BJ1024">
        <v>1</v>
      </c>
      <c r="BL1024" t="s">
        <v>2174</v>
      </c>
      <c r="BM1024" s="4">
        <v>43283.1</v>
      </c>
      <c r="BN1024" s="4">
        <v>43283.104386574072</v>
      </c>
      <c r="BO1024" s="4">
        <v>43283.104386574072</v>
      </c>
      <c r="BP1024" t="s">
        <v>92</v>
      </c>
      <c r="BQ1024" t="s">
        <v>93</v>
      </c>
      <c r="BR1024" t="s">
        <v>94</v>
      </c>
    </row>
    <row r="1025" spans="1:70" x14ac:dyDescent="0.3">
      <c r="A1025" t="str">
        <f>"200547B0100"</f>
        <v>200547B0100</v>
      </c>
      <c r="B1025" t="s">
        <v>2175</v>
      </c>
      <c r="C1025">
        <v>20</v>
      </c>
      <c r="D1025" t="s">
        <v>88</v>
      </c>
      <c r="E1025">
        <v>66</v>
      </c>
      <c r="F1025" t="s">
        <v>1713</v>
      </c>
      <c r="G1025">
        <v>547</v>
      </c>
      <c r="H1025">
        <v>1</v>
      </c>
      <c r="I1025" t="s">
        <v>90</v>
      </c>
      <c r="J1025">
        <v>0</v>
      </c>
      <c r="K1025">
        <v>1</v>
      </c>
      <c r="L1025">
        <v>5</v>
      </c>
      <c r="M1025">
        <v>197</v>
      </c>
      <c r="N1025">
        <v>474</v>
      </c>
      <c r="O1025">
        <v>12</v>
      </c>
      <c r="P1025">
        <v>463</v>
      </c>
      <c r="Q1025">
        <v>70</v>
      </c>
      <c r="R1025">
        <v>85</v>
      </c>
      <c r="S1025">
        <v>14</v>
      </c>
      <c r="T1025">
        <v>7</v>
      </c>
      <c r="U1025">
        <v>14</v>
      </c>
      <c r="V1025">
        <v>7</v>
      </c>
      <c r="W1025">
        <v>7</v>
      </c>
      <c r="X1025">
        <v>11</v>
      </c>
      <c r="Y1025">
        <v>193</v>
      </c>
      <c r="Z1025">
        <v>4</v>
      </c>
      <c r="AA1025">
        <v>3</v>
      </c>
      <c r="AB1025">
        <v>17</v>
      </c>
      <c r="AC1025">
        <v>2</v>
      </c>
      <c r="AD1025">
        <v>0</v>
      </c>
      <c r="AE1025">
        <v>0</v>
      </c>
      <c r="AF1025">
        <v>0</v>
      </c>
      <c r="AK1025">
        <v>3</v>
      </c>
      <c r="AL1025">
        <v>0</v>
      </c>
      <c r="AM1025">
        <v>1</v>
      </c>
      <c r="AN1025">
        <v>2</v>
      </c>
      <c r="AT1025">
        <v>5</v>
      </c>
      <c r="BC1025">
        <v>1</v>
      </c>
      <c r="BD1025">
        <v>17</v>
      </c>
      <c r="BE1025">
        <v>463</v>
      </c>
      <c r="BF1025">
        <v>463</v>
      </c>
      <c r="BG1025">
        <v>638</v>
      </c>
      <c r="BJ1025">
        <v>1</v>
      </c>
      <c r="BL1025" t="s">
        <v>2176</v>
      </c>
      <c r="BM1025" s="4">
        <v>43283.104166666664</v>
      </c>
      <c r="BN1025" s="4">
        <v>43283.518310185187</v>
      </c>
      <c r="BO1025" s="4">
        <v>43283.518310185187</v>
      </c>
      <c r="BP1025" t="s">
        <v>92</v>
      </c>
      <c r="BQ1025" t="s">
        <v>93</v>
      </c>
      <c r="BR1025" t="s">
        <v>94</v>
      </c>
    </row>
    <row r="1026" spans="1:70" x14ac:dyDescent="0.3">
      <c r="A1026" t="str">
        <f>"200547C0100"</f>
        <v>200547C0100</v>
      </c>
      <c r="B1026" t="s">
        <v>2177</v>
      </c>
      <c r="C1026">
        <v>20</v>
      </c>
      <c r="D1026" t="s">
        <v>88</v>
      </c>
      <c r="E1026">
        <v>66</v>
      </c>
      <c r="F1026" t="s">
        <v>1713</v>
      </c>
      <c r="G1026">
        <v>547</v>
      </c>
      <c r="H1026">
        <v>1</v>
      </c>
      <c r="I1026" t="s">
        <v>98</v>
      </c>
      <c r="J1026">
        <v>0</v>
      </c>
      <c r="K1026">
        <v>1</v>
      </c>
      <c r="L1026">
        <v>5</v>
      </c>
      <c r="M1026">
        <v>202</v>
      </c>
      <c r="N1026">
        <v>458</v>
      </c>
      <c r="O1026">
        <v>6</v>
      </c>
      <c r="P1026">
        <v>444</v>
      </c>
      <c r="Q1026">
        <v>83</v>
      </c>
      <c r="R1026">
        <v>88</v>
      </c>
      <c r="S1026">
        <v>5</v>
      </c>
      <c r="T1026">
        <v>9</v>
      </c>
      <c r="U1026">
        <v>16</v>
      </c>
      <c r="V1026">
        <v>7</v>
      </c>
      <c r="W1026">
        <v>6</v>
      </c>
      <c r="X1026">
        <v>11</v>
      </c>
      <c r="Y1026">
        <v>176</v>
      </c>
      <c r="Z1026">
        <v>6</v>
      </c>
      <c r="AA1026">
        <v>2</v>
      </c>
      <c r="AB1026">
        <v>13</v>
      </c>
      <c r="AC1026">
        <v>4</v>
      </c>
      <c r="AD1026">
        <v>2</v>
      </c>
      <c r="AE1026">
        <v>0</v>
      </c>
      <c r="AF1026">
        <v>0</v>
      </c>
      <c r="AK1026">
        <v>5</v>
      </c>
      <c r="AL1026">
        <v>5</v>
      </c>
      <c r="AM1026">
        <v>0</v>
      </c>
      <c r="AN1026">
        <v>1</v>
      </c>
      <c r="AT1026">
        <v>5</v>
      </c>
      <c r="BC1026">
        <v>0</v>
      </c>
      <c r="BD1026">
        <v>14</v>
      </c>
      <c r="BE1026">
        <v>458</v>
      </c>
      <c r="BF1026">
        <v>458</v>
      </c>
      <c r="BG1026">
        <v>638</v>
      </c>
      <c r="BJ1026">
        <v>1</v>
      </c>
      <c r="BL1026" t="s">
        <v>2178</v>
      </c>
      <c r="BM1026" s="4">
        <v>43283.106944444444</v>
      </c>
      <c r="BN1026" s="4">
        <v>43283.113715277781</v>
      </c>
      <c r="BO1026" s="4">
        <v>43283.113715277781</v>
      </c>
      <c r="BP1026" t="s">
        <v>92</v>
      </c>
      <c r="BQ1026" t="s">
        <v>93</v>
      </c>
      <c r="BR1026" t="s">
        <v>94</v>
      </c>
    </row>
    <row r="1027" spans="1:70" x14ac:dyDescent="0.3">
      <c r="A1027" t="str">
        <f>"200548B0100"</f>
        <v>200548B0100</v>
      </c>
      <c r="B1027" t="s">
        <v>2179</v>
      </c>
      <c r="C1027">
        <v>20</v>
      </c>
      <c r="D1027" t="s">
        <v>88</v>
      </c>
      <c r="E1027">
        <v>66</v>
      </c>
      <c r="F1027" t="s">
        <v>1713</v>
      </c>
      <c r="G1027">
        <v>548</v>
      </c>
      <c r="H1027">
        <v>1</v>
      </c>
      <c r="I1027" t="s">
        <v>90</v>
      </c>
      <c r="J1027">
        <v>0</v>
      </c>
      <c r="K1027">
        <v>1</v>
      </c>
      <c r="L1027">
        <v>5</v>
      </c>
      <c r="M1027">
        <v>114</v>
      </c>
      <c r="N1027">
        <v>302</v>
      </c>
      <c r="O1027">
        <v>8</v>
      </c>
      <c r="P1027">
        <v>299</v>
      </c>
      <c r="Q1027">
        <v>46</v>
      </c>
      <c r="R1027">
        <v>78</v>
      </c>
      <c r="S1027">
        <v>2</v>
      </c>
      <c r="T1027">
        <v>4</v>
      </c>
      <c r="U1027">
        <v>7</v>
      </c>
      <c r="V1027">
        <v>2</v>
      </c>
      <c r="W1027">
        <v>2</v>
      </c>
      <c r="X1027">
        <v>1</v>
      </c>
      <c r="Y1027">
        <v>123</v>
      </c>
      <c r="Z1027">
        <v>1</v>
      </c>
      <c r="AA1027">
        <v>2</v>
      </c>
      <c r="AB1027">
        <v>8</v>
      </c>
      <c r="AC1027">
        <v>1</v>
      </c>
      <c r="AD1027">
        <v>1</v>
      </c>
      <c r="AE1027">
        <v>1</v>
      </c>
      <c r="AF1027">
        <v>0</v>
      </c>
      <c r="AK1027">
        <v>4</v>
      </c>
      <c r="AL1027">
        <v>1</v>
      </c>
      <c r="AM1027">
        <v>0</v>
      </c>
      <c r="AN1027">
        <v>0</v>
      </c>
      <c r="AT1027">
        <v>4</v>
      </c>
      <c r="BC1027">
        <v>1</v>
      </c>
      <c r="BD1027">
        <v>10</v>
      </c>
      <c r="BE1027">
        <v>299</v>
      </c>
      <c r="BF1027">
        <v>299</v>
      </c>
      <c r="BG1027">
        <v>391</v>
      </c>
      <c r="BJ1027">
        <v>1</v>
      </c>
      <c r="BL1027" t="s">
        <v>2180</v>
      </c>
      <c r="BM1027" s="4">
        <v>43283.124305555553</v>
      </c>
      <c r="BN1027" s="4">
        <v>43283.130497685182</v>
      </c>
      <c r="BO1027" s="4">
        <v>43283.130497685182</v>
      </c>
      <c r="BP1027" t="s">
        <v>92</v>
      </c>
      <c r="BQ1027" t="s">
        <v>93</v>
      </c>
      <c r="BR1027" t="s">
        <v>94</v>
      </c>
    </row>
    <row r="1028" spans="1:70" x14ac:dyDescent="0.3">
      <c r="A1028" t="str">
        <f>"200548C0100"</f>
        <v>200548C0100</v>
      </c>
      <c r="B1028" t="s">
        <v>2181</v>
      </c>
      <c r="C1028">
        <v>20</v>
      </c>
      <c r="D1028" t="s">
        <v>88</v>
      </c>
      <c r="E1028">
        <v>66</v>
      </c>
      <c r="F1028" t="s">
        <v>1713</v>
      </c>
      <c r="G1028">
        <v>548</v>
      </c>
      <c r="H1028">
        <v>1</v>
      </c>
      <c r="I1028" t="s">
        <v>98</v>
      </c>
      <c r="J1028">
        <v>0</v>
      </c>
      <c r="K1028">
        <v>1</v>
      </c>
      <c r="L1028">
        <v>5</v>
      </c>
      <c r="M1028">
        <v>116</v>
      </c>
      <c r="N1028">
        <v>297</v>
      </c>
      <c r="O1028" t="s">
        <v>127</v>
      </c>
      <c r="P1028">
        <v>297</v>
      </c>
      <c r="Q1028">
        <v>40</v>
      </c>
      <c r="R1028">
        <v>89</v>
      </c>
      <c r="S1028">
        <v>10</v>
      </c>
      <c r="T1028">
        <v>7</v>
      </c>
      <c r="U1028">
        <v>11</v>
      </c>
      <c r="V1028">
        <v>2</v>
      </c>
      <c r="W1028">
        <v>4</v>
      </c>
      <c r="X1028">
        <v>3</v>
      </c>
      <c r="Y1028">
        <v>103</v>
      </c>
      <c r="Z1028">
        <v>5</v>
      </c>
      <c r="AA1028">
        <v>2</v>
      </c>
      <c r="AB1028">
        <v>5</v>
      </c>
      <c r="AC1028">
        <v>2</v>
      </c>
      <c r="AD1028">
        <v>2</v>
      </c>
      <c r="AE1028">
        <v>0</v>
      </c>
      <c r="AF1028">
        <v>0</v>
      </c>
      <c r="AK1028">
        <v>2</v>
      </c>
      <c r="AL1028">
        <v>0</v>
      </c>
      <c r="AM1028">
        <v>1</v>
      </c>
      <c r="AN1028">
        <v>1</v>
      </c>
      <c r="AT1028">
        <v>2</v>
      </c>
      <c r="BC1028" t="s">
        <v>105</v>
      </c>
      <c r="BD1028">
        <v>6</v>
      </c>
      <c r="BE1028">
        <v>297</v>
      </c>
      <c r="BF1028">
        <v>297</v>
      </c>
      <c r="BG1028">
        <v>391</v>
      </c>
      <c r="BI1028" t="s">
        <v>106</v>
      </c>
      <c r="BJ1028">
        <v>1</v>
      </c>
      <c r="BL1028" t="s">
        <v>2182</v>
      </c>
      <c r="BM1028" s="4">
        <v>43283.126388888886</v>
      </c>
      <c r="BN1028" s="4">
        <v>43283.129641203705</v>
      </c>
      <c r="BO1028" s="4">
        <v>43283.129641203705</v>
      </c>
      <c r="BP1028" t="s">
        <v>92</v>
      </c>
      <c r="BQ1028" t="s">
        <v>93</v>
      </c>
      <c r="BR1028" t="s">
        <v>94</v>
      </c>
    </row>
    <row r="1029" spans="1:70" x14ac:dyDescent="0.3">
      <c r="A1029" t="str">
        <f>"200549B0100"</f>
        <v>200549B0100</v>
      </c>
      <c r="B1029" t="s">
        <v>2183</v>
      </c>
      <c r="C1029">
        <v>20</v>
      </c>
      <c r="D1029" t="s">
        <v>88</v>
      </c>
      <c r="E1029">
        <v>66</v>
      </c>
      <c r="F1029" t="s">
        <v>1713</v>
      </c>
      <c r="G1029">
        <v>549</v>
      </c>
      <c r="H1029">
        <v>1</v>
      </c>
      <c r="I1029" t="s">
        <v>90</v>
      </c>
      <c r="J1029">
        <v>0</v>
      </c>
      <c r="K1029">
        <v>1</v>
      </c>
      <c r="L1029">
        <v>5</v>
      </c>
      <c r="M1029">
        <v>144</v>
      </c>
      <c r="N1029">
        <v>331</v>
      </c>
      <c r="O1029">
        <v>10</v>
      </c>
      <c r="P1029">
        <v>318</v>
      </c>
      <c r="Q1029">
        <v>54</v>
      </c>
      <c r="R1029">
        <v>58</v>
      </c>
      <c r="S1029">
        <v>7</v>
      </c>
      <c r="T1029">
        <v>4</v>
      </c>
      <c r="U1029">
        <v>8</v>
      </c>
      <c r="V1029">
        <v>8</v>
      </c>
      <c r="W1029">
        <v>6</v>
      </c>
      <c r="X1029">
        <v>8</v>
      </c>
      <c r="Y1029">
        <v>139</v>
      </c>
      <c r="Z1029">
        <v>3</v>
      </c>
      <c r="AA1029">
        <v>2</v>
      </c>
      <c r="AB1029">
        <v>10</v>
      </c>
      <c r="AC1029">
        <v>1</v>
      </c>
      <c r="AD1029">
        <v>0</v>
      </c>
      <c r="AE1029">
        <v>0</v>
      </c>
      <c r="AF1029">
        <v>0</v>
      </c>
      <c r="AK1029">
        <v>3</v>
      </c>
      <c r="AL1029">
        <v>0</v>
      </c>
      <c r="AM1029">
        <v>0</v>
      </c>
      <c r="AN1029">
        <v>1</v>
      </c>
      <c r="AT1029">
        <v>5</v>
      </c>
      <c r="BC1029">
        <v>1</v>
      </c>
      <c r="BD1029">
        <v>10</v>
      </c>
      <c r="BE1029">
        <v>328</v>
      </c>
      <c r="BF1029">
        <v>328</v>
      </c>
      <c r="BG1029">
        <v>450</v>
      </c>
      <c r="BJ1029">
        <v>1</v>
      </c>
      <c r="BL1029" t="s">
        <v>2184</v>
      </c>
      <c r="BM1029" s="4">
        <v>43283.113194444442</v>
      </c>
      <c r="BN1029" s="4">
        <v>43283.119375000002</v>
      </c>
      <c r="BO1029" s="4">
        <v>43283.119375000002</v>
      </c>
      <c r="BP1029" t="s">
        <v>92</v>
      </c>
      <c r="BQ1029" t="s">
        <v>93</v>
      </c>
      <c r="BR1029" t="s">
        <v>94</v>
      </c>
    </row>
    <row r="1030" spans="1:70" x14ac:dyDescent="0.3">
      <c r="A1030" t="str">
        <f>"200550B0100"</f>
        <v>200550B0100</v>
      </c>
      <c r="B1030" t="s">
        <v>2185</v>
      </c>
      <c r="C1030">
        <v>20</v>
      </c>
      <c r="D1030" t="s">
        <v>88</v>
      </c>
      <c r="E1030">
        <v>66</v>
      </c>
      <c r="F1030" t="s">
        <v>1713</v>
      </c>
      <c r="G1030">
        <v>550</v>
      </c>
      <c r="H1030">
        <v>1</v>
      </c>
      <c r="I1030" t="s">
        <v>90</v>
      </c>
      <c r="J1030">
        <v>0</v>
      </c>
      <c r="K1030">
        <v>1</v>
      </c>
      <c r="L1030">
        <v>5</v>
      </c>
      <c r="M1030">
        <v>185</v>
      </c>
      <c r="N1030">
        <v>368</v>
      </c>
      <c r="O1030">
        <v>0</v>
      </c>
      <c r="P1030">
        <v>368</v>
      </c>
      <c r="Q1030">
        <v>54</v>
      </c>
      <c r="R1030">
        <v>93</v>
      </c>
      <c r="S1030">
        <v>6</v>
      </c>
      <c r="T1030">
        <v>2</v>
      </c>
      <c r="U1030">
        <v>9</v>
      </c>
      <c r="V1030">
        <v>6</v>
      </c>
      <c r="W1030">
        <v>4</v>
      </c>
      <c r="X1030">
        <v>6</v>
      </c>
      <c r="Y1030">
        <v>141</v>
      </c>
      <c r="Z1030">
        <v>6</v>
      </c>
      <c r="AA1030">
        <v>1</v>
      </c>
      <c r="AB1030">
        <v>12</v>
      </c>
      <c r="AC1030">
        <v>0</v>
      </c>
      <c r="AD1030">
        <v>1</v>
      </c>
      <c r="AE1030">
        <v>0</v>
      </c>
      <c r="AF1030">
        <v>0</v>
      </c>
      <c r="AK1030">
        <v>3</v>
      </c>
      <c r="AL1030">
        <v>1</v>
      </c>
      <c r="AM1030">
        <v>0</v>
      </c>
      <c r="AN1030">
        <v>0</v>
      </c>
      <c r="AT1030">
        <v>0</v>
      </c>
      <c r="BC1030">
        <v>0</v>
      </c>
      <c r="BD1030">
        <v>13</v>
      </c>
      <c r="BE1030">
        <v>368</v>
      </c>
      <c r="BF1030">
        <v>358</v>
      </c>
      <c r="BG1030">
        <v>531</v>
      </c>
      <c r="BJ1030">
        <v>1</v>
      </c>
      <c r="BL1030" t="s">
        <v>2186</v>
      </c>
      <c r="BM1030" s="4">
        <v>43283.114583333336</v>
      </c>
      <c r="BN1030" s="4">
        <v>43283.124710648146</v>
      </c>
      <c r="BO1030" s="4">
        <v>43283.124710648146</v>
      </c>
      <c r="BP1030" t="s">
        <v>92</v>
      </c>
      <c r="BQ1030" t="s">
        <v>93</v>
      </c>
      <c r="BR1030" t="s">
        <v>94</v>
      </c>
    </row>
    <row r="1031" spans="1:70" x14ac:dyDescent="0.3">
      <c r="A1031" t="str">
        <f>"200551B0100"</f>
        <v>200551B0100</v>
      </c>
      <c r="B1031" t="s">
        <v>2187</v>
      </c>
      <c r="C1031">
        <v>20</v>
      </c>
      <c r="D1031" t="s">
        <v>88</v>
      </c>
      <c r="E1031">
        <v>66</v>
      </c>
      <c r="F1031" t="s">
        <v>1713</v>
      </c>
      <c r="G1031">
        <v>551</v>
      </c>
      <c r="H1031">
        <v>1</v>
      </c>
      <c r="I1031" t="s">
        <v>90</v>
      </c>
      <c r="J1031">
        <v>0</v>
      </c>
      <c r="K1031">
        <v>1</v>
      </c>
      <c r="L1031">
        <v>5</v>
      </c>
      <c r="M1031">
        <v>155</v>
      </c>
      <c r="N1031">
        <v>330</v>
      </c>
      <c r="O1031">
        <v>6</v>
      </c>
      <c r="P1031">
        <v>330</v>
      </c>
      <c r="Q1031">
        <v>64</v>
      </c>
      <c r="R1031">
        <v>73</v>
      </c>
      <c r="S1031">
        <v>5</v>
      </c>
      <c r="T1031">
        <v>3</v>
      </c>
      <c r="U1031">
        <v>13</v>
      </c>
      <c r="V1031">
        <v>4</v>
      </c>
      <c r="W1031">
        <v>4</v>
      </c>
      <c r="X1031">
        <v>4</v>
      </c>
      <c r="Y1031">
        <v>118</v>
      </c>
      <c r="Z1031">
        <v>9</v>
      </c>
      <c r="AA1031">
        <v>2</v>
      </c>
      <c r="AB1031">
        <v>11</v>
      </c>
      <c r="AC1031">
        <v>1</v>
      </c>
      <c r="AD1031">
        <v>0</v>
      </c>
      <c r="AE1031">
        <v>2</v>
      </c>
      <c r="AF1031">
        <v>0</v>
      </c>
      <c r="AK1031">
        <v>2</v>
      </c>
      <c r="AL1031">
        <v>0</v>
      </c>
      <c r="AM1031">
        <v>0</v>
      </c>
      <c r="AN1031">
        <v>0</v>
      </c>
      <c r="AT1031">
        <v>3</v>
      </c>
      <c r="BC1031">
        <v>0</v>
      </c>
      <c r="BD1031">
        <v>12</v>
      </c>
      <c r="BE1031">
        <v>330</v>
      </c>
      <c r="BF1031">
        <v>330</v>
      </c>
      <c r="BG1031">
        <v>463</v>
      </c>
      <c r="BJ1031">
        <v>1</v>
      </c>
      <c r="BL1031" t="s">
        <v>2188</v>
      </c>
      <c r="BM1031" s="4">
        <v>43283.123611111114</v>
      </c>
      <c r="BN1031" s="4">
        <v>43283.127523148149</v>
      </c>
      <c r="BO1031" s="4">
        <v>43283.127523148149</v>
      </c>
      <c r="BP1031" t="s">
        <v>92</v>
      </c>
      <c r="BQ1031" t="s">
        <v>93</v>
      </c>
      <c r="BR1031" t="s">
        <v>94</v>
      </c>
    </row>
    <row r="1032" spans="1:70" x14ac:dyDescent="0.3">
      <c r="A1032" t="str">
        <f>"200551C0100"</f>
        <v>200551C0100</v>
      </c>
      <c r="B1032" t="s">
        <v>2189</v>
      </c>
      <c r="C1032">
        <v>20</v>
      </c>
      <c r="D1032" t="s">
        <v>88</v>
      </c>
      <c r="E1032">
        <v>66</v>
      </c>
      <c r="F1032" t="s">
        <v>1713</v>
      </c>
      <c r="G1032">
        <v>551</v>
      </c>
      <c r="H1032">
        <v>1</v>
      </c>
      <c r="I1032" t="s">
        <v>98</v>
      </c>
      <c r="J1032">
        <v>0</v>
      </c>
      <c r="K1032">
        <v>1</v>
      </c>
      <c r="L1032">
        <v>5</v>
      </c>
      <c r="M1032">
        <v>135</v>
      </c>
      <c r="N1032">
        <v>350</v>
      </c>
      <c r="O1032">
        <v>9</v>
      </c>
      <c r="P1032">
        <v>349</v>
      </c>
      <c r="Q1032">
        <v>56</v>
      </c>
      <c r="R1032">
        <v>92</v>
      </c>
      <c r="S1032">
        <v>10</v>
      </c>
      <c r="T1032">
        <v>5</v>
      </c>
      <c r="U1032">
        <v>11</v>
      </c>
      <c r="V1032">
        <v>6</v>
      </c>
      <c r="W1032">
        <v>5</v>
      </c>
      <c r="X1032">
        <v>4</v>
      </c>
      <c r="Y1032">
        <v>132</v>
      </c>
      <c r="Z1032">
        <v>6</v>
      </c>
      <c r="AA1032">
        <v>2</v>
      </c>
      <c r="AB1032">
        <v>3</v>
      </c>
      <c r="AC1032">
        <v>1</v>
      </c>
      <c r="AD1032">
        <v>0</v>
      </c>
      <c r="AE1032">
        <v>0</v>
      </c>
      <c r="AF1032">
        <v>0</v>
      </c>
      <c r="AK1032">
        <v>1</v>
      </c>
      <c r="AL1032">
        <v>1</v>
      </c>
      <c r="AM1032">
        <v>0</v>
      </c>
      <c r="AN1032">
        <v>0</v>
      </c>
      <c r="AT1032">
        <v>3</v>
      </c>
      <c r="BC1032">
        <v>0</v>
      </c>
      <c r="BD1032">
        <v>6</v>
      </c>
      <c r="BE1032">
        <v>349</v>
      </c>
      <c r="BF1032">
        <v>344</v>
      </c>
      <c r="BG1032">
        <v>463</v>
      </c>
      <c r="BJ1032">
        <v>1</v>
      </c>
      <c r="BL1032" t="s">
        <v>2190</v>
      </c>
      <c r="BM1032" s="4">
        <v>43283.113888888889</v>
      </c>
      <c r="BN1032" s="4">
        <v>43283.12060185185</v>
      </c>
      <c r="BO1032" s="4">
        <v>43283.12060185185</v>
      </c>
      <c r="BP1032" t="s">
        <v>92</v>
      </c>
      <c r="BQ1032" t="s">
        <v>93</v>
      </c>
      <c r="BR1032" t="s">
        <v>94</v>
      </c>
    </row>
    <row r="1033" spans="1:70" x14ac:dyDescent="0.3">
      <c r="A1033" t="str">
        <f>"200552B0100"</f>
        <v>200552B0100</v>
      </c>
      <c r="B1033" t="s">
        <v>2191</v>
      </c>
      <c r="C1033">
        <v>20</v>
      </c>
      <c r="D1033" t="s">
        <v>88</v>
      </c>
      <c r="E1033">
        <v>66</v>
      </c>
      <c r="F1033" t="s">
        <v>1713</v>
      </c>
      <c r="G1033">
        <v>552</v>
      </c>
      <c r="H1033">
        <v>1</v>
      </c>
      <c r="I1033" t="s">
        <v>90</v>
      </c>
      <c r="J1033">
        <v>0</v>
      </c>
      <c r="K1033">
        <v>1</v>
      </c>
      <c r="L1033">
        <v>5</v>
      </c>
      <c r="M1033">
        <v>187</v>
      </c>
      <c r="N1033">
        <v>483</v>
      </c>
      <c r="O1033">
        <v>12</v>
      </c>
      <c r="P1033">
        <v>481</v>
      </c>
      <c r="Q1033">
        <v>86</v>
      </c>
      <c r="R1033">
        <v>78</v>
      </c>
      <c r="S1033">
        <v>14</v>
      </c>
      <c r="T1033">
        <v>3</v>
      </c>
      <c r="U1033">
        <v>23</v>
      </c>
      <c r="V1033">
        <v>7</v>
      </c>
      <c r="W1033">
        <v>12</v>
      </c>
      <c r="X1033">
        <v>9</v>
      </c>
      <c r="Y1033">
        <v>204</v>
      </c>
      <c r="Z1033">
        <v>8</v>
      </c>
      <c r="AA1033">
        <v>7</v>
      </c>
      <c r="AB1033">
        <v>12</v>
      </c>
      <c r="AC1033">
        <v>4</v>
      </c>
      <c r="AD1033">
        <v>0</v>
      </c>
      <c r="AE1033">
        <v>0</v>
      </c>
      <c r="AF1033">
        <v>0</v>
      </c>
      <c r="AK1033">
        <v>2</v>
      </c>
      <c r="AL1033">
        <v>0</v>
      </c>
      <c r="AM1033">
        <v>1</v>
      </c>
      <c r="AN1033">
        <v>0</v>
      </c>
      <c r="AT1033">
        <v>1</v>
      </c>
      <c r="BC1033">
        <v>0</v>
      </c>
      <c r="BD1033">
        <v>10</v>
      </c>
      <c r="BE1033">
        <v>481</v>
      </c>
      <c r="BF1033">
        <v>481</v>
      </c>
      <c r="BG1033">
        <v>648</v>
      </c>
      <c r="BJ1033">
        <v>1</v>
      </c>
      <c r="BL1033" t="s">
        <v>2192</v>
      </c>
      <c r="BM1033" s="4">
        <v>43283.124305555553</v>
      </c>
      <c r="BN1033" s="4">
        <v>43283.128275462965</v>
      </c>
      <c r="BO1033" s="4">
        <v>43283.128275462965</v>
      </c>
      <c r="BP1033" t="s">
        <v>92</v>
      </c>
      <c r="BQ1033" t="s">
        <v>93</v>
      </c>
      <c r="BR1033" t="s">
        <v>94</v>
      </c>
    </row>
    <row r="1034" spans="1:70" x14ac:dyDescent="0.3">
      <c r="A1034" t="str">
        <f>"200552C0100"</f>
        <v>200552C0100</v>
      </c>
      <c r="B1034" t="s">
        <v>2193</v>
      </c>
      <c r="C1034">
        <v>20</v>
      </c>
      <c r="D1034" t="s">
        <v>88</v>
      </c>
      <c r="E1034">
        <v>66</v>
      </c>
      <c r="F1034" t="s">
        <v>1713</v>
      </c>
      <c r="G1034">
        <v>552</v>
      </c>
      <c r="H1034">
        <v>1</v>
      </c>
      <c r="I1034" t="s">
        <v>98</v>
      </c>
      <c r="J1034">
        <v>0</v>
      </c>
      <c r="K1034">
        <v>1</v>
      </c>
      <c r="L1034">
        <v>5</v>
      </c>
      <c r="M1034">
        <v>205</v>
      </c>
      <c r="N1034">
        <v>465</v>
      </c>
      <c r="O1034">
        <v>5</v>
      </c>
      <c r="P1034">
        <v>465</v>
      </c>
      <c r="Q1034">
        <v>76</v>
      </c>
      <c r="R1034">
        <v>77</v>
      </c>
      <c r="S1034">
        <v>15</v>
      </c>
      <c r="T1034">
        <v>7</v>
      </c>
      <c r="U1034">
        <v>18</v>
      </c>
      <c r="V1034">
        <v>13</v>
      </c>
      <c r="W1034">
        <v>3</v>
      </c>
      <c r="X1034">
        <v>7</v>
      </c>
      <c r="Y1034">
        <v>201</v>
      </c>
      <c r="Z1034">
        <v>8</v>
      </c>
      <c r="AA1034">
        <v>1</v>
      </c>
      <c r="AB1034">
        <v>14</v>
      </c>
      <c r="AC1034">
        <v>1</v>
      </c>
      <c r="AD1034">
        <v>3</v>
      </c>
      <c r="AE1034">
        <v>0</v>
      </c>
      <c r="AF1034">
        <v>0</v>
      </c>
      <c r="AK1034">
        <v>5</v>
      </c>
      <c r="AL1034">
        <v>0</v>
      </c>
      <c r="AM1034">
        <v>0</v>
      </c>
      <c r="AN1034">
        <v>3</v>
      </c>
      <c r="AT1034">
        <v>2</v>
      </c>
      <c r="BC1034">
        <v>0</v>
      </c>
      <c r="BD1034">
        <v>11</v>
      </c>
      <c r="BE1034">
        <v>465</v>
      </c>
      <c r="BF1034">
        <v>465</v>
      </c>
      <c r="BG1034">
        <v>648</v>
      </c>
      <c r="BJ1034">
        <v>1</v>
      </c>
      <c r="BL1034" t="s">
        <v>2194</v>
      </c>
      <c r="BM1034" s="4">
        <v>43283.125</v>
      </c>
      <c r="BN1034" s="4">
        <v>43283.129803240743</v>
      </c>
      <c r="BO1034" s="4">
        <v>43283.129803240743</v>
      </c>
      <c r="BP1034" t="s">
        <v>92</v>
      </c>
      <c r="BQ1034" t="s">
        <v>93</v>
      </c>
      <c r="BR1034" t="s">
        <v>94</v>
      </c>
    </row>
    <row r="1035" spans="1:70" x14ac:dyDescent="0.3">
      <c r="A1035" t="str">
        <f>"200553B0100"</f>
        <v>200553B0100</v>
      </c>
      <c r="B1035" t="s">
        <v>2195</v>
      </c>
      <c r="C1035">
        <v>20</v>
      </c>
      <c r="D1035" t="s">
        <v>88</v>
      </c>
      <c r="E1035">
        <v>66</v>
      </c>
      <c r="F1035" t="s">
        <v>1713</v>
      </c>
      <c r="G1035">
        <v>553</v>
      </c>
      <c r="H1035">
        <v>1</v>
      </c>
      <c r="I1035" t="s">
        <v>90</v>
      </c>
      <c r="J1035">
        <v>0</v>
      </c>
      <c r="K1035">
        <v>1</v>
      </c>
      <c r="L1035">
        <v>5</v>
      </c>
      <c r="M1035">
        <v>209</v>
      </c>
      <c r="N1035">
        <v>343</v>
      </c>
      <c r="O1035">
        <v>11</v>
      </c>
      <c r="P1035">
        <v>346</v>
      </c>
      <c r="Q1035">
        <v>57</v>
      </c>
      <c r="R1035">
        <v>65</v>
      </c>
      <c r="S1035">
        <v>12</v>
      </c>
      <c r="T1035">
        <v>6</v>
      </c>
      <c r="U1035">
        <v>13</v>
      </c>
      <c r="V1035">
        <v>5</v>
      </c>
      <c r="W1035">
        <v>3</v>
      </c>
      <c r="X1035">
        <v>5</v>
      </c>
      <c r="Y1035">
        <v>155</v>
      </c>
      <c r="Z1035">
        <v>4</v>
      </c>
      <c r="AA1035">
        <v>1</v>
      </c>
      <c r="AB1035">
        <v>6</v>
      </c>
      <c r="AC1035">
        <v>1</v>
      </c>
      <c r="AD1035">
        <v>0</v>
      </c>
      <c r="AE1035">
        <v>1</v>
      </c>
      <c r="AF1035">
        <v>0</v>
      </c>
      <c r="AK1035">
        <v>2</v>
      </c>
      <c r="AL1035">
        <v>3</v>
      </c>
      <c r="AM1035">
        <v>0</v>
      </c>
      <c r="AN1035">
        <v>0</v>
      </c>
      <c r="AT1035">
        <v>1</v>
      </c>
      <c r="BC1035">
        <v>0</v>
      </c>
      <c r="BD1035">
        <v>6</v>
      </c>
      <c r="BE1035">
        <v>346</v>
      </c>
      <c r="BF1035">
        <v>346</v>
      </c>
      <c r="BG1035">
        <v>530</v>
      </c>
      <c r="BJ1035">
        <v>1</v>
      </c>
      <c r="BL1035" t="s">
        <v>2196</v>
      </c>
      <c r="BM1035" s="4">
        <v>43283.179166666669</v>
      </c>
      <c r="BN1035" s="4">
        <v>43283.197256944448</v>
      </c>
      <c r="BO1035" s="4">
        <v>43283.197256944448</v>
      </c>
      <c r="BP1035" t="s">
        <v>92</v>
      </c>
      <c r="BQ1035" t="s">
        <v>93</v>
      </c>
      <c r="BR1035" t="s">
        <v>94</v>
      </c>
    </row>
    <row r="1036" spans="1:70" x14ac:dyDescent="0.3">
      <c r="A1036" t="str">
        <f>"200553C0100"</f>
        <v>200553C0100</v>
      </c>
      <c r="B1036" t="s">
        <v>2197</v>
      </c>
      <c r="C1036">
        <v>20</v>
      </c>
      <c r="D1036" t="s">
        <v>88</v>
      </c>
      <c r="E1036">
        <v>66</v>
      </c>
      <c r="F1036" t="s">
        <v>1713</v>
      </c>
      <c r="G1036">
        <v>553</v>
      </c>
      <c r="H1036">
        <v>1</v>
      </c>
      <c r="I1036" t="s">
        <v>98</v>
      </c>
      <c r="J1036">
        <v>0</v>
      </c>
      <c r="K1036">
        <v>1</v>
      </c>
      <c r="L1036">
        <v>5</v>
      </c>
      <c r="M1036">
        <v>187</v>
      </c>
      <c r="N1036">
        <v>365</v>
      </c>
      <c r="O1036">
        <v>8</v>
      </c>
      <c r="P1036">
        <v>343</v>
      </c>
      <c r="Q1036">
        <v>52</v>
      </c>
      <c r="R1036">
        <v>42</v>
      </c>
      <c r="S1036">
        <v>8</v>
      </c>
      <c r="T1036">
        <v>5</v>
      </c>
      <c r="U1036">
        <v>24</v>
      </c>
      <c r="V1036">
        <v>5</v>
      </c>
      <c r="W1036">
        <v>10</v>
      </c>
      <c r="X1036">
        <v>172</v>
      </c>
      <c r="Y1036">
        <v>6</v>
      </c>
      <c r="Z1036">
        <v>9</v>
      </c>
      <c r="AA1036">
        <v>4</v>
      </c>
      <c r="AB1036">
        <v>6</v>
      </c>
      <c r="AC1036">
        <v>1</v>
      </c>
      <c r="AD1036">
        <v>1</v>
      </c>
      <c r="AE1036">
        <v>0</v>
      </c>
      <c r="AF1036">
        <v>1</v>
      </c>
      <c r="AK1036">
        <v>3</v>
      </c>
      <c r="AL1036">
        <v>3</v>
      </c>
      <c r="AM1036">
        <v>1</v>
      </c>
      <c r="AN1036">
        <v>0</v>
      </c>
      <c r="AT1036">
        <v>3</v>
      </c>
      <c r="BC1036">
        <v>0</v>
      </c>
      <c r="BD1036">
        <v>6</v>
      </c>
      <c r="BE1036">
        <v>362</v>
      </c>
      <c r="BF1036">
        <v>362</v>
      </c>
      <c r="BG1036">
        <v>530</v>
      </c>
      <c r="BJ1036">
        <v>1</v>
      </c>
      <c r="BL1036" t="s">
        <v>2198</v>
      </c>
      <c r="BM1036" s="4">
        <v>43283.177083333336</v>
      </c>
      <c r="BN1036" s="4">
        <v>43283.194143518522</v>
      </c>
      <c r="BO1036" s="4">
        <v>43283.194143518522</v>
      </c>
      <c r="BP1036" t="s">
        <v>92</v>
      </c>
      <c r="BQ1036" t="s">
        <v>93</v>
      </c>
      <c r="BR1036" t="s">
        <v>94</v>
      </c>
    </row>
    <row r="1037" spans="1:70" x14ac:dyDescent="0.3">
      <c r="A1037" t="str">
        <f>"200553C0200"</f>
        <v>200553C0200</v>
      </c>
      <c r="B1037" t="s">
        <v>2199</v>
      </c>
      <c r="C1037">
        <v>20</v>
      </c>
      <c r="D1037" t="s">
        <v>88</v>
      </c>
      <c r="E1037">
        <v>66</v>
      </c>
      <c r="F1037" t="s">
        <v>1713</v>
      </c>
      <c r="G1037">
        <v>553</v>
      </c>
      <c r="H1037">
        <v>2</v>
      </c>
      <c r="I1037" t="s">
        <v>98</v>
      </c>
      <c r="J1037">
        <v>0</v>
      </c>
      <c r="K1037">
        <v>1</v>
      </c>
      <c r="L1037">
        <v>5</v>
      </c>
      <c r="M1037">
        <v>213</v>
      </c>
      <c r="N1037">
        <v>337</v>
      </c>
      <c r="O1037">
        <v>4</v>
      </c>
      <c r="P1037">
        <v>335</v>
      </c>
      <c r="Q1037">
        <v>72</v>
      </c>
      <c r="R1037">
        <v>44</v>
      </c>
      <c r="S1037">
        <v>8</v>
      </c>
      <c r="T1037">
        <v>5</v>
      </c>
      <c r="U1037">
        <v>8</v>
      </c>
      <c r="V1037">
        <v>3</v>
      </c>
      <c r="W1037">
        <v>3</v>
      </c>
      <c r="X1037">
        <v>3</v>
      </c>
      <c r="Y1037">
        <v>151</v>
      </c>
      <c r="Z1037">
        <v>6</v>
      </c>
      <c r="AA1037">
        <v>3</v>
      </c>
      <c r="AB1037">
        <v>12</v>
      </c>
      <c r="AC1037">
        <v>0</v>
      </c>
      <c r="AD1037">
        <v>1</v>
      </c>
      <c r="AE1037">
        <v>0</v>
      </c>
      <c r="AF1037">
        <v>0</v>
      </c>
      <c r="AK1037">
        <v>2</v>
      </c>
      <c r="AL1037">
        <v>5</v>
      </c>
      <c r="AM1037">
        <v>1</v>
      </c>
      <c r="AN1037">
        <v>0</v>
      </c>
      <c r="AT1037">
        <v>1</v>
      </c>
      <c r="BC1037">
        <v>1</v>
      </c>
      <c r="BD1037">
        <v>6</v>
      </c>
      <c r="BE1037">
        <v>335</v>
      </c>
      <c r="BF1037">
        <v>335</v>
      </c>
      <c r="BG1037">
        <v>529</v>
      </c>
      <c r="BJ1037">
        <v>1</v>
      </c>
      <c r="BL1037" t="s">
        <v>2200</v>
      </c>
      <c r="BM1037" s="4">
        <v>43283.179166666669</v>
      </c>
      <c r="BN1037" s="4">
        <v>43283.196250000001</v>
      </c>
      <c r="BO1037" s="4">
        <v>43283.196250000001</v>
      </c>
      <c r="BP1037" t="s">
        <v>92</v>
      </c>
      <c r="BQ1037" t="s">
        <v>93</v>
      </c>
      <c r="BR1037" t="s">
        <v>94</v>
      </c>
    </row>
    <row r="1038" spans="1:70" x14ac:dyDescent="0.3">
      <c r="A1038" t="str">
        <f>"200553S0100"</f>
        <v>200553S0100</v>
      </c>
      <c r="B1038" t="s">
        <v>2201</v>
      </c>
      <c r="C1038">
        <v>20</v>
      </c>
      <c r="D1038" t="s">
        <v>88</v>
      </c>
      <c r="E1038">
        <v>66</v>
      </c>
      <c r="F1038" t="s">
        <v>1713</v>
      </c>
      <c r="G1038">
        <v>553</v>
      </c>
      <c r="H1038">
        <v>1</v>
      </c>
      <c r="I1038" t="s">
        <v>113</v>
      </c>
      <c r="J1038">
        <v>0</v>
      </c>
      <c r="K1038">
        <v>1</v>
      </c>
      <c r="L1038">
        <v>6</v>
      </c>
      <c r="M1038">
        <v>751</v>
      </c>
      <c r="N1038">
        <v>0</v>
      </c>
      <c r="O1038">
        <v>0</v>
      </c>
      <c r="P1038">
        <v>21</v>
      </c>
      <c r="Q1038">
        <v>4</v>
      </c>
      <c r="R1038">
        <v>5</v>
      </c>
      <c r="S1038">
        <v>0</v>
      </c>
      <c r="T1038">
        <v>1</v>
      </c>
      <c r="U1038">
        <v>0</v>
      </c>
      <c r="V1038">
        <v>0</v>
      </c>
      <c r="W1038">
        <v>0</v>
      </c>
      <c r="X1038">
        <v>0</v>
      </c>
      <c r="Y1038">
        <v>10</v>
      </c>
      <c r="Z1038">
        <v>1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K1038">
        <v>0</v>
      </c>
      <c r="AL1038">
        <v>0</v>
      </c>
      <c r="AM1038">
        <v>0</v>
      </c>
      <c r="AN1038">
        <v>0</v>
      </c>
      <c r="AT1038">
        <v>0</v>
      </c>
      <c r="BC1038">
        <v>0</v>
      </c>
      <c r="BD1038">
        <v>0</v>
      </c>
      <c r="BE1038">
        <v>21</v>
      </c>
      <c r="BF1038">
        <v>21</v>
      </c>
      <c r="BG1038">
        <v>0</v>
      </c>
      <c r="BJ1038">
        <v>1</v>
      </c>
      <c r="BL1038" t="s">
        <v>2202</v>
      </c>
      <c r="BM1038" s="4">
        <v>43283.335416666669</v>
      </c>
      <c r="BN1038" s="4">
        <v>43283.352824074071</v>
      </c>
      <c r="BO1038" s="4">
        <v>43283.352824074071</v>
      </c>
      <c r="BP1038" t="s">
        <v>92</v>
      </c>
      <c r="BQ1038" t="s">
        <v>93</v>
      </c>
      <c r="BR1038" t="s">
        <v>94</v>
      </c>
    </row>
    <row r="1039" spans="1:70" x14ac:dyDescent="0.3">
      <c r="A1039" t="str">
        <f>"200554B0100"</f>
        <v>200554B0100</v>
      </c>
      <c r="B1039" t="s">
        <v>2203</v>
      </c>
      <c r="C1039">
        <v>20</v>
      </c>
      <c r="D1039" t="s">
        <v>88</v>
      </c>
      <c r="E1039">
        <v>66</v>
      </c>
      <c r="F1039" t="s">
        <v>1713</v>
      </c>
      <c r="G1039">
        <v>554</v>
      </c>
      <c r="H1039">
        <v>1</v>
      </c>
      <c r="I1039" t="s">
        <v>90</v>
      </c>
      <c r="J1039">
        <v>0</v>
      </c>
      <c r="K1039">
        <v>1</v>
      </c>
      <c r="L1039">
        <v>5</v>
      </c>
      <c r="M1039">
        <v>144</v>
      </c>
      <c r="N1039">
        <v>358</v>
      </c>
      <c r="O1039">
        <v>9</v>
      </c>
      <c r="P1039">
        <v>358</v>
      </c>
      <c r="Q1039">
        <v>58</v>
      </c>
      <c r="R1039">
        <v>69</v>
      </c>
      <c r="S1039">
        <v>10</v>
      </c>
      <c r="T1039">
        <v>2</v>
      </c>
      <c r="U1039">
        <v>19</v>
      </c>
      <c r="V1039">
        <v>4</v>
      </c>
      <c r="W1039">
        <v>4</v>
      </c>
      <c r="X1039">
        <v>2</v>
      </c>
      <c r="Y1039">
        <v>152</v>
      </c>
      <c r="Z1039">
        <v>4</v>
      </c>
      <c r="AA1039">
        <v>1</v>
      </c>
      <c r="AB1039">
        <v>10</v>
      </c>
      <c r="AC1039">
        <v>1</v>
      </c>
      <c r="AD1039">
        <v>2</v>
      </c>
      <c r="AE1039">
        <v>0</v>
      </c>
      <c r="AF1039">
        <v>0</v>
      </c>
      <c r="AK1039">
        <v>7</v>
      </c>
      <c r="AL1039">
        <v>0</v>
      </c>
      <c r="AM1039">
        <v>0</v>
      </c>
      <c r="AN1039">
        <v>0</v>
      </c>
      <c r="AT1039">
        <v>5</v>
      </c>
      <c r="BC1039">
        <v>0</v>
      </c>
      <c r="BD1039">
        <v>8</v>
      </c>
      <c r="BE1039">
        <v>358</v>
      </c>
      <c r="BF1039">
        <v>358</v>
      </c>
      <c r="BG1039">
        <v>480</v>
      </c>
      <c r="BJ1039">
        <v>1</v>
      </c>
      <c r="BL1039" t="s">
        <v>2204</v>
      </c>
      <c r="BM1039" s="4">
        <v>43283.143055555556</v>
      </c>
      <c r="BN1039" s="4">
        <v>43283.148009259261</v>
      </c>
      <c r="BO1039" s="4">
        <v>43283.148009259261</v>
      </c>
      <c r="BP1039" t="s">
        <v>92</v>
      </c>
      <c r="BQ1039" t="s">
        <v>93</v>
      </c>
      <c r="BR1039" t="s">
        <v>94</v>
      </c>
    </row>
    <row r="1040" spans="1:70" x14ac:dyDescent="0.3">
      <c r="A1040" t="str">
        <f>"200554C0100"</f>
        <v>200554C0100</v>
      </c>
      <c r="B1040" t="s">
        <v>2205</v>
      </c>
      <c r="C1040">
        <v>20</v>
      </c>
      <c r="D1040" t="s">
        <v>88</v>
      </c>
      <c r="E1040">
        <v>66</v>
      </c>
      <c r="F1040" t="s">
        <v>1713</v>
      </c>
      <c r="G1040">
        <v>554</v>
      </c>
      <c r="H1040">
        <v>1</v>
      </c>
      <c r="I1040" t="s">
        <v>98</v>
      </c>
      <c r="J1040">
        <v>0</v>
      </c>
      <c r="K1040">
        <v>1</v>
      </c>
      <c r="L1040">
        <v>5</v>
      </c>
      <c r="M1040">
        <v>147</v>
      </c>
      <c r="N1040">
        <v>354</v>
      </c>
      <c r="O1040">
        <v>3</v>
      </c>
      <c r="P1040">
        <v>354</v>
      </c>
      <c r="Q1040">
        <v>57</v>
      </c>
      <c r="R1040">
        <v>64</v>
      </c>
      <c r="S1040">
        <v>4</v>
      </c>
      <c r="T1040">
        <v>2</v>
      </c>
      <c r="U1040">
        <v>13</v>
      </c>
      <c r="V1040">
        <v>6</v>
      </c>
      <c r="W1040">
        <v>5</v>
      </c>
      <c r="X1040">
        <v>6</v>
      </c>
      <c r="Y1040">
        <v>173</v>
      </c>
      <c r="Z1040">
        <v>2</v>
      </c>
      <c r="AA1040">
        <v>2</v>
      </c>
      <c r="AB1040">
        <v>11</v>
      </c>
      <c r="AC1040">
        <v>0</v>
      </c>
      <c r="AD1040">
        <v>0</v>
      </c>
      <c r="AE1040">
        <v>0</v>
      </c>
      <c r="AF1040">
        <v>0</v>
      </c>
      <c r="AK1040">
        <v>3</v>
      </c>
      <c r="AL1040">
        <v>1</v>
      </c>
      <c r="AM1040">
        <v>0</v>
      </c>
      <c r="AN1040">
        <v>0</v>
      </c>
      <c r="AT1040">
        <v>2</v>
      </c>
      <c r="BC1040">
        <v>0</v>
      </c>
      <c r="BD1040">
        <v>3</v>
      </c>
      <c r="BE1040">
        <v>354</v>
      </c>
      <c r="BF1040">
        <v>354</v>
      </c>
      <c r="BG1040">
        <v>479</v>
      </c>
      <c r="BJ1040">
        <v>1</v>
      </c>
      <c r="BL1040" t="s">
        <v>2206</v>
      </c>
      <c r="BM1040" s="4">
        <v>43283.145138888889</v>
      </c>
      <c r="BN1040" s="4">
        <v>43283.155219907407</v>
      </c>
      <c r="BO1040" s="4">
        <v>43283.155219907407</v>
      </c>
      <c r="BP1040" t="s">
        <v>92</v>
      </c>
      <c r="BQ1040" t="s">
        <v>93</v>
      </c>
      <c r="BR1040" t="s">
        <v>94</v>
      </c>
    </row>
    <row r="1041" spans="1:70" x14ac:dyDescent="0.3">
      <c r="A1041" t="str">
        <f>"200555B0100"</f>
        <v>200555B0100</v>
      </c>
      <c r="B1041" t="s">
        <v>2207</v>
      </c>
      <c r="C1041">
        <v>20</v>
      </c>
      <c r="D1041" t="s">
        <v>88</v>
      </c>
      <c r="E1041">
        <v>66</v>
      </c>
      <c r="F1041" t="s">
        <v>1713</v>
      </c>
      <c r="G1041">
        <v>555</v>
      </c>
      <c r="H1041">
        <v>1</v>
      </c>
      <c r="I1041" t="s">
        <v>90</v>
      </c>
      <c r="J1041">
        <v>0</v>
      </c>
      <c r="K1041">
        <v>1</v>
      </c>
      <c r="L1041">
        <v>5</v>
      </c>
      <c r="M1041">
        <v>138</v>
      </c>
      <c r="N1041">
        <v>348</v>
      </c>
      <c r="O1041">
        <v>16</v>
      </c>
      <c r="P1041">
        <v>359</v>
      </c>
      <c r="Q1041">
        <v>53</v>
      </c>
      <c r="R1041">
        <v>98</v>
      </c>
      <c r="S1041">
        <v>6</v>
      </c>
      <c r="T1041">
        <v>5</v>
      </c>
      <c r="U1041">
        <v>12</v>
      </c>
      <c r="V1041">
        <v>1</v>
      </c>
      <c r="W1041">
        <v>8</v>
      </c>
      <c r="X1041">
        <v>8</v>
      </c>
      <c r="Y1041">
        <v>122</v>
      </c>
      <c r="Z1041">
        <v>4</v>
      </c>
      <c r="AA1041">
        <v>5</v>
      </c>
      <c r="AB1041">
        <v>11</v>
      </c>
      <c r="AC1041">
        <v>1</v>
      </c>
      <c r="AD1041">
        <v>1</v>
      </c>
      <c r="AE1041">
        <v>0</v>
      </c>
      <c r="AF1041">
        <v>0</v>
      </c>
      <c r="AK1041">
        <v>2</v>
      </c>
      <c r="AL1041">
        <v>3</v>
      </c>
      <c r="AM1041">
        <v>0</v>
      </c>
      <c r="AN1041">
        <v>0</v>
      </c>
      <c r="AT1041">
        <v>5</v>
      </c>
      <c r="BC1041">
        <v>0</v>
      </c>
      <c r="BD1041">
        <v>14</v>
      </c>
      <c r="BE1041">
        <v>359</v>
      </c>
      <c r="BF1041">
        <v>359</v>
      </c>
      <c r="BG1041">
        <v>463</v>
      </c>
      <c r="BJ1041">
        <v>1</v>
      </c>
      <c r="BL1041" t="s">
        <v>2208</v>
      </c>
      <c r="BM1041" s="4">
        <v>43283.081944444442</v>
      </c>
      <c r="BN1041" s="4">
        <v>43283.0859837963</v>
      </c>
      <c r="BO1041" s="4">
        <v>43283.0859837963</v>
      </c>
      <c r="BP1041" t="s">
        <v>92</v>
      </c>
      <c r="BQ1041" t="s">
        <v>93</v>
      </c>
      <c r="BR1041" t="s">
        <v>94</v>
      </c>
    </row>
    <row r="1042" spans="1:70" x14ac:dyDescent="0.3">
      <c r="A1042" t="str">
        <f>"200555C0100"</f>
        <v>200555C0100</v>
      </c>
      <c r="B1042" t="s">
        <v>2209</v>
      </c>
      <c r="C1042">
        <v>20</v>
      </c>
      <c r="D1042" t="s">
        <v>88</v>
      </c>
      <c r="E1042">
        <v>66</v>
      </c>
      <c r="F1042" t="s">
        <v>1713</v>
      </c>
      <c r="G1042">
        <v>555</v>
      </c>
      <c r="H1042">
        <v>1</v>
      </c>
      <c r="I1042" t="s">
        <v>98</v>
      </c>
      <c r="J1042">
        <v>0</v>
      </c>
      <c r="K1042">
        <v>1</v>
      </c>
      <c r="L1042">
        <v>5</v>
      </c>
      <c r="M1042">
        <v>145</v>
      </c>
      <c r="N1042" t="s">
        <v>105</v>
      </c>
      <c r="O1042" t="s">
        <v>105</v>
      </c>
      <c r="P1042" t="s">
        <v>105</v>
      </c>
      <c r="Q1042">
        <v>54</v>
      </c>
      <c r="R1042">
        <v>90</v>
      </c>
      <c r="S1042">
        <v>2</v>
      </c>
      <c r="T1042">
        <v>2</v>
      </c>
      <c r="U1042">
        <v>6</v>
      </c>
      <c r="V1042">
        <v>4</v>
      </c>
      <c r="W1042">
        <v>6</v>
      </c>
      <c r="X1042">
        <v>11</v>
      </c>
      <c r="Y1042">
        <v>123</v>
      </c>
      <c r="Z1042">
        <v>2</v>
      </c>
      <c r="AA1042">
        <v>0</v>
      </c>
      <c r="AB1042">
        <v>14</v>
      </c>
      <c r="AC1042">
        <v>1</v>
      </c>
      <c r="AD1042">
        <v>2</v>
      </c>
      <c r="AE1042">
        <v>0</v>
      </c>
      <c r="AF1042">
        <v>0</v>
      </c>
      <c r="AK1042">
        <v>0</v>
      </c>
      <c r="AL1042">
        <v>0</v>
      </c>
      <c r="AM1042">
        <v>0</v>
      </c>
      <c r="AN1042">
        <v>0</v>
      </c>
      <c r="AT1042">
        <v>3</v>
      </c>
      <c r="BC1042">
        <v>0</v>
      </c>
      <c r="BD1042">
        <v>11</v>
      </c>
      <c r="BE1042">
        <v>300</v>
      </c>
      <c r="BF1042">
        <v>331</v>
      </c>
      <c r="BG1042">
        <v>463</v>
      </c>
      <c r="BJ1042">
        <v>1</v>
      </c>
      <c r="BL1042" t="s">
        <v>2210</v>
      </c>
      <c r="BM1042" s="4">
        <v>43283.079861111109</v>
      </c>
      <c r="BN1042" s="4">
        <v>43283.082673611112</v>
      </c>
      <c r="BO1042" s="4">
        <v>43283.082673611112</v>
      </c>
      <c r="BP1042" t="s">
        <v>92</v>
      </c>
      <c r="BQ1042" t="s">
        <v>93</v>
      </c>
      <c r="BR1042" t="s">
        <v>94</v>
      </c>
    </row>
    <row r="1043" spans="1:70" x14ac:dyDescent="0.3">
      <c r="A1043" t="str">
        <f>"200556B0100"</f>
        <v>200556B0100</v>
      </c>
      <c r="B1043" t="s">
        <v>2211</v>
      </c>
      <c r="C1043">
        <v>20</v>
      </c>
      <c r="D1043" t="s">
        <v>88</v>
      </c>
      <c r="E1043">
        <v>66</v>
      </c>
      <c r="F1043" t="s">
        <v>1713</v>
      </c>
      <c r="G1043">
        <v>556</v>
      </c>
      <c r="H1043">
        <v>1</v>
      </c>
      <c r="I1043" t="s">
        <v>90</v>
      </c>
      <c r="J1043">
        <v>0</v>
      </c>
      <c r="K1043">
        <v>1</v>
      </c>
      <c r="L1043">
        <v>5</v>
      </c>
      <c r="M1043">
        <v>240</v>
      </c>
      <c r="N1043">
        <v>519</v>
      </c>
      <c r="O1043">
        <v>6</v>
      </c>
      <c r="P1043">
        <v>520</v>
      </c>
      <c r="Q1043">
        <v>92</v>
      </c>
      <c r="R1043">
        <v>129</v>
      </c>
      <c r="S1043">
        <v>10</v>
      </c>
      <c r="T1043">
        <v>6</v>
      </c>
      <c r="U1043">
        <v>15</v>
      </c>
      <c r="V1043">
        <v>7</v>
      </c>
      <c r="W1043">
        <v>8</v>
      </c>
      <c r="X1043">
        <v>12</v>
      </c>
      <c r="Y1043">
        <v>192</v>
      </c>
      <c r="Z1043">
        <v>8</v>
      </c>
      <c r="AA1043">
        <v>3</v>
      </c>
      <c r="AB1043">
        <v>8</v>
      </c>
      <c r="AC1043">
        <v>1</v>
      </c>
      <c r="AD1043">
        <v>1</v>
      </c>
      <c r="AE1043">
        <v>0</v>
      </c>
      <c r="AF1043">
        <v>0</v>
      </c>
      <c r="AK1043">
        <v>4</v>
      </c>
      <c r="AL1043">
        <v>0</v>
      </c>
      <c r="AM1043">
        <v>0</v>
      </c>
      <c r="AN1043">
        <v>0</v>
      </c>
      <c r="AT1043">
        <v>3</v>
      </c>
      <c r="BC1043">
        <v>0</v>
      </c>
      <c r="BD1043">
        <v>18</v>
      </c>
      <c r="BE1043">
        <v>520</v>
      </c>
      <c r="BF1043">
        <v>517</v>
      </c>
      <c r="BG1043">
        <v>738</v>
      </c>
      <c r="BJ1043">
        <v>1</v>
      </c>
      <c r="BL1043" t="s">
        <v>2212</v>
      </c>
      <c r="BM1043" s="4">
        <v>43283.081250000003</v>
      </c>
      <c r="BN1043" s="4">
        <v>43283.085520833331</v>
      </c>
      <c r="BO1043" s="4">
        <v>43283.085520833331</v>
      </c>
      <c r="BP1043" t="s">
        <v>92</v>
      </c>
      <c r="BQ1043" t="s">
        <v>93</v>
      </c>
      <c r="BR1043" t="s">
        <v>94</v>
      </c>
    </row>
    <row r="1044" spans="1:70" x14ac:dyDescent="0.3">
      <c r="A1044" t="str">
        <f>"200557B0100"</f>
        <v>200557B0100</v>
      </c>
      <c r="B1044" t="s">
        <v>2213</v>
      </c>
      <c r="C1044">
        <v>20</v>
      </c>
      <c r="D1044" t="s">
        <v>88</v>
      </c>
      <c r="E1044">
        <v>66</v>
      </c>
      <c r="F1044" t="s">
        <v>1713</v>
      </c>
      <c r="G1044">
        <v>557</v>
      </c>
      <c r="H1044">
        <v>1</v>
      </c>
      <c r="I1044" t="s">
        <v>90</v>
      </c>
      <c r="J1044">
        <v>0</v>
      </c>
      <c r="K1044">
        <v>1</v>
      </c>
      <c r="L1044">
        <v>5</v>
      </c>
      <c r="M1044">
        <v>175</v>
      </c>
      <c r="N1044">
        <v>293</v>
      </c>
      <c r="O1044">
        <v>10</v>
      </c>
      <c r="P1044">
        <v>293</v>
      </c>
      <c r="Q1044">
        <v>39</v>
      </c>
      <c r="R1044">
        <v>39</v>
      </c>
      <c r="S1044">
        <v>7</v>
      </c>
      <c r="T1044">
        <v>8</v>
      </c>
      <c r="U1044">
        <v>13</v>
      </c>
      <c r="V1044">
        <v>4</v>
      </c>
      <c r="W1044">
        <v>13</v>
      </c>
      <c r="X1044">
        <v>3</v>
      </c>
      <c r="Y1044">
        <v>140</v>
      </c>
      <c r="Z1044">
        <v>5</v>
      </c>
      <c r="AA1044">
        <v>3</v>
      </c>
      <c r="AB1044">
        <v>4</v>
      </c>
      <c r="AC1044">
        <v>1</v>
      </c>
      <c r="AD1044">
        <v>0</v>
      </c>
      <c r="AE1044">
        <v>0</v>
      </c>
      <c r="AF1044">
        <v>0</v>
      </c>
      <c r="AK1044">
        <v>3</v>
      </c>
      <c r="AL1044">
        <v>1</v>
      </c>
      <c r="AM1044">
        <v>0</v>
      </c>
      <c r="AN1044">
        <v>2</v>
      </c>
      <c r="AT1044">
        <v>0</v>
      </c>
      <c r="BC1044">
        <v>0</v>
      </c>
      <c r="BD1044">
        <v>7</v>
      </c>
      <c r="BE1044">
        <v>293</v>
      </c>
      <c r="BF1044">
        <v>292</v>
      </c>
      <c r="BG1044">
        <v>446</v>
      </c>
      <c r="BJ1044">
        <v>1</v>
      </c>
      <c r="BL1044" t="s">
        <v>2214</v>
      </c>
      <c r="BM1044" s="4">
        <v>43283.081944444442</v>
      </c>
      <c r="BN1044" s="4">
        <v>43283.087326388886</v>
      </c>
      <c r="BO1044" s="4">
        <v>43283.087326388886</v>
      </c>
      <c r="BP1044" t="s">
        <v>92</v>
      </c>
      <c r="BQ1044" t="s">
        <v>93</v>
      </c>
      <c r="BR1044" t="s">
        <v>94</v>
      </c>
    </row>
    <row r="1045" spans="1:70" x14ac:dyDescent="0.3">
      <c r="A1045" t="str">
        <f>"200557C0100"</f>
        <v>200557C0100</v>
      </c>
      <c r="B1045" t="s">
        <v>2215</v>
      </c>
      <c r="C1045">
        <v>20</v>
      </c>
      <c r="D1045" t="s">
        <v>88</v>
      </c>
      <c r="E1045">
        <v>66</v>
      </c>
      <c r="F1045" t="s">
        <v>1713</v>
      </c>
      <c r="G1045">
        <v>557</v>
      </c>
      <c r="H1045">
        <v>1</v>
      </c>
      <c r="I1045" t="s">
        <v>98</v>
      </c>
      <c r="J1045">
        <v>0</v>
      </c>
      <c r="K1045">
        <v>1</v>
      </c>
      <c r="L1045">
        <v>5</v>
      </c>
      <c r="M1045">
        <v>175</v>
      </c>
      <c r="N1045">
        <v>293</v>
      </c>
      <c r="O1045">
        <v>11</v>
      </c>
      <c r="P1045">
        <v>293</v>
      </c>
      <c r="Q1045">
        <v>47</v>
      </c>
      <c r="R1045">
        <v>35</v>
      </c>
      <c r="S1045">
        <v>10</v>
      </c>
      <c r="T1045">
        <v>7</v>
      </c>
      <c r="U1045">
        <v>14</v>
      </c>
      <c r="V1045">
        <v>7</v>
      </c>
      <c r="W1045">
        <v>7</v>
      </c>
      <c r="X1045">
        <v>6</v>
      </c>
      <c r="Y1045">
        <v>134</v>
      </c>
      <c r="Z1045">
        <v>4</v>
      </c>
      <c r="AA1045">
        <v>0</v>
      </c>
      <c r="AB1045">
        <v>5</v>
      </c>
      <c r="AC1045">
        <v>2</v>
      </c>
      <c r="AD1045">
        <v>1</v>
      </c>
      <c r="AE1045">
        <v>0</v>
      </c>
      <c r="AF1045">
        <v>0</v>
      </c>
      <c r="AK1045">
        <v>2</v>
      </c>
      <c r="AL1045">
        <v>1</v>
      </c>
      <c r="AM1045">
        <v>0</v>
      </c>
      <c r="AN1045">
        <v>1</v>
      </c>
      <c r="AT1045">
        <v>2</v>
      </c>
      <c r="BC1045">
        <v>0</v>
      </c>
      <c r="BD1045">
        <v>7</v>
      </c>
      <c r="BE1045">
        <v>292</v>
      </c>
      <c r="BF1045">
        <v>292</v>
      </c>
      <c r="BG1045">
        <v>445</v>
      </c>
      <c r="BJ1045">
        <v>1</v>
      </c>
      <c r="BL1045" t="s">
        <v>2216</v>
      </c>
      <c r="BM1045" s="4">
        <v>43283.080555555556</v>
      </c>
      <c r="BN1045" s="4">
        <v>43283.087870370371</v>
      </c>
      <c r="BO1045" s="4">
        <v>43283.087870370371</v>
      </c>
      <c r="BP1045" t="s">
        <v>92</v>
      </c>
      <c r="BQ1045" t="s">
        <v>93</v>
      </c>
      <c r="BR1045" t="s">
        <v>94</v>
      </c>
    </row>
    <row r="1046" spans="1:70" x14ac:dyDescent="0.3">
      <c r="A1046" t="str">
        <f>"200558B0100"</f>
        <v>200558B0100</v>
      </c>
      <c r="B1046" t="s">
        <v>2217</v>
      </c>
      <c r="C1046">
        <v>20</v>
      </c>
      <c r="D1046" t="s">
        <v>88</v>
      </c>
      <c r="E1046">
        <v>66</v>
      </c>
      <c r="F1046" t="s">
        <v>1713</v>
      </c>
      <c r="G1046">
        <v>558</v>
      </c>
      <c r="H1046">
        <v>1</v>
      </c>
      <c r="I1046" t="s">
        <v>90</v>
      </c>
      <c r="J1046">
        <v>0</v>
      </c>
      <c r="K1046">
        <v>1</v>
      </c>
      <c r="L1046">
        <v>5</v>
      </c>
      <c r="M1046">
        <v>213</v>
      </c>
      <c r="N1046">
        <v>283</v>
      </c>
      <c r="O1046">
        <v>0</v>
      </c>
      <c r="P1046">
        <v>283</v>
      </c>
      <c r="Q1046">
        <v>46</v>
      </c>
      <c r="R1046">
        <v>53</v>
      </c>
      <c r="S1046">
        <v>10</v>
      </c>
      <c r="T1046">
        <v>3</v>
      </c>
      <c r="U1046">
        <v>11</v>
      </c>
      <c r="V1046">
        <v>4</v>
      </c>
      <c r="W1046">
        <v>6</v>
      </c>
      <c r="X1046">
        <v>4</v>
      </c>
      <c r="Y1046">
        <v>119</v>
      </c>
      <c r="Z1046">
        <v>5</v>
      </c>
      <c r="AA1046">
        <v>5</v>
      </c>
      <c r="AB1046">
        <v>5</v>
      </c>
      <c r="AC1046">
        <v>0</v>
      </c>
      <c r="AD1046">
        <v>0</v>
      </c>
      <c r="AE1046">
        <v>1</v>
      </c>
      <c r="AF1046">
        <v>0</v>
      </c>
      <c r="AK1046">
        <v>2</v>
      </c>
      <c r="AL1046">
        <v>1</v>
      </c>
      <c r="AM1046">
        <v>0</v>
      </c>
      <c r="AN1046">
        <v>0</v>
      </c>
      <c r="AT1046">
        <v>0</v>
      </c>
      <c r="BC1046">
        <v>0</v>
      </c>
      <c r="BD1046">
        <v>8</v>
      </c>
      <c r="BE1046">
        <v>283</v>
      </c>
      <c r="BF1046">
        <v>283</v>
      </c>
      <c r="BG1046">
        <v>477</v>
      </c>
      <c r="BJ1046">
        <v>1</v>
      </c>
      <c r="BL1046" t="s">
        <v>2218</v>
      </c>
      <c r="BM1046" s="4">
        <v>43283.167361111111</v>
      </c>
      <c r="BN1046" s="4">
        <v>43283.182534722226</v>
      </c>
      <c r="BO1046" s="4">
        <v>43283.182534722226</v>
      </c>
      <c r="BP1046" t="s">
        <v>92</v>
      </c>
      <c r="BQ1046" t="s">
        <v>93</v>
      </c>
      <c r="BR1046" t="s">
        <v>94</v>
      </c>
    </row>
    <row r="1047" spans="1:70" x14ac:dyDescent="0.3">
      <c r="A1047" t="str">
        <f>"200558C0100"</f>
        <v>200558C0100</v>
      </c>
      <c r="B1047" t="s">
        <v>2219</v>
      </c>
      <c r="C1047">
        <v>20</v>
      </c>
      <c r="D1047" t="s">
        <v>88</v>
      </c>
      <c r="E1047">
        <v>66</v>
      </c>
      <c r="F1047" t="s">
        <v>1713</v>
      </c>
      <c r="G1047">
        <v>558</v>
      </c>
      <c r="H1047">
        <v>1</v>
      </c>
      <c r="I1047" t="s">
        <v>98</v>
      </c>
      <c r="J1047">
        <v>0</v>
      </c>
      <c r="K1047">
        <v>1</v>
      </c>
      <c r="L1047">
        <v>5</v>
      </c>
      <c r="M1047">
        <v>183</v>
      </c>
      <c r="N1047">
        <v>314</v>
      </c>
      <c r="O1047">
        <v>4</v>
      </c>
      <c r="P1047">
        <v>319</v>
      </c>
      <c r="Q1047">
        <v>51</v>
      </c>
      <c r="R1047">
        <v>50</v>
      </c>
      <c r="S1047">
        <v>17</v>
      </c>
      <c r="T1047">
        <v>12</v>
      </c>
      <c r="U1047">
        <v>10</v>
      </c>
      <c r="V1047">
        <v>7</v>
      </c>
      <c r="W1047">
        <v>5</v>
      </c>
      <c r="X1047">
        <v>4</v>
      </c>
      <c r="Y1047">
        <v>32</v>
      </c>
      <c r="Z1047">
        <v>3</v>
      </c>
      <c r="AA1047">
        <v>10</v>
      </c>
      <c r="AB1047">
        <v>5</v>
      </c>
      <c r="AC1047">
        <v>1</v>
      </c>
      <c r="AD1047" t="s">
        <v>105</v>
      </c>
      <c r="AE1047" t="s">
        <v>105</v>
      </c>
      <c r="AF1047">
        <v>1</v>
      </c>
      <c r="AK1047">
        <v>3</v>
      </c>
      <c r="AL1047" t="s">
        <v>105</v>
      </c>
      <c r="AM1047" t="s">
        <v>105</v>
      </c>
      <c r="AN1047">
        <v>2</v>
      </c>
      <c r="AT1047" t="s">
        <v>105</v>
      </c>
      <c r="BC1047" t="s">
        <v>105</v>
      </c>
      <c r="BD1047" t="s">
        <v>105</v>
      </c>
      <c r="BE1047" t="s">
        <v>105</v>
      </c>
      <c r="BF1047">
        <v>213</v>
      </c>
      <c r="BG1047">
        <v>476</v>
      </c>
      <c r="BI1047" t="s">
        <v>106</v>
      </c>
      <c r="BJ1047">
        <v>1</v>
      </c>
      <c r="BL1047" t="s">
        <v>2220</v>
      </c>
      <c r="BM1047" s="4">
        <v>43283.167361111111</v>
      </c>
      <c r="BN1047" s="4">
        <v>43283.185590277775</v>
      </c>
      <c r="BO1047" s="4">
        <v>43283.185590277775</v>
      </c>
      <c r="BP1047" t="s">
        <v>92</v>
      </c>
      <c r="BQ1047" t="s">
        <v>93</v>
      </c>
      <c r="BR1047" t="s">
        <v>94</v>
      </c>
    </row>
    <row r="1048" spans="1:70" x14ac:dyDescent="0.3">
      <c r="A1048" t="str">
        <f>"200559B0100"</f>
        <v>200559B0100</v>
      </c>
      <c r="B1048" t="s">
        <v>2221</v>
      </c>
      <c r="C1048">
        <v>20</v>
      </c>
      <c r="D1048" t="s">
        <v>88</v>
      </c>
      <c r="E1048">
        <v>66</v>
      </c>
      <c r="F1048" t="s">
        <v>1713</v>
      </c>
      <c r="G1048">
        <v>559</v>
      </c>
      <c r="H1048">
        <v>1</v>
      </c>
      <c r="I1048" t="s">
        <v>90</v>
      </c>
      <c r="J1048">
        <v>0</v>
      </c>
      <c r="K1048">
        <v>1</v>
      </c>
      <c r="L1048">
        <v>5</v>
      </c>
      <c r="M1048">
        <v>220</v>
      </c>
      <c r="N1048">
        <v>382</v>
      </c>
      <c r="O1048">
        <v>5</v>
      </c>
      <c r="P1048">
        <v>382</v>
      </c>
      <c r="Q1048">
        <v>59</v>
      </c>
      <c r="R1048">
        <v>38</v>
      </c>
      <c r="S1048">
        <v>13</v>
      </c>
      <c r="T1048">
        <v>4</v>
      </c>
      <c r="U1048">
        <v>12</v>
      </c>
      <c r="V1048">
        <v>3</v>
      </c>
      <c r="W1048">
        <v>4</v>
      </c>
      <c r="X1048">
        <v>3</v>
      </c>
      <c r="Y1048">
        <v>208</v>
      </c>
      <c r="Z1048">
        <v>4</v>
      </c>
      <c r="AA1048">
        <v>4</v>
      </c>
      <c r="AB1048">
        <v>5</v>
      </c>
      <c r="AC1048">
        <v>0</v>
      </c>
      <c r="AD1048">
        <v>0</v>
      </c>
      <c r="AE1048">
        <v>0</v>
      </c>
      <c r="AF1048">
        <v>0</v>
      </c>
      <c r="AK1048">
        <v>2</v>
      </c>
      <c r="AL1048">
        <v>3</v>
      </c>
      <c r="AM1048">
        <v>0</v>
      </c>
      <c r="AN1048">
        <v>2</v>
      </c>
      <c r="AT1048">
        <v>4</v>
      </c>
      <c r="BC1048">
        <v>0</v>
      </c>
      <c r="BD1048">
        <v>7</v>
      </c>
      <c r="BE1048">
        <v>382</v>
      </c>
      <c r="BF1048">
        <v>375</v>
      </c>
      <c r="BG1048">
        <v>581</v>
      </c>
      <c r="BJ1048">
        <v>1</v>
      </c>
      <c r="BL1048" t="s">
        <v>2222</v>
      </c>
      <c r="BM1048" s="4">
        <v>43283.137499999997</v>
      </c>
      <c r="BN1048" s="4">
        <v>43283.142789351848</v>
      </c>
      <c r="BO1048" s="4">
        <v>43283.142789351848</v>
      </c>
      <c r="BP1048" t="s">
        <v>92</v>
      </c>
      <c r="BQ1048" t="s">
        <v>93</v>
      </c>
      <c r="BR1048" t="s">
        <v>94</v>
      </c>
    </row>
    <row r="1049" spans="1:70" x14ac:dyDescent="0.3">
      <c r="A1049" t="str">
        <f>"200559C0100"</f>
        <v>200559C0100</v>
      </c>
      <c r="B1049" t="s">
        <v>2223</v>
      </c>
      <c r="C1049">
        <v>20</v>
      </c>
      <c r="D1049" t="s">
        <v>88</v>
      </c>
      <c r="E1049">
        <v>66</v>
      </c>
      <c r="F1049" t="s">
        <v>1713</v>
      </c>
      <c r="G1049">
        <v>559</v>
      </c>
      <c r="H1049">
        <v>1</v>
      </c>
      <c r="I1049" t="s">
        <v>98</v>
      </c>
      <c r="J1049">
        <v>0</v>
      </c>
      <c r="K1049">
        <v>1</v>
      </c>
      <c r="L1049">
        <v>5</v>
      </c>
      <c r="M1049">
        <v>195</v>
      </c>
      <c r="N1049">
        <v>410</v>
      </c>
      <c r="O1049">
        <v>4</v>
      </c>
      <c r="P1049">
        <v>402</v>
      </c>
      <c r="Q1049">
        <v>82</v>
      </c>
      <c r="R1049">
        <v>42</v>
      </c>
      <c r="S1049">
        <v>16</v>
      </c>
      <c r="T1049">
        <v>4</v>
      </c>
      <c r="U1049">
        <v>15</v>
      </c>
      <c r="V1049">
        <v>12</v>
      </c>
      <c r="W1049">
        <v>5</v>
      </c>
      <c r="X1049">
        <v>5</v>
      </c>
      <c r="Y1049">
        <v>187</v>
      </c>
      <c r="Z1049">
        <v>7</v>
      </c>
      <c r="AA1049">
        <v>2</v>
      </c>
      <c r="AB1049">
        <v>8</v>
      </c>
      <c r="AC1049">
        <v>0</v>
      </c>
      <c r="AD1049">
        <v>0</v>
      </c>
      <c r="AE1049">
        <v>0</v>
      </c>
      <c r="AF1049">
        <v>0</v>
      </c>
      <c r="AK1049">
        <v>3</v>
      </c>
      <c r="AL1049">
        <v>2</v>
      </c>
      <c r="AM1049">
        <v>0</v>
      </c>
      <c r="AN1049">
        <v>1</v>
      </c>
      <c r="AT1049">
        <v>0</v>
      </c>
      <c r="BC1049">
        <v>0</v>
      </c>
      <c r="BD1049">
        <v>11</v>
      </c>
      <c r="BE1049">
        <v>402</v>
      </c>
      <c r="BF1049">
        <v>402</v>
      </c>
      <c r="BG1049">
        <v>581</v>
      </c>
      <c r="BJ1049">
        <v>1</v>
      </c>
      <c r="BL1049" t="s">
        <v>2224</v>
      </c>
      <c r="BM1049" s="4">
        <v>43282.973634259259</v>
      </c>
      <c r="BN1049" s="4">
        <v>43282.977407407408</v>
      </c>
      <c r="BO1049" s="4">
        <v>43282.977407407408</v>
      </c>
      <c r="BP1049" t="s">
        <v>339</v>
      </c>
      <c r="BQ1049" t="s">
        <v>340</v>
      </c>
      <c r="BR1049" t="s">
        <v>94</v>
      </c>
    </row>
    <row r="1050" spans="1:70" x14ac:dyDescent="0.3">
      <c r="A1050" t="str">
        <f>"200559C0200"</f>
        <v>200559C0200</v>
      </c>
      <c r="B1050" t="s">
        <v>2225</v>
      </c>
      <c r="C1050">
        <v>20</v>
      </c>
      <c r="D1050" t="s">
        <v>88</v>
      </c>
      <c r="E1050">
        <v>66</v>
      </c>
      <c r="F1050" t="s">
        <v>1713</v>
      </c>
      <c r="G1050">
        <v>559</v>
      </c>
      <c r="H1050">
        <v>2</v>
      </c>
      <c r="I1050" t="s">
        <v>98</v>
      </c>
      <c r="J1050">
        <v>0</v>
      </c>
      <c r="K1050">
        <v>1</v>
      </c>
      <c r="L1050">
        <v>5</v>
      </c>
      <c r="M1050">
        <v>225</v>
      </c>
      <c r="N1050">
        <v>377</v>
      </c>
      <c r="O1050">
        <v>7</v>
      </c>
      <c r="P1050">
        <v>382</v>
      </c>
      <c r="Q1050">
        <v>74</v>
      </c>
      <c r="R1050">
        <v>35</v>
      </c>
      <c r="S1050">
        <v>21</v>
      </c>
      <c r="T1050">
        <v>3</v>
      </c>
      <c r="U1050">
        <v>3</v>
      </c>
      <c r="V1050">
        <v>6</v>
      </c>
      <c r="W1050">
        <v>7</v>
      </c>
      <c r="X1050">
        <v>6</v>
      </c>
      <c r="Y1050">
        <v>196</v>
      </c>
      <c r="Z1050">
        <v>3</v>
      </c>
      <c r="AA1050">
        <v>4</v>
      </c>
      <c r="AB1050">
        <v>5</v>
      </c>
      <c r="AC1050">
        <v>0</v>
      </c>
      <c r="AD1050">
        <v>1</v>
      </c>
      <c r="AE1050">
        <v>0</v>
      </c>
      <c r="AF1050">
        <v>0</v>
      </c>
      <c r="AK1050">
        <v>4</v>
      </c>
      <c r="AL1050">
        <v>0</v>
      </c>
      <c r="AM1050">
        <v>0</v>
      </c>
      <c r="AN1050">
        <v>0</v>
      </c>
      <c r="AT1050">
        <v>0</v>
      </c>
      <c r="BC1050">
        <v>0</v>
      </c>
      <c r="BD1050">
        <v>3</v>
      </c>
      <c r="BE1050">
        <v>382</v>
      </c>
      <c r="BF1050">
        <v>371</v>
      </c>
      <c r="BG1050">
        <v>580</v>
      </c>
      <c r="BJ1050">
        <v>1</v>
      </c>
      <c r="BL1050" t="s">
        <v>2226</v>
      </c>
      <c r="BM1050" s="4">
        <v>43282.962557870371</v>
      </c>
      <c r="BN1050" s="4">
        <v>43282.966307870367</v>
      </c>
      <c r="BO1050" s="4">
        <v>43282.966307870367</v>
      </c>
      <c r="BP1050" t="s">
        <v>339</v>
      </c>
      <c r="BQ1050" t="s">
        <v>340</v>
      </c>
      <c r="BR1050" t="s">
        <v>94</v>
      </c>
    </row>
    <row r="1051" spans="1:70" x14ac:dyDescent="0.3">
      <c r="A1051" t="str">
        <f>"200560B0100"</f>
        <v>200560B0100</v>
      </c>
      <c r="B1051" t="s">
        <v>2227</v>
      </c>
      <c r="C1051">
        <v>20</v>
      </c>
      <c r="D1051" t="s">
        <v>88</v>
      </c>
      <c r="E1051">
        <v>66</v>
      </c>
      <c r="F1051" t="s">
        <v>1713</v>
      </c>
      <c r="G1051">
        <v>560</v>
      </c>
      <c r="H1051">
        <v>1</v>
      </c>
      <c r="I1051" t="s">
        <v>90</v>
      </c>
      <c r="J1051">
        <v>0</v>
      </c>
      <c r="K1051">
        <v>1</v>
      </c>
      <c r="L1051">
        <v>5</v>
      </c>
      <c r="M1051">
        <v>271</v>
      </c>
      <c r="N1051">
        <v>395</v>
      </c>
      <c r="O1051">
        <v>0</v>
      </c>
      <c r="P1051">
        <v>394</v>
      </c>
      <c r="Q1051">
        <v>81</v>
      </c>
      <c r="R1051">
        <v>33</v>
      </c>
      <c r="S1051">
        <v>15</v>
      </c>
      <c r="T1051">
        <v>6</v>
      </c>
      <c r="U1051">
        <v>14</v>
      </c>
      <c r="V1051">
        <v>15</v>
      </c>
      <c r="W1051">
        <v>5</v>
      </c>
      <c r="X1051">
        <v>0</v>
      </c>
      <c r="Y1051">
        <v>186</v>
      </c>
      <c r="Z1051">
        <v>3</v>
      </c>
      <c r="AA1051">
        <v>2</v>
      </c>
      <c r="AB1051">
        <v>7</v>
      </c>
      <c r="AC1051">
        <v>3</v>
      </c>
      <c r="AD1051">
        <v>1</v>
      </c>
      <c r="AE1051">
        <v>3</v>
      </c>
      <c r="AF1051">
        <v>0</v>
      </c>
      <c r="AK1051">
        <v>5</v>
      </c>
      <c r="AL1051">
        <v>3</v>
      </c>
      <c r="AM1051">
        <v>0</v>
      </c>
      <c r="AN1051">
        <v>0</v>
      </c>
      <c r="AT1051">
        <v>2</v>
      </c>
      <c r="BC1051">
        <v>0</v>
      </c>
      <c r="BD1051">
        <v>10</v>
      </c>
      <c r="BE1051">
        <v>394</v>
      </c>
      <c r="BF1051">
        <v>394</v>
      </c>
      <c r="BG1051">
        <v>644</v>
      </c>
      <c r="BJ1051">
        <v>1</v>
      </c>
      <c r="BL1051" t="s">
        <v>2228</v>
      </c>
      <c r="BM1051" s="4">
        <v>43283.184027777781</v>
      </c>
      <c r="BN1051" s="4">
        <v>43283.202997685185</v>
      </c>
      <c r="BO1051" s="4">
        <v>43283.202997685185</v>
      </c>
      <c r="BP1051" t="s">
        <v>92</v>
      </c>
      <c r="BQ1051" t="s">
        <v>93</v>
      </c>
      <c r="BR1051" t="s">
        <v>94</v>
      </c>
    </row>
    <row r="1052" spans="1:70" x14ac:dyDescent="0.3">
      <c r="A1052" t="str">
        <f>"200560C0100"</f>
        <v>200560C0100</v>
      </c>
      <c r="B1052" t="s">
        <v>2229</v>
      </c>
      <c r="C1052">
        <v>20</v>
      </c>
      <c r="D1052" t="s">
        <v>88</v>
      </c>
      <c r="E1052">
        <v>66</v>
      </c>
      <c r="F1052" t="s">
        <v>1713</v>
      </c>
      <c r="G1052">
        <v>560</v>
      </c>
      <c r="H1052">
        <v>1</v>
      </c>
      <c r="I1052" t="s">
        <v>98</v>
      </c>
      <c r="J1052">
        <v>0</v>
      </c>
      <c r="K1052">
        <v>1</v>
      </c>
      <c r="L1052">
        <v>5</v>
      </c>
      <c r="M1052">
        <v>266</v>
      </c>
      <c r="N1052">
        <v>399</v>
      </c>
      <c r="O1052">
        <v>2</v>
      </c>
      <c r="P1052">
        <v>397</v>
      </c>
      <c r="Q1052">
        <v>80</v>
      </c>
      <c r="R1052">
        <v>50</v>
      </c>
      <c r="S1052">
        <v>22</v>
      </c>
      <c r="T1052">
        <v>3</v>
      </c>
      <c r="U1052">
        <v>31</v>
      </c>
      <c r="V1052">
        <v>3</v>
      </c>
      <c r="W1052">
        <v>3</v>
      </c>
      <c r="X1052">
        <v>7</v>
      </c>
      <c r="Y1052">
        <v>163</v>
      </c>
      <c r="Z1052">
        <v>2</v>
      </c>
      <c r="AA1052">
        <v>3</v>
      </c>
      <c r="AB1052">
        <v>4</v>
      </c>
      <c r="AC1052">
        <v>1</v>
      </c>
      <c r="AD1052">
        <v>1</v>
      </c>
      <c r="AE1052">
        <v>2</v>
      </c>
      <c r="AF1052">
        <v>0</v>
      </c>
      <c r="AK1052">
        <v>7</v>
      </c>
      <c r="AL1052">
        <v>0</v>
      </c>
      <c r="AM1052">
        <v>0</v>
      </c>
      <c r="AN1052">
        <v>0</v>
      </c>
      <c r="AT1052">
        <v>2</v>
      </c>
      <c r="BC1052">
        <v>0</v>
      </c>
      <c r="BD1052">
        <v>11</v>
      </c>
      <c r="BE1052">
        <v>397</v>
      </c>
      <c r="BF1052">
        <v>395</v>
      </c>
      <c r="BG1052">
        <v>643</v>
      </c>
      <c r="BJ1052">
        <v>1</v>
      </c>
      <c r="BL1052" t="s">
        <v>2230</v>
      </c>
      <c r="BM1052" s="4">
        <v>43283.193749999999</v>
      </c>
      <c r="BN1052" s="4">
        <v>43283.211226851854</v>
      </c>
      <c r="BO1052" s="4">
        <v>43283.211226851854</v>
      </c>
      <c r="BP1052" t="s">
        <v>92</v>
      </c>
      <c r="BQ1052" t="s">
        <v>93</v>
      </c>
      <c r="BR1052" t="s">
        <v>94</v>
      </c>
    </row>
    <row r="1053" spans="1:70" x14ac:dyDescent="0.3">
      <c r="A1053" t="str">
        <f>"200560C0200"</f>
        <v>200560C0200</v>
      </c>
      <c r="B1053" t="s">
        <v>2231</v>
      </c>
      <c r="C1053">
        <v>20</v>
      </c>
      <c r="D1053" t="s">
        <v>88</v>
      </c>
      <c r="E1053">
        <v>66</v>
      </c>
      <c r="F1053" t="s">
        <v>1713</v>
      </c>
      <c r="G1053">
        <v>560</v>
      </c>
      <c r="H1053">
        <v>2</v>
      </c>
      <c r="I1053" t="s">
        <v>98</v>
      </c>
      <c r="J1053">
        <v>0</v>
      </c>
      <c r="K1053">
        <v>1</v>
      </c>
      <c r="L1053">
        <v>5</v>
      </c>
      <c r="M1053">
        <v>258</v>
      </c>
      <c r="N1053">
        <v>407</v>
      </c>
      <c r="O1053">
        <v>3</v>
      </c>
      <c r="P1053">
        <v>36</v>
      </c>
      <c r="Q1053">
        <v>63</v>
      </c>
      <c r="R1053">
        <v>53</v>
      </c>
      <c r="S1053">
        <v>22</v>
      </c>
      <c r="T1053">
        <v>8</v>
      </c>
      <c r="U1053">
        <v>13</v>
      </c>
      <c r="V1053">
        <v>16</v>
      </c>
      <c r="W1053">
        <v>5</v>
      </c>
      <c r="X1053">
        <v>8</v>
      </c>
      <c r="Y1053">
        <v>154</v>
      </c>
      <c r="Z1053">
        <v>7</v>
      </c>
      <c r="AA1053">
        <v>3</v>
      </c>
      <c r="AB1053">
        <v>11</v>
      </c>
      <c r="AC1053">
        <v>5</v>
      </c>
      <c r="AD1053">
        <v>1</v>
      </c>
      <c r="AE1053">
        <v>0</v>
      </c>
      <c r="AF1053">
        <v>0</v>
      </c>
      <c r="AK1053">
        <v>10</v>
      </c>
      <c r="AL1053">
        <v>5</v>
      </c>
      <c r="AM1053">
        <v>1</v>
      </c>
      <c r="AN1053">
        <v>0</v>
      </c>
      <c r="AT1053">
        <v>1</v>
      </c>
      <c r="BC1053">
        <v>0</v>
      </c>
      <c r="BD1053">
        <v>19</v>
      </c>
      <c r="BE1053">
        <v>405</v>
      </c>
      <c r="BF1053">
        <v>405</v>
      </c>
      <c r="BG1053">
        <v>643</v>
      </c>
      <c r="BJ1053">
        <v>1</v>
      </c>
      <c r="BL1053" t="s">
        <v>2232</v>
      </c>
      <c r="BM1053" s="4">
        <v>43283.183333333334</v>
      </c>
      <c r="BN1053" s="4">
        <v>43283.203842592593</v>
      </c>
      <c r="BO1053" s="4">
        <v>43283.203842592593</v>
      </c>
      <c r="BP1053" t="s">
        <v>92</v>
      </c>
      <c r="BQ1053" t="s">
        <v>93</v>
      </c>
      <c r="BR1053" t="s">
        <v>94</v>
      </c>
    </row>
    <row r="1054" spans="1:70" x14ac:dyDescent="0.3">
      <c r="A1054" t="str">
        <f>"200560C0300"</f>
        <v>200560C0300</v>
      </c>
      <c r="B1054" t="s">
        <v>2233</v>
      </c>
      <c r="C1054">
        <v>20</v>
      </c>
      <c r="D1054" t="s">
        <v>88</v>
      </c>
      <c r="E1054">
        <v>66</v>
      </c>
      <c r="F1054" t="s">
        <v>1713</v>
      </c>
      <c r="G1054">
        <v>560</v>
      </c>
      <c r="H1054">
        <v>3</v>
      </c>
      <c r="I1054" t="s">
        <v>98</v>
      </c>
      <c r="J1054">
        <v>0</v>
      </c>
      <c r="K1054">
        <v>1</v>
      </c>
      <c r="L1054">
        <v>5</v>
      </c>
      <c r="M1054">
        <v>285</v>
      </c>
      <c r="N1054">
        <v>381</v>
      </c>
      <c r="O1054">
        <v>0</v>
      </c>
      <c r="P1054" t="s">
        <v>105</v>
      </c>
      <c r="Q1054">
        <v>79</v>
      </c>
      <c r="R1054">
        <v>51</v>
      </c>
      <c r="S1054">
        <v>18</v>
      </c>
      <c r="T1054">
        <v>8</v>
      </c>
      <c r="U1054">
        <v>15</v>
      </c>
      <c r="V1054">
        <v>15</v>
      </c>
      <c r="W1054">
        <v>4</v>
      </c>
      <c r="X1054">
        <v>4</v>
      </c>
      <c r="Y1054">
        <v>139</v>
      </c>
      <c r="Z1054">
        <v>4</v>
      </c>
      <c r="AA1054">
        <v>3</v>
      </c>
      <c r="AB1054">
        <v>8</v>
      </c>
      <c r="AC1054">
        <v>2</v>
      </c>
      <c r="AD1054">
        <v>0</v>
      </c>
      <c r="AE1054">
        <v>0</v>
      </c>
      <c r="AF1054">
        <v>1</v>
      </c>
      <c r="AK1054">
        <v>8</v>
      </c>
      <c r="AL1054">
        <v>4</v>
      </c>
      <c r="AM1054">
        <v>0</v>
      </c>
      <c r="AN1054">
        <v>0</v>
      </c>
      <c r="AT1054">
        <v>1</v>
      </c>
      <c r="BC1054">
        <v>0</v>
      </c>
      <c r="BD1054">
        <v>18</v>
      </c>
      <c r="BE1054">
        <v>382</v>
      </c>
      <c r="BF1054">
        <v>382</v>
      </c>
      <c r="BG1054">
        <v>643</v>
      </c>
      <c r="BJ1054">
        <v>1</v>
      </c>
      <c r="BL1054" t="s">
        <v>2234</v>
      </c>
      <c r="BM1054" s="4">
        <v>43283.18472222222</v>
      </c>
      <c r="BN1054" s="4">
        <v>43283.203611111108</v>
      </c>
      <c r="BO1054" s="4">
        <v>43283.203611111108</v>
      </c>
      <c r="BP1054" t="s">
        <v>92</v>
      </c>
      <c r="BQ1054" t="s">
        <v>93</v>
      </c>
      <c r="BR1054" t="s">
        <v>94</v>
      </c>
    </row>
    <row r="1055" spans="1:70" x14ac:dyDescent="0.3">
      <c r="A1055" t="str">
        <f>"200561B0100"</f>
        <v>200561B0100</v>
      </c>
      <c r="B1055" t="s">
        <v>2235</v>
      </c>
      <c r="C1055">
        <v>20</v>
      </c>
      <c r="D1055" t="s">
        <v>88</v>
      </c>
      <c r="E1055">
        <v>66</v>
      </c>
      <c r="F1055" t="s">
        <v>1713</v>
      </c>
      <c r="G1055">
        <v>561</v>
      </c>
      <c r="H1055">
        <v>1</v>
      </c>
      <c r="I1055" t="s">
        <v>90</v>
      </c>
      <c r="J1055">
        <v>0</v>
      </c>
      <c r="K1055">
        <v>1</v>
      </c>
      <c r="L1055">
        <v>5</v>
      </c>
      <c r="M1055">
        <v>230</v>
      </c>
      <c r="N1055">
        <v>354</v>
      </c>
      <c r="O1055">
        <v>4</v>
      </c>
      <c r="P1055">
        <v>354</v>
      </c>
      <c r="Q1055">
        <v>69</v>
      </c>
      <c r="R1055">
        <v>31</v>
      </c>
      <c r="S1055">
        <v>14</v>
      </c>
      <c r="T1055">
        <v>4</v>
      </c>
      <c r="U1055">
        <v>17</v>
      </c>
      <c r="V1055">
        <v>17</v>
      </c>
      <c r="W1055">
        <v>4</v>
      </c>
      <c r="X1055">
        <v>5</v>
      </c>
      <c r="Y1055">
        <v>158</v>
      </c>
      <c r="Z1055">
        <v>6</v>
      </c>
      <c r="AA1055">
        <v>1</v>
      </c>
      <c r="AB1055">
        <v>3</v>
      </c>
      <c r="AC1055">
        <v>1</v>
      </c>
      <c r="AD1055">
        <v>0</v>
      </c>
      <c r="AE1055">
        <v>2</v>
      </c>
      <c r="AF1055">
        <v>0</v>
      </c>
      <c r="AK1055">
        <v>6</v>
      </c>
      <c r="AL1055">
        <v>3</v>
      </c>
      <c r="AM1055">
        <v>0</v>
      </c>
      <c r="AN1055">
        <v>2</v>
      </c>
      <c r="AT1055">
        <v>3</v>
      </c>
      <c r="BC1055">
        <v>0</v>
      </c>
      <c r="BD1055">
        <v>8</v>
      </c>
      <c r="BE1055">
        <v>354</v>
      </c>
      <c r="BF1055">
        <v>354</v>
      </c>
      <c r="BG1055">
        <v>562</v>
      </c>
      <c r="BJ1055">
        <v>1</v>
      </c>
      <c r="BL1055" t="s">
        <v>2236</v>
      </c>
      <c r="BM1055" s="4">
        <v>43283.175694444442</v>
      </c>
      <c r="BN1055" s="4">
        <v>43283.190787037034</v>
      </c>
      <c r="BO1055" s="4">
        <v>43283.190787037034</v>
      </c>
      <c r="BP1055" t="s">
        <v>92</v>
      </c>
      <c r="BQ1055" t="s">
        <v>93</v>
      </c>
      <c r="BR1055" t="s">
        <v>94</v>
      </c>
    </row>
    <row r="1056" spans="1:70" x14ac:dyDescent="0.3">
      <c r="A1056" t="str">
        <f>"200561C0100"</f>
        <v>200561C0100</v>
      </c>
      <c r="B1056" t="s">
        <v>2237</v>
      </c>
      <c r="C1056">
        <v>20</v>
      </c>
      <c r="D1056" t="s">
        <v>88</v>
      </c>
      <c r="E1056">
        <v>66</v>
      </c>
      <c r="F1056" t="s">
        <v>1713</v>
      </c>
      <c r="G1056">
        <v>561</v>
      </c>
      <c r="H1056">
        <v>1</v>
      </c>
      <c r="I1056" t="s">
        <v>98</v>
      </c>
      <c r="J1056">
        <v>0</v>
      </c>
      <c r="K1056">
        <v>1</v>
      </c>
      <c r="L1056">
        <v>5</v>
      </c>
      <c r="M1056">
        <v>215</v>
      </c>
      <c r="N1056">
        <v>367</v>
      </c>
      <c r="O1056">
        <v>8</v>
      </c>
      <c r="P1056">
        <v>367</v>
      </c>
      <c r="Q1056">
        <v>64</v>
      </c>
      <c r="R1056">
        <v>31</v>
      </c>
      <c r="S1056">
        <v>21</v>
      </c>
      <c r="T1056">
        <v>4</v>
      </c>
      <c r="U1056">
        <v>19</v>
      </c>
      <c r="V1056">
        <v>13</v>
      </c>
      <c r="W1056">
        <v>3</v>
      </c>
      <c r="X1056">
        <v>6</v>
      </c>
      <c r="Y1056">
        <v>170</v>
      </c>
      <c r="Z1056">
        <v>7</v>
      </c>
      <c r="AA1056">
        <v>3</v>
      </c>
      <c r="AB1056">
        <v>7</v>
      </c>
      <c r="AC1056">
        <v>2</v>
      </c>
      <c r="AD1056">
        <v>2</v>
      </c>
      <c r="AE1056">
        <v>0</v>
      </c>
      <c r="AF1056">
        <v>0</v>
      </c>
      <c r="AK1056">
        <v>3</v>
      </c>
      <c r="AL1056">
        <v>4</v>
      </c>
      <c r="AM1056">
        <v>0</v>
      </c>
      <c r="AN1056">
        <v>1</v>
      </c>
      <c r="AT1056">
        <v>0</v>
      </c>
      <c r="BC1056">
        <v>0</v>
      </c>
      <c r="BD1056">
        <v>7</v>
      </c>
      <c r="BE1056">
        <v>367</v>
      </c>
      <c r="BF1056">
        <v>367</v>
      </c>
      <c r="BG1056">
        <v>561</v>
      </c>
      <c r="BJ1056">
        <v>1</v>
      </c>
      <c r="BL1056" t="s">
        <v>2238</v>
      </c>
      <c r="BM1056" s="4">
        <v>43283.169444444444</v>
      </c>
      <c r="BN1056" s="4">
        <v>43283.183067129627</v>
      </c>
      <c r="BO1056" s="4">
        <v>43283.183067129627</v>
      </c>
      <c r="BP1056" t="s">
        <v>92</v>
      </c>
      <c r="BQ1056" t="s">
        <v>93</v>
      </c>
      <c r="BR1056" t="s">
        <v>94</v>
      </c>
    </row>
    <row r="1057" spans="1:70" x14ac:dyDescent="0.3">
      <c r="A1057" t="str">
        <f>"200562B0100"</f>
        <v>200562B0100</v>
      </c>
      <c r="B1057" t="s">
        <v>2239</v>
      </c>
      <c r="C1057">
        <v>20</v>
      </c>
      <c r="D1057" t="s">
        <v>88</v>
      </c>
      <c r="E1057">
        <v>66</v>
      </c>
      <c r="F1057" t="s">
        <v>1713</v>
      </c>
      <c r="G1057">
        <v>562</v>
      </c>
      <c r="H1057">
        <v>1</v>
      </c>
      <c r="I1057" t="s">
        <v>90</v>
      </c>
      <c r="J1057">
        <v>0</v>
      </c>
      <c r="K1057">
        <v>1</v>
      </c>
      <c r="L1057">
        <v>5</v>
      </c>
      <c r="M1057">
        <v>204</v>
      </c>
      <c r="N1057">
        <v>359</v>
      </c>
      <c r="O1057">
        <v>3</v>
      </c>
      <c r="P1057">
        <v>357</v>
      </c>
      <c r="Q1057">
        <v>50</v>
      </c>
      <c r="R1057">
        <v>40</v>
      </c>
      <c r="S1057">
        <v>8</v>
      </c>
      <c r="T1057">
        <v>4</v>
      </c>
      <c r="U1057">
        <v>14</v>
      </c>
      <c r="V1057">
        <v>5</v>
      </c>
      <c r="W1057">
        <v>5</v>
      </c>
      <c r="X1057">
        <v>3</v>
      </c>
      <c r="Y1057">
        <v>188</v>
      </c>
      <c r="Z1057">
        <v>6</v>
      </c>
      <c r="AA1057">
        <v>1</v>
      </c>
      <c r="AB1057">
        <v>8</v>
      </c>
      <c r="AC1057">
        <v>2</v>
      </c>
      <c r="AD1057">
        <v>0</v>
      </c>
      <c r="AE1057">
        <v>0</v>
      </c>
      <c r="AF1057">
        <v>0</v>
      </c>
      <c r="AK1057">
        <v>5</v>
      </c>
      <c r="AL1057">
        <v>1</v>
      </c>
      <c r="AM1057">
        <v>0</v>
      </c>
      <c r="AN1057">
        <v>4</v>
      </c>
      <c r="AT1057">
        <v>0</v>
      </c>
      <c r="BC1057">
        <v>1</v>
      </c>
      <c r="BD1057">
        <v>3</v>
      </c>
      <c r="BE1057">
        <v>357</v>
      </c>
      <c r="BF1057">
        <v>348</v>
      </c>
      <c r="BG1057">
        <v>541</v>
      </c>
      <c r="BJ1057">
        <v>1</v>
      </c>
      <c r="BL1057" t="s">
        <v>2240</v>
      </c>
      <c r="BM1057" s="4">
        <v>43283.17083333333</v>
      </c>
      <c r="BN1057" s="4">
        <v>43283.190520833334</v>
      </c>
      <c r="BO1057" s="4">
        <v>43283.190520833334</v>
      </c>
      <c r="BP1057" t="s">
        <v>92</v>
      </c>
      <c r="BQ1057" t="s">
        <v>93</v>
      </c>
      <c r="BR1057" t="s">
        <v>94</v>
      </c>
    </row>
    <row r="1058" spans="1:70" x14ac:dyDescent="0.3">
      <c r="A1058" t="str">
        <f>"200562C0100"</f>
        <v>200562C0100</v>
      </c>
      <c r="B1058" t="s">
        <v>2241</v>
      </c>
      <c r="C1058">
        <v>20</v>
      </c>
      <c r="D1058" t="s">
        <v>88</v>
      </c>
      <c r="E1058">
        <v>66</v>
      </c>
      <c r="F1058" t="s">
        <v>1713</v>
      </c>
      <c r="G1058">
        <v>562</v>
      </c>
      <c r="H1058">
        <v>1</v>
      </c>
      <c r="I1058" t="s">
        <v>98</v>
      </c>
      <c r="J1058">
        <v>0</v>
      </c>
      <c r="K1058">
        <v>1</v>
      </c>
      <c r="L1058">
        <v>5</v>
      </c>
      <c r="M1058">
        <v>222</v>
      </c>
      <c r="N1058">
        <v>340</v>
      </c>
      <c r="O1058">
        <v>1</v>
      </c>
      <c r="P1058">
        <v>340</v>
      </c>
      <c r="Q1058">
        <v>62</v>
      </c>
      <c r="R1058">
        <v>29</v>
      </c>
      <c r="S1058">
        <v>16</v>
      </c>
      <c r="T1058">
        <v>3</v>
      </c>
      <c r="U1058">
        <v>23</v>
      </c>
      <c r="V1058">
        <v>7</v>
      </c>
      <c r="W1058">
        <v>6</v>
      </c>
      <c r="X1058">
        <v>4</v>
      </c>
      <c r="Y1058">
        <v>145</v>
      </c>
      <c r="Z1058">
        <v>4</v>
      </c>
      <c r="AA1058">
        <v>1</v>
      </c>
      <c r="AB1058">
        <v>12</v>
      </c>
      <c r="AC1058">
        <v>1</v>
      </c>
      <c r="AD1058">
        <v>1</v>
      </c>
      <c r="AE1058">
        <v>1</v>
      </c>
      <c r="AF1058">
        <v>1</v>
      </c>
      <c r="AK1058">
        <v>3</v>
      </c>
      <c r="AL1058">
        <v>2</v>
      </c>
      <c r="AM1058">
        <v>1</v>
      </c>
      <c r="AN1058">
        <v>2</v>
      </c>
      <c r="AT1058">
        <v>3</v>
      </c>
      <c r="BC1058">
        <v>0</v>
      </c>
      <c r="BD1058">
        <v>13</v>
      </c>
      <c r="BE1058">
        <v>340</v>
      </c>
      <c r="BF1058">
        <v>340</v>
      </c>
      <c r="BG1058">
        <v>540</v>
      </c>
      <c r="BJ1058">
        <v>1</v>
      </c>
      <c r="BL1058" t="s">
        <v>2242</v>
      </c>
      <c r="BM1058" s="4">
        <v>43283.174305555556</v>
      </c>
      <c r="BN1058" s="4">
        <v>43283.189687500002</v>
      </c>
      <c r="BO1058" s="4">
        <v>43283.189687500002</v>
      </c>
      <c r="BP1058" t="s">
        <v>92</v>
      </c>
      <c r="BQ1058" t="s">
        <v>93</v>
      </c>
      <c r="BR1058" t="s">
        <v>94</v>
      </c>
    </row>
    <row r="1059" spans="1:70" x14ac:dyDescent="0.3">
      <c r="A1059" t="str">
        <f>"200563B0100"</f>
        <v>200563B0100</v>
      </c>
      <c r="B1059" t="s">
        <v>2243</v>
      </c>
      <c r="C1059">
        <v>20</v>
      </c>
      <c r="D1059" t="s">
        <v>88</v>
      </c>
      <c r="E1059">
        <v>66</v>
      </c>
      <c r="F1059" t="s">
        <v>1713</v>
      </c>
      <c r="G1059">
        <v>563</v>
      </c>
      <c r="H1059">
        <v>1</v>
      </c>
      <c r="I1059" t="s">
        <v>90</v>
      </c>
      <c r="J1059">
        <v>0</v>
      </c>
      <c r="K1059">
        <v>1</v>
      </c>
      <c r="L1059">
        <v>5</v>
      </c>
      <c r="M1059">
        <v>203</v>
      </c>
      <c r="N1059">
        <v>309</v>
      </c>
      <c r="O1059">
        <v>0</v>
      </c>
      <c r="P1059">
        <v>0</v>
      </c>
      <c r="Q1059">
        <v>55</v>
      </c>
      <c r="R1059">
        <v>33</v>
      </c>
      <c r="S1059">
        <v>8</v>
      </c>
      <c r="T1059">
        <v>2</v>
      </c>
      <c r="U1059">
        <v>15</v>
      </c>
      <c r="V1059">
        <v>6</v>
      </c>
      <c r="W1059">
        <v>9</v>
      </c>
      <c r="X1059">
        <v>11</v>
      </c>
      <c r="Y1059">
        <v>143</v>
      </c>
      <c r="Z1059">
        <v>7</v>
      </c>
      <c r="AA1059">
        <v>2</v>
      </c>
      <c r="AB1059">
        <v>5</v>
      </c>
      <c r="AC1059">
        <v>1</v>
      </c>
      <c r="AD1059">
        <v>1</v>
      </c>
      <c r="AE1059">
        <v>0</v>
      </c>
      <c r="AF1059">
        <v>0</v>
      </c>
      <c r="AK1059">
        <v>4</v>
      </c>
      <c r="AL1059">
        <v>0</v>
      </c>
      <c r="AM1059">
        <v>0</v>
      </c>
      <c r="AN1059">
        <v>3</v>
      </c>
      <c r="AT1059">
        <v>0</v>
      </c>
      <c r="BC1059">
        <v>0</v>
      </c>
      <c r="BD1059">
        <v>4</v>
      </c>
      <c r="BE1059">
        <v>309</v>
      </c>
      <c r="BF1059">
        <v>309</v>
      </c>
      <c r="BG1059">
        <v>490</v>
      </c>
      <c r="BJ1059">
        <v>1</v>
      </c>
      <c r="BL1059" t="s">
        <v>2244</v>
      </c>
      <c r="BM1059" s="4">
        <v>43283.173611111109</v>
      </c>
      <c r="BN1059" s="4">
        <v>43283.187719907408</v>
      </c>
      <c r="BO1059" s="4">
        <v>43283.187719907408</v>
      </c>
      <c r="BP1059" t="s">
        <v>92</v>
      </c>
      <c r="BQ1059" t="s">
        <v>93</v>
      </c>
      <c r="BR1059" t="s">
        <v>94</v>
      </c>
    </row>
    <row r="1060" spans="1:70" x14ac:dyDescent="0.3">
      <c r="A1060" t="str">
        <f>"200563C0100"</f>
        <v>200563C0100</v>
      </c>
      <c r="B1060" t="s">
        <v>2245</v>
      </c>
      <c r="C1060">
        <v>20</v>
      </c>
      <c r="D1060" t="s">
        <v>88</v>
      </c>
      <c r="E1060">
        <v>66</v>
      </c>
      <c r="F1060" t="s">
        <v>1713</v>
      </c>
      <c r="G1060">
        <v>563</v>
      </c>
      <c r="H1060">
        <v>1</v>
      </c>
      <c r="I1060" t="s">
        <v>98</v>
      </c>
      <c r="J1060">
        <v>0</v>
      </c>
      <c r="K1060">
        <v>1</v>
      </c>
      <c r="L1060">
        <v>5</v>
      </c>
      <c r="M1060">
        <v>182</v>
      </c>
      <c r="N1060">
        <v>329</v>
      </c>
      <c r="O1060">
        <v>3</v>
      </c>
      <c r="P1060">
        <v>329</v>
      </c>
      <c r="Q1060">
        <v>54</v>
      </c>
      <c r="R1060">
        <v>23</v>
      </c>
      <c r="S1060">
        <v>8</v>
      </c>
      <c r="T1060">
        <v>6</v>
      </c>
      <c r="U1060">
        <v>12</v>
      </c>
      <c r="V1060">
        <v>8</v>
      </c>
      <c r="W1060">
        <v>7</v>
      </c>
      <c r="X1060">
        <v>2</v>
      </c>
      <c r="Y1060">
        <v>172</v>
      </c>
      <c r="Z1060">
        <v>7</v>
      </c>
      <c r="AA1060">
        <v>3</v>
      </c>
      <c r="AB1060">
        <v>8</v>
      </c>
      <c r="AC1060">
        <v>1</v>
      </c>
      <c r="AD1060">
        <v>0</v>
      </c>
      <c r="AE1060">
        <v>1</v>
      </c>
      <c r="AF1060">
        <v>0</v>
      </c>
      <c r="AK1060">
        <v>2</v>
      </c>
      <c r="AL1060">
        <v>1</v>
      </c>
      <c r="AM1060">
        <v>0</v>
      </c>
      <c r="AN1060">
        <v>0</v>
      </c>
      <c r="AT1060">
        <v>1</v>
      </c>
      <c r="BC1060">
        <v>0</v>
      </c>
      <c r="BD1060">
        <v>13</v>
      </c>
      <c r="BE1060">
        <v>329</v>
      </c>
      <c r="BF1060">
        <v>329</v>
      </c>
      <c r="BG1060">
        <v>489</v>
      </c>
      <c r="BJ1060">
        <v>1</v>
      </c>
      <c r="BL1060" t="s">
        <v>2246</v>
      </c>
      <c r="BM1060" s="4">
        <v>43283.17291666667</v>
      </c>
      <c r="BN1060" s="4">
        <v>43283.192662037036</v>
      </c>
      <c r="BO1060" s="4">
        <v>43283.192662037036</v>
      </c>
      <c r="BP1060" t="s">
        <v>92</v>
      </c>
      <c r="BQ1060" t="s">
        <v>93</v>
      </c>
      <c r="BR1060" t="s">
        <v>94</v>
      </c>
    </row>
    <row r="1061" spans="1:70" x14ac:dyDescent="0.3">
      <c r="A1061" t="str">
        <f>"200564B0100"</f>
        <v>200564B0100</v>
      </c>
      <c r="B1061" t="s">
        <v>2247</v>
      </c>
      <c r="C1061">
        <v>20</v>
      </c>
      <c r="D1061" t="s">
        <v>88</v>
      </c>
      <c r="E1061">
        <v>66</v>
      </c>
      <c r="F1061" t="s">
        <v>1713</v>
      </c>
      <c r="G1061">
        <v>564</v>
      </c>
      <c r="H1061">
        <v>1</v>
      </c>
      <c r="I1061" t="s">
        <v>90</v>
      </c>
      <c r="J1061">
        <v>0</v>
      </c>
      <c r="K1061">
        <v>1</v>
      </c>
      <c r="L1061">
        <v>5</v>
      </c>
      <c r="M1061">
        <v>253</v>
      </c>
      <c r="N1061">
        <v>418</v>
      </c>
      <c r="O1061">
        <v>7</v>
      </c>
      <c r="P1061">
        <v>405</v>
      </c>
      <c r="Q1061">
        <v>69</v>
      </c>
      <c r="R1061">
        <v>54</v>
      </c>
      <c r="S1061">
        <v>16</v>
      </c>
      <c r="T1061">
        <v>3</v>
      </c>
      <c r="U1061">
        <v>14</v>
      </c>
      <c r="V1061">
        <v>10</v>
      </c>
      <c r="W1061">
        <v>6</v>
      </c>
      <c r="X1061">
        <v>2</v>
      </c>
      <c r="Y1061">
        <v>188</v>
      </c>
      <c r="Z1061">
        <v>7</v>
      </c>
      <c r="AA1061">
        <v>4</v>
      </c>
      <c r="AB1061">
        <v>8</v>
      </c>
      <c r="AC1061">
        <v>3</v>
      </c>
      <c r="AD1061">
        <v>1</v>
      </c>
      <c r="AE1061">
        <v>0</v>
      </c>
      <c r="AF1061">
        <v>1</v>
      </c>
      <c r="AK1061">
        <v>9</v>
      </c>
      <c r="AL1061">
        <v>3</v>
      </c>
      <c r="AM1061">
        <v>0</v>
      </c>
      <c r="AN1061">
        <v>2</v>
      </c>
      <c r="AT1061">
        <v>1</v>
      </c>
      <c r="BC1061">
        <v>0</v>
      </c>
      <c r="BD1061">
        <v>11</v>
      </c>
      <c r="BE1061">
        <v>414</v>
      </c>
      <c r="BF1061">
        <v>412</v>
      </c>
      <c r="BG1061">
        <v>647</v>
      </c>
      <c r="BJ1061">
        <v>1</v>
      </c>
      <c r="BL1061" t="s">
        <v>2248</v>
      </c>
      <c r="BM1061" s="4">
        <v>43283.18472222222</v>
      </c>
      <c r="BN1061" s="4">
        <v>43283.203217592592</v>
      </c>
      <c r="BO1061" s="4">
        <v>43283.203217592592</v>
      </c>
      <c r="BP1061" t="s">
        <v>92</v>
      </c>
      <c r="BQ1061" t="s">
        <v>93</v>
      </c>
      <c r="BR1061" t="s">
        <v>94</v>
      </c>
    </row>
    <row r="1062" spans="1:70" x14ac:dyDescent="0.3">
      <c r="A1062" t="str">
        <f>"200564C0100"</f>
        <v>200564C0100</v>
      </c>
      <c r="B1062" t="s">
        <v>2249</v>
      </c>
      <c r="C1062">
        <v>20</v>
      </c>
      <c r="D1062" t="s">
        <v>88</v>
      </c>
      <c r="E1062">
        <v>66</v>
      </c>
      <c r="F1062" t="s">
        <v>1713</v>
      </c>
      <c r="G1062">
        <v>564</v>
      </c>
      <c r="H1062">
        <v>1</v>
      </c>
      <c r="I1062" t="s">
        <v>98</v>
      </c>
      <c r="J1062">
        <v>0</v>
      </c>
      <c r="K1062">
        <v>1</v>
      </c>
      <c r="L1062">
        <v>5</v>
      </c>
      <c r="M1062">
        <v>250</v>
      </c>
      <c r="N1062">
        <v>419</v>
      </c>
      <c r="O1062">
        <v>4</v>
      </c>
      <c r="P1062">
        <v>419</v>
      </c>
      <c r="Q1062">
        <v>68</v>
      </c>
      <c r="R1062">
        <v>62</v>
      </c>
      <c r="S1062">
        <v>14</v>
      </c>
      <c r="T1062">
        <v>7</v>
      </c>
      <c r="U1062">
        <v>23</v>
      </c>
      <c r="V1062">
        <v>10</v>
      </c>
      <c r="W1062">
        <v>6</v>
      </c>
      <c r="X1062">
        <v>7</v>
      </c>
      <c r="Y1062">
        <v>168</v>
      </c>
      <c r="Z1062">
        <v>4</v>
      </c>
      <c r="AA1062">
        <v>4</v>
      </c>
      <c r="AB1062">
        <v>13</v>
      </c>
      <c r="AC1062">
        <v>1</v>
      </c>
      <c r="AD1062">
        <v>1</v>
      </c>
      <c r="AE1062">
        <v>0</v>
      </c>
      <c r="AF1062">
        <v>0</v>
      </c>
      <c r="AK1062">
        <v>2</v>
      </c>
      <c r="AL1062">
        <v>3</v>
      </c>
      <c r="AM1062">
        <v>0</v>
      </c>
      <c r="AN1062">
        <v>4</v>
      </c>
      <c r="AT1062">
        <v>2</v>
      </c>
      <c r="BC1062">
        <v>0</v>
      </c>
      <c r="BD1062">
        <v>22</v>
      </c>
      <c r="BE1062">
        <v>419</v>
      </c>
      <c r="BF1062">
        <v>421</v>
      </c>
      <c r="BG1062">
        <v>647</v>
      </c>
      <c r="BJ1062">
        <v>1</v>
      </c>
      <c r="BL1062" t="s">
        <v>2250</v>
      </c>
      <c r="BM1062" s="4">
        <v>43283.190972222219</v>
      </c>
      <c r="BN1062" s="4">
        <v>43283.210451388892</v>
      </c>
      <c r="BO1062" s="4">
        <v>43283.210451388892</v>
      </c>
      <c r="BP1062" t="s">
        <v>92</v>
      </c>
      <c r="BQ1062" t="s">
        <v>93</v>
      </c>
      <c r="BR1062" t="s">
        <v>94</v>
      </c>
    </row>
    <row r="1063" spans="1:70" x14ac:dyDescent="0.3">
      <c r="A1063" t="str">
        <f>"200565B0100"</f>
        <v>200565B0100</v>
      </c>
      <c r="B1063" t="s">
        <v>2251</v>
      </c>
      <c r="C1063">
        <v>20</v>
      </c>
      <c r="D1063" t="s">
        <v>88</v>
      </c>
      <c r="E1063">
        <v>66</v>
      </c>
      <c r="F1063" t="s">
        <v>1713</v>
      </c>
      <c r="G1063">
        <v>565</v>
      </c>
      <c r="H1063">
        <v>1</v>
      </c>
      <c r="I1063" t="s">
        <v>90</v>
      </c>
      <c r="J1063">
        <v>0</v>
      </c>
      <c r="K1063">
        <v>1</v>
      </c>
      <c r="L1063">
        <v>5</v>
      </c>
      <c r="M1063">
        <v>173</v>
      </c>
      <c r="N1063">
        <v>301</v>
      </c>
      <c r="O1063">
        <v>7</v>
      </c>
      <c r="P1063" t="s">
        <v>105</v>
      </c>
      <c r="Q1063">
        <v>43</v>
      </c>
      <c r="R1063">
        <v>36</v>
      </c>
      <c r="S1063">
        <v>7</v>
      </c>
      <c r="T1063">
        <v>3</v>
      </c>
      <c r="U1063">
        <v>6</v>
      </c>
      <c r="V1063">
        <v>5</v>
      </c>
      <c r="W1063">
        <v>3</v>
      </c>
      <c r="X1063">
        <v>3</v>
      </c>
      <c r="Y1063">
        <v>152</v>
      </c>
      <c r="Z1063">
        <v>4</v>
      </c>
      <c r="AA1063">
        <v>2</v>
      </c>
      <c r="AB1063">
        <v>6</v>
      </c>
      <c r="AC1063">
        <v>1</v>
      </c>
      <c r="AD1063">
        <v>2</v>
      </c>
      <c r="AE1063">
        <v>7</v>
      </c>
      <c r="AF1063">
        <v>1</v>
      </c>
      <c r="AK1063">
        <v>2</v>
      </c>
      <c r="AL1063">
        <v>1</v>
      </c>
      <c r="AM1063">
        <v>0</v>
      </c>
      <c r="AN1063">
        <v>0</v>
      </c>
      <c r="AT1063">
        <v>0</v>
      </c>
      <c r="BC1063">
        <v>0</v>
      </c>
      <c r="BD1063">
        <v>10</v>
      </c>
      <c r="BE1063">
        <v>294</v>
      </c>
      <c r="BF1063">
        <v>294</v>
      </c>
      <c r="BG1063">
        <v>452</v>
      </c>
      <c r="BJ1063">
        <v>1</v>
      </c>
      <c r="BL1063" t="s">
        <v>2252</v>
      </c>
      <c r="BM1063" s="4">
        <v>43283.163194444445</v>
      </c>
      <c r="BN1063" s="4">
        <v>43283.177905092591</v>
      </c>
      <c r="BO1063" s="4">
        <v>43283.177905092591</v>
      </c>
      <c r="BP1063" t="s">
        <v>92</v>
      </c>
      <c r="BQ1063" t="s">
        <v>93</v>
      </c>
      <c r="BR1063" t="s">
        <v>94</v>
      </c>
    </row>
    <row r="1064" spans="1:70" x14ac:dyDescent="0.3">
      <c r="A1064" t="str">
        <f>"200565C0100"</f>
        <v>200565C0100</v>
      </c>
      <c r="B1064" t="s">
        <v>2253</v>
      </c>
      <c r="C1064">
        <v>20</v>
      </c>
      <c r="D1064" t="s">
        <v>88</v>
      </c>
      <c r="E1064">
        <v>66</v>
      </c>
      <c r="F1064" t="s">
        <v>1713</v>
      </c>
      <c r="G1064">
        <v>565</v>
      </c>
      <c r="H1064">
        <v>1</v>
      </c>
      <c r="I1064" t="s">
        <v>98</v>
      </c>
      <c r="J1064">
        <v>0</v>
      </c>
      <c r="K1064">
        <v>1</v>
      </c>
      <c r="L1064">
        <v>5</v>
      </c>
      <c r="M1064">
        <v>195</v>
      </c>
      <c r="N1064">
        <v>290</v>
      </c>
      <c r="O1064">
        <v>6</v>
      </c>
      <c r="P1064">
        <v>284</v>
      </c>
      <c r="Q1064">
        <v>52</v>
      </c>
      <c r="R1064">
        <v>36</v>
      </c>
      <c r="S1064">
        <v>5</v>
      </c>
      <c r="T1064">
        <v>6</v>
      </c>
      <c r="U1064">
        <v>9</v>
      </c>
      <c r="V1064">
        <v>9</v>
      </c>
      <c r="W1064">
        <v>1</v>
      </c>
      <c r="X1064">
        <v>3</v>
      </c>
      <c r="Y1064">
        <v>136</v>
      </c>
      <c r="Z1064">
        <v>5</v>
      </c>
      <c r="AA1064">
        <v>3</v>
      </c>
      <c r="AB1064">
        <v>5</v>
      </c>
      <c r="AC1064">
        <v>1</v>
      </c>
      <c r="AD1064" t="s">
        <v>105</v>
      </c>
      <c r="AE1064" t="s">
        <v>105</v>
      </c>
      <c r="AF1064" t="s">
        <v>105</v>
      </c>
      <c r="AK1064">
        <v>1</v>
      </c>
      <c r="AL1064">
        <v>1</v>
      </c>
      <c r="AM1064" t="s">
        <v>105</v>
      </c>
      <c r="AN1064">
        <v>1</v>
      </c>
      <c r="AT1064" t="s">
        <v>105</v>
      </c>
      <c r="BC1064" t="s">
        <v>105</v>
      </c>
      <c r="BD1064">
        <v>10</v>
      </c>
      <c r="BE1064">
        <v>284</v>
      </c>
      <c r="BF1064">
        <v>284</v>
      </c>
      <c r="BG1064">
        <v>451</v>
      </c>
      <c r="BI1064" t="s">
        <v>106</v>
      </c>
      <c r="BJ1064">
        <v>1</v>
      </c>
      <c r="BL1064" t="s">
        <v>2254</v>
      </c>
      <c r="BM1064" s="4">
        <v>43283.180555555555</v>
      </c>
      <c r="BN1064" s="4">
        <v>43283.198287037034</v>
      </c>
      <c r="BO1064" s="4">
        <v>43283.198287037034</v>
      </c>
      <c r="BP1064" t="s">
        <v>92</v>
      </c>
      <c r="BQ1064" t="s">
        <v>93</v>
      </c>
      <c r="BR1064" t="s">
        <v>94</v>
      </c>
    </row>
    <row r="1065" spans="1:70" x14ac:dyDescent="0.3">
      <c r="A1065" t="str">
        <f>"200566B0100"</f>
        <v>200566B0100</v>
      </c>
      <c r="B1065" t="s">
        <v>2255</v>
      </c>
      <c r="C1065">
        <v>20</v>
      </c>
      <c r="D1065" t="s">
        <v>88</v>
      </c>
      <c r="E1065">
        <v>66</v>
      </c>
      <c r="F1065" t="s">
        <v>1713</v>
      </c>
      <c r="G1065">
        <v>566</v>
      </c>
      <c r="H1065">
        <v>1</v>
      </c>
      <c r="I1065" t="s">
        <v>90</v>
      </c>
      <c r="J1065">
        <v>0</v>
      </c>
      <c r="K1065">
        <v>1</v>
      </c>
      <c r="L1065">
        <v>5</v>
      </c>
      <c r="M1065">
        <v>234</v>
      </c>
      <c r="N1065">
        <v>396</v>
      </c>
      <c r="O1065">
        <v>0</v>
      </c>
      <c r="P1065">
        <v>396</v>
      </c>
      <c r="Q1065">
        <v>77</v>
      </c>
      <c r="R1065">
        <v>66</v>
      </c>
      <c r="S1065">
        <v>6</v>
      </c>
      <c r="T1065">
        <v>4</v>
      </c>
      <c r="U1065">
        <v>13</v>
      </c>
      <c r="V1065">
        <v>6</v>
      </c>
      <c r="W1065">
        <v>11</v>
      </c>
      <c r="X1065">
        <v>8</v>
      </c>
      <c r="Y1065">
        <v>163</v>
      </c>
      <c r="Z1065">
        <v>5</v>
      </c>
      <c r="AA1065">
        <v>5</v>
      </c>
      <c r="AB1065">
        <v>10</v>
      </c>
      <c r="AC1065">
        <v>0</v>
      </c>
      <c r="AD1065">
        <v>1</v>
      </c>
      <c r="AE1065">
        <v>1</v>
      </c>
      <c r="AF1065">
        <v>0</v>
      </c>
      <c r="AK1065">
        <v>2</v>
      </c>
      <c r="AL1065">
        <v>1</v>
      </c>
      <c r="AM1065">
        <v>0</v>
      </c>
      <c r="AN1065">
        <v>3</v>
      </c>
      <c r="AT1065">
        <v>4</v>
      </c>
      <c r="BC1065">
        <v>0</v>
      </c>
      <c r="BD1065">
        <v>10</v>
      </c>
      <c r="BE1065">
        <v>396</v>
      </c>
      <c r="BF1065">
        <v>396</v>
      </c>
      <c r="BG1065">
        <v>609</v>
      </c>
      <c r="BJ1065">
        <v>1</v>
      </c>
      <c r="BL1065" t="s">
        <v>2256</v>
      </c>
      <c r="BM1065" s="4">
        <v>43283.093055555553</v>
      </c>
      <c r="BN1065" s="4">
        <v>43283.097199074073</v>
      </c>
      <c r="BO1065" s="4">
        <v>43283.097199074073</v>
      </c>
      <c r="BP1065" t="s">
        <v>92</v>
      </c>
      <c r="BQ1065" t="s">
        <v>93</v>
      </c>
      <c r="BR1065" t="s">
        <v>94</v>
      </c>
    </row>
    <row r="1066" spans="1:70" x14ac:dyDescent="0.3">
      <c r="A1066" t="str">
        <f>"200566C0100"</f>
        <v>200566C0100</v>
      </c>
      <c r="B1066" t="s">
        <v>2257</v>
      </c>
      <c r="C1066">
        <v>20</v>
      </c>
      <c r="D1066" t="s">
        <v>88</v>
      </c>
      <c r="E1066">
        <v>66</v>
      </c>
      <c r="F1066" t="s">
        <v>1713</v>
      </c>
      <c r="G1066">
        <v>566</v>
      </c>
      <c r="H1066">
        <v>1</v>
      </c>
      <c r="I1066" t="s">
        <v>98</v>
      </c>
      <c r="J1066">
        <v>0</v>
      </c>
      <c r="K1066">
        <v>1</v>
      </c>
      <c r="L1066">
        <v>5</v>
      </c>
      <c r="M1066">
        <v>222</v>
      </c>
      <c r="N1066">
        <v>407</v>
      </c>
      <c r="O1066">
        <v>4</v>
      </c>
      <c r="P1066">
        <v>408</v>
      </c>
      <c r="Q1066">
        <v>61</v>
      </c>
      <c r="R1066">
        <v>74</v>
      </c>
      <c r="S1066">
        <v>10</v>
      </c>
      <c r="T1066">
        <v>5</v>
      </c>
      <c r="U1066">
        <v>12</v>
      </c>
      <c r="V1066">
        <v>9</v>
      </c>
      <c r="W1066">
        <v>11</v>
      </c>
      <c r="X1066">
        <v>13</v>
      </c>
      <c r="Y1066">
        <v>168</v>
      </c>
      <c r="Z1066">
        <v>5</v>
      </c>
      <c r="AA1066">
        <v>2</v>
      </c>
      <c r="AB1066">
        <v>11</v>
      </c>
      <c r="AC1066">
        <v>3</v>
      </c>
      <c r="AD1066">
        <v>0</v>
      </c>
      <c r="AE1066">
        <v>0</v>
      </c>
      <c r="AF1066">
        <v>0</v>
      </c>
      <c r="AK1066">
        <v>7</v>
      </c>
      <c r="AL1066">
        <v>0</v>
      </c>
      <c r="AM1066">
        <v>0</v>
      </c>
      <c r="AN1066">
        <v>2</v>
      </c>
      <c r="AT1066">
        <v>4</v>
      </c>
      <c r="BC1066">
        <v>0</v>
      </c>
      <c r="BD1066">
        <v>11</v>
      </c>
      <c r="BE1066">
        <v>408</v>
      </c>
      <c r="BF1066">
        <v>408</v>
      </c>
      <c r="BG1066">
        <v>608</v>
      </c>
      <c r="BJ1066">
        <v>1</v>
      </c>
      <c r="BL1066" t="s">
        <v>2258</v>
      </c>
      <c r="BM1066" s="4">
        <v>43283.090277777781</v>
      </c>
      <c r="BN1066" s="4">
        <v>43283.09443287037</v>
      </c>
      <c r="BO1066" s="4">
        <v>43283.09443287037</v>
      </c>
      <c r="BP1066" t="s">
        <v>92</v>
      </c>
      <c r="BQ1066" t="s">
        <v>93</v>
      </c>
      <c r="BR1066" t="s">
        <v>94</v>
      </c>
    </row>
    <row r="1067" spans="1:70" x14ac:dyDescent="0.3">
      <c r="A1067" t="str">
        <f>"200567B0100"</f>
        <v>200567B0100</v>
      </c>
      <c r="B1067" t="s">
        <v>2259</v>
      </c>
      <c r="C1067">
        <v>20</v>
      </c>
      <c r="D1067" t="s">
        <v>88</v>
      </c>
      <c r="E1067">
        <v>66</v>
      </c>
      <c r="F1067" t="s">
        <v>1713</v>
      </c>
      <c r="G1067">
        <v>567</v>
      </c>
      <c r="H1067">
        <v>1</v>
      </c>
      <c r="I1067" t="s">
        <v>90</v>
      </c>
      <c r="J1067">
        <v>0</v>
      </c>
      <c r="K1067">
        <v>1</v>
      </c>
      <c r="L1067">
        <v>5</v>
      </c>
      <c r="M1067">
        <v>243</v>
      </c>
      <c r="N1067">
        <v>507</v>
      </c>
      <c r="O1067">
        <v>9</v>
      </c>
      <c r="P1067">
        <v>478</v>
      </c>
      <c r="Q1067">
        <v>101</v>
      </c>
      <c r="R1067">
        <v>64</v>
      </c>
      <c r="S1067">
        <v>14</v>
      </c>
      <c r="T1067">
        <v>11</v>
      </c>
      <c r="U1067">
        <v>14</v>
      </c>
      <c r="V1067">
        <v>12</v>
      </c>
      <c r="W1067">
        <v>28</v>
      </c>
      <c r="X1067">
        <v>12</v>
      </c>
      <c r="Y1067">
        <v>183</v>
      </c>
      <c r="Z1067">
        <v>11</v>
      </c>
      <c r="AA1067">
        <v>4</v>
      </c>
      <c r="AB1067">
        <v>21</v>
      </c>
      <c r="AC1067">
        <v>2</v>
      </c>
      <c r="AD1067">
        <v>0</v>
      </c>
      <c r="AE1067">
        <v>0</v>
      </c>
      <c r="AF1067">
        <v>1</v>
      </c>
      <c r="AK1067">
        <v>3</v>
      </c>
      <c r="AL1067">
        <v>3</v>
      </c>
      <c r="AM1067">
        <v>0</v>
      </c>
      <c r="AN1067">
        <v>2</v>
      </c>
      <c r="AT1067">
        <v>4</v>
      </c>
      <c r="BC1067">
        <v>0</v>
      </c>
      <c r="BD1067">
        <v>12</v>
      </c>
      <c r="BE1067">
        <v>502</v>
      </c>
      <c r="BF1067">
        <v>502</v>
      </c>
      <c r="BG1067">
        <v>725</v>
      </c>
      <c r="BJ1067">
        <v>1</v>
      </c>
      <c r="BL1067" t="s">
        <v>2260</v>
      </c>
      <c r="BM1067" s="4">
        <v>43283.205555555556</v>
      </c>
      <c r="BN1067" s="4">
        <v>43283.225034722222</v>
      </c>
      <c r="BO1067" s="4">
        <v>43283.225034722222</v>
      </c>
      <c r="BP1067" t="s">
        <v>92</v>
      </c>
      <c r="BQ1067" t="s">
        <v>93</v>
      </c>
      <c r="BR1067" t="s">
        <v>94</v>
      </c>
    </row>
    <row r="1068" spans="1:70" x14ac:dyDescent="0.3">
      <c r="A1068" t="str">
        <f>"200568B0100"</f>
        <v>200568B0100</v>
      </c>
      <c r="B1068" t="s">
        <v>2261</v>
      </c>
      <c r="C1068">
        <v>20</v>
      </c>
      <c r="D1068" t="s">
        <v>88</v>
      </c>
      <c r="E1068">
        <v>66</v>
      </c>
      <c r="F1068" t="s">
        <v>1713</v>
      </c>
      <c r="G1068">
        <v>568</v>
      </c>
      <c r="H1068">
        <v>1</v>
      </c>
      <c r="I1068" t="s">
        <v>90</v>
      </c>
      <c r="J1068">
        <v>0</v>
      </c>
      <c r="K1068">
        <v>1</v>
      </c>
      <c r="L1068">
        <v>5</v>
      </c>
      <c r="M1068">
        <v>174</v>
      </c>
      <c r="N1068">
        <v>453</v>
      </c>
      <c r="O1068">
        <v>10</v>
      </c>
      <c r="P1068" t="s">
        <v>105</v>
      </c>
      <c r="Q1068">
        <v>85</v>
      </c>
      <c r="R1068">
        <v>82</v>
      </c>
      <c r="S1068">
        <v>4</v>
      </c>
      <c r="T1068">
        <v>9</v>
      </c>
      <c r="U1068">
        <v>13</v>
      </c>
      <c r="V1068">
        <v>5</v>
      </c>
      <c r="W1068">
        <v>9</v>
      </c>
      <c r="X1068">
        <v>7</v>
      </c>
      <c r="Y1068">
        <v>190</v>
      </c>
      <c r="Z1068">
        <v>6</v>
      </c>
      <c r="AA1068">
        <v>3</v>
      </c>
      <c r="AB1068">
        <v>9</v>
      </c>
      <c r="AC1068">
        <v>3</v>
      </c>
      <c r="AD1068">
        <v>2</v>
      </c>
      <c r="AE1068">
        <v>1</v>
      </c>
      <c r="AF1068">
        <v>0</v>
      </c>
      <c r="AK1068">
        <v>7</v>
      </c>
      <c r="AL1068">
        <v>2</v>
      </c>
      <c r="AM1068">
        <v>0</v>
      </c>
      <c r="AN1068">
        <v>0</v>
      </c>
      <c r="AT1068">
        <v>1</v>
      </c>
      <c r="BC1068">
        <v>2</v>
      </c>
      <c r="BD1068">
        <v>11</v>
      </c>
      <c r="BE1068">
        <v>451</v>
      </c>
      <c r="BF1068">
        <v>451</v>
      </c>
      <c r="BG1068">
        <v>605</v>
      </c>
      <c r="BJ1068">
        <v>1</v>
      </c>
      <c r="BL1068" s="2" t="s">
        <v>2262</v>
      </c>
      <c r="BM1068" s="4">
        <v>43283.205555555556</v>
      </c>
      <c r="BN1068" s="4">
        <v>43283.232893518521</v>
      </c>
      <c r="BO1068" s="4">
        <v>43283.232893518521</v>
      </c>
      <c r="BP1068" t="s">
        <v>92</v>
      </c>
      <c r="BQ1068" t="s">
        <v>93</v>
      </c>
      <c r="BR1068" t="s">
        <v>94</v>
      </c>
    </row>
    <row r="1069" spans="1:70" x14ac:dyDescent="0.3">
      <c r="A1069" t="str">
        <f>"200568C0100"</f>
        <v>200568C0100</v>
      </c>
      <c r="B1069" t="s">
        <v>2263</v>
      </c>
      <c r="C1069">
        <v>20</v>
      </c>
      <c r="D1069" t="s">
        <v>88</v>
      </c>
      <c r="E1069">
        <v>66</v>
      </c>
      <c r="F1069" t="s">
        <v>1713</v>
      </c>
      <c r="G1069">
        <v>568</v>
      </c>
      <c r="H1069">
        <v>1</v>
      </c>
      <c r="I1069" t="s">
        <v>98</v>
      </c>
      <c r="J1069">
        <v>0</v>
      </c>
      <c r="K1069">
        <v>1</v>
      </c>
      <c r="L1069">
        <v>5</v>
      </c>
      <c r="M1069">
        <v>196</v>
      </c>
      <c r="N1069">
        <v>430</v>
      </c>
      <c r="O1069">
        <v>6</v>
      </c>
      <c r="P1069">
        <v>432</v>
      </c>
      <c r="Q1069">
        <v>70</v>
      </c>
      <c r="R1069">
        <v>105</v>
      </c>
      <c r="S1069">
        <v>8</v>
      </c>
      <c r="T1069">
        <v>6</v>
      </c>
      <c r="U1069">
        <v>22</v>
      </c>
      <c r="V1069">
        <v>7</v>
      </c>
      <c r="W1069">
        <v>13</v>
      </c>
      <c r="X1069">
        <v>8</v>
      </c>
      <c r="Y1069">
        <v>142</v>
      </c>
      <c r="Z1069">
        <v>3</v>
      </c>
      <c r="AA1069">
        <v>13</v>
      </c>
      <c r="AB1069">
        <v>12</v>
      </c>
      <c r="AC1069">
        <v>4</v>
      </c>
      <c r="AD1069">
        <v>0</v>
      </c>
      <c r="AE1069">
        <v>0</v>
      </c>
      <c r="AF1069">
        <v>0</v>
      </c>
      <c r="AK1069">
        <v>7</v>
      </c>
      <c r="AL1069">
        <v>0</v>
      </c>
      <c r="AM1069">
        <v>0</v>
      </c>
      <c r="AN1069">
        <v>0</v>
      </c>
      <c r="AT1069">
        <v>2</v>
      </c>
      <c r="BC1069">
        <v>0</v>
      </c>
      <c r="BD1069">
        <v>10</v>
      </c>
      <c r="BE1069">
        <v>432</v>
      </c>
      <c r="BF1069">
        <v>432</v>
      </c>
      <c r="BG1069">
        <v>604</v>
      </c>
      <c r="BJ1069">
        <v>1</v>
      </c>
      <c r="BL1069" t="s">
        <v>2264</v>
      </c>
      <c r="BM1069" s="4">
        <v>43283.208333333336</v>
      </c>
      <c r="BN1069" s="4">
        <v>43283.229942129627</v>
      </c>
      <c r="BO1069" s="4">
        <v>43283.229942129627</v>
      </c>
      <c r="BP1069" t="s">
        <v>92</v>
      </c>
      <c r="BQ1069" t="s">
        <v>93</v>
      </c>
      <c r="BR1069" t="s">
        <v>94</v>
      </c>
    </row>
    <row r="1070" spans="1:70" x14ac:dyDescent="0.3">
      <c r="A1070" t="str">
        <f>"200569B0100"</f>
        <v>200569B0100</v>
      </c>
      <c r="B1070" t="s">
        <v>2265</v>
      </c>
      <c r="C1070">
        <v>20</v>
      </c>
      <c r="D1070" t="s">
        <v>88</v>
      </c>
      <c r="E1070">
        <v>66</v>
      </c>
      <c r="F1070" t="s">
        <v>1713</v>
      </c>
      <c r="G1070">
        <v>569</v>
      </c>
      <c r="H1070">
        <v>1</v>
      </c>
      <c r="I1070" t="s">
        <v>90</v>
      </c>
      <c r="J1070">
        <v>0</v>
      </c>
      <c r="K1070">
        <v>1</v>
      </c>
      <c r="L1070">
        <v>5</v>
      </c>
      <c r="M1070">
        <v>166</v>
      </c>
      <c r="N1070">
        <v>357</v>
      </c>
      <c r="O1070">
        <v>6</v>
      </c>
      <c r="P1070">
        <v>357</v>
      </c>
      <c r="Q1070">
        <v>56</v>
      </c>
      <c r="R1070">
        <v>65</v>
      </c>
      <c r="S1070">
        <v>10</v>
      </c>
      <c r="T1070">
        <v>7</v>
      </c>
      <c r="U1070">
        <v>11</v>
      </c>
      <c r="V1070">
        <v>6</v>
      </c>
      <c r="W1070">
        <v>9</v>
      </c>
      <c r="X1070">
        <v>13</v>
      </c>
      <c r="Y1070">
        <v>140</v>
      </c>
      <c r="Z1070">
        <v>6</v>
      </c>
      <c r="AA1070">
        <v>2</v>
      </c>
      <c r="AB1070">
        <v>11</v>
      </c>
      <c r="AC1070">
        <v>3</v>
      </c>
      <c r="AD1070">
        <v>0</v>
      </c>
      <c r="AE1070">
        <v>0</v>
      </c>
      <c r="AF1070">
        <v>0</v>
      </c>
      <c r="AK1070">
        <v>4</v>
      </c>
      <c r="AL1070">
        <v>1</v>
      </c>
      <c r="AM1070">
        <v>1</v>
      </c>
      <c r="AN1070">
        <v>0</v>
      </c>
      <c r="AT1070">
        <v>4</v>
      </c>
      <c r="BC1070">
        <v>0</v>
      </c>
      <c r="BD1070">
        <v>8</v>
      </c>
      <c r="BE1070">
        <v>357</v>
      </c>
      <c r="BF1070">
        <v>357</v>
      </c>
      <c r="BG1070">
        <v>500</v>
      </c>
      <c r="BJ1070">
        <v>1</v>
      </c>
      <c r="BL1070" t="s">
        <v>2266</v>
      </c>
      <c r="BM1070" s="4">
        <v>43283.145138888889</v>
      </c>
      <c r="BN1070" s="4">
        <v>43283.153090277781</v>
      </c>
      <c r="BO1070" s="4">
        <v>43283.153090277781</v>
      </c>
      <c r="BP1070" t="s">
        <v>92</v>
      </c>
      <c r="BQ1070" t="s">
        <v>93</v>
      </c>
      <c r="BR1070" t="s">
        <v>94</v>
      </c>
    </row>
    <row r="1071" spans="1:70" x14ac:dyDescent="0.3">
      <c r="A1071" t="str">
        <f>"200569C0100"</f>
        <v>200569C0100</v>
      </c>
      <c r="B1071" t="s">
        <v>2267</v>
      </c>
      <c r="C1071">
        <v>20</v>
      </c>
      <c r="D1071" t="s">
        <v>88</v>
      </c>
      <c r="E1071">
        <v>66</v>
      </c>
      <c r="F1071" t="s">
        <v>1713</v>
      </c>
      <c r="G1071">
        <v>569</v>
      </c>
      <c r="H1071">
        <v>1</v>
      </c>
      <c r="I1071" t="s">
        <v>98</v>
      </c>
      <c r="J1071">
        <v>0</v>
      </c>
      <c r="K1071">
        <v>1</v>
      </c>
      <c r="L1071">
        <v>5</v>
      </c>
      <c r="M1071">
        <v>136</v>
      </c>
      <c r="N1071">
        <v>385</v>
      </c>
      <c r="O1071">
        <v>6</v>
      </c>
      <c r="P1071">
        <v>385</v>
      </c>
      <c r="Q1071">
        <v>73</v>
      </c>
      <c r="R1071">
        <v>52</v>
      </c>
      <c r="S1071">
        <v>6</v>
      </c>
      <c r="T1071">
        <v>5</v>
      </c>
      <c r="U1071">
        <v>16</v>
      </c>
      <c r="V1071">
        <v>3</v>
      </c>
      <c r="W1071">
        <v>5</v>
      </c>
      <c r="X1071">
        <v>8</v>
      </c>
      <c r="Y1071">
        <v>190</v>
      </c>
      <c r="Z1071">
        <v>2</v>
      </c>
      <c r="AA1071">
        <v>3</v>
      </c>
      <c r="AB1071">
        <v>4</v>
      </c>
      <c r="AC1071">
        <v>1</v>
      </c>
      <c r="AD1071">
        <v>0</v>
      </c>
      <c r="AE1071">
        <v>0</v>
      </c>
      <c r="AF1071">
        <v>1</v>
      </c>
      <c r="AK1071">
        <v>7</v>
      </c>
      <c r="AL1071">
        <v>1</v>
      </c>
      <c r="AM1071">
        <v>0</v>
      </c>
      <c r="AN1071">
        <v>1</v>
      </c>
      <c r="AT1071">
        <v>1</v>
      </c>
      <c r="BC1071">
        <v>0</v>
      </c>
      <c r="BD1071">
        <v>6</v>
      </c>
      <c r="BE1071">
        <v>385</v>
      </c>
      <c r="BF1071">
        <v>385</v>
      </c>
      <c r="BG1071">
        <v>499</v>
      </c>
      <c r="BJ1071">
        <v>1</v>
      </c>
      <c r="BL1071" s="2" t="s">
        <v>2268</v>
      </c>
      <c r="BM1071" s="4">
        <v>43283.144444444442</v>
      </c>
      <c r="BN1071" s="4">
        <v>43283.151041666664</v>
      </c>
      <c r="BO1071" s="4">
        <v>43283.151041666664</v>
      </c>
      <c r="BP1071" t="s">
        <v>92</v>
      </c>
      <c r="BQ1071" t="s">
        <v>93</v>
      </c>
      <c r="BR1071" t="s">
        <v>94</v>
      </c>
    </row>
    <row r="1072" spans="1:70" x14ac:dyDescent="0.3">
      <c r="A1072" t="str">
        <f>"200570B0100"</f>
        <v>200570B0100</v>
      </c>
      <c r="B1072" t="s">
        <v>2269</v>
      </c>
      <c r="C1072">
        <v>20</v>
      </c>
      <c r="D1072" t="s">
        <v>88</v>
      </c>
      <c r="E1072">
        <v>66</v>
      </c>
      <c r="F1072" t="s">
        <v>1713</v>
      </c>
      <c r="G1072">
        <v>570</v>
      </c>
      <c r="H1072">
        <v>1</v>
      </c>
      <c r="I1072" t="s">
        <v>90</v>
      </c>
      <c r="J1072">
        <v>0</v>
      </c>
      <c r="K1072">
        <v>1</v>
      </c>
      <c r="L1072">
        <v>5</v>
      </c>
      <c r="M1072">
        <v>166</v>
      </c>
      <c r="N1072">
        <v>318</v>
      </c>
      <c r="O1072">
        <v>4</v>
      </c>
      <c r="P1072">
        <v>318</v>
      </c>
      <c r="Q1072">
        <v>51</v>
      </c>
      <c r="R1072">
        <v>47</v>
      </c>
      <c r="S1072">
        <v>7</v>
      </c>
      <c r="T1072">
        <v>4</v>
      </c>
      <c r="U1072">
        <v>13</v>
      </c>
      <c r="V1072">
        <v>5</v>
      </c>
      <c r="W1072">
        <v>7</v>
      </c>
      <c r="X1072">
        <v>5</v>
      </c>
      <c r="Y1072">
        <v>145</v>
      </c>
      <c r="Z1072">
        <v>4</v>
      </c>
      <c r="AA1072">
        <v>2</v>
      </c>
      <c r="AB1072">
        <v>8</v>
      </c>
      <c r="AC1072">
        <v>1</v>
      </c>
      <c r="AD1072">
        <v>1</v>
      </c>
      <c r="AE1072">
        <v>0</v>
      </c>
      <c r="AF1072">
        <v>0</v>
      </c>
      <c r="AK1072">
        <v>7</v>
      </c>
      <c r="AL1072">
        <v>0</v>
      </c>
      <c r="AM1072">
        <v>0</v>
      </c>
      <c r="AN1072">
        <v>1</v>
      </c>
      <c r="AT1072">
        <v>1</v>
      </c>
      <c r="BC1072">
        <v>0</v>
      </c>
      <c r="BD1072">
        <v>9</v>
      </c>
      <c r="BE1072">
        <v>318</v>
      </c>
      <c r="BF1072">
        <v>318</v>
      </c>
      <c r="BG1072">
        <v>463</v>
      </c>
      <c r="BJ1072">
        <v>1</v>
      </c>
      <c r="BL1072" t="s">
        <v>2270</v>
      </c>
      <c r="BM1072" s="4">
        <v>43283.195138888892</v>
      </c>
      <c r="BN1072" s="4">
        <v>43283.21292824074</v>
      </c>
      <c r="BO1072" s="4">
        <v>43283.21292824074</v>
      </c>
      <c r="BP1072" t="s">
        <v>92</v>
      </c>
      <c r="BQ1072" t="s">
        <v>93</v>
      </c>
      <c r="BR1072" t="s">
        <v>94</v>
      </c>
    </row>
    <row r="1073" spans="1:70" x14ac:dyDescent="0.3">
      <c r="A1073" t="str">
        <f>"200570C0100"</f>
        <v>200570C0100</v>
      </c>
      <c r="B1073" t="s">
        <v>2271</v>
      </c>
      <c r="C1073">
        <v>20</v>
      </c>
      <c r="D1073" t="s">
        <v>88</v>
      </c>
      <c r="E1073">
        <v>66</v>
      </c>
      <c r="F1073" t="s">
        <v>1713</v>
      </c>
      <c r="G1073">
        <v>570</v>
      </c>
      <c r="H1073">
        <v>1</v>
      </c>
      <c r="I1073" t="s">
        <v>98</v>
      </c>
      <c r="J1073">
        <v>0</v>
      </c>
      <c r="K1073">
        <v>1</v>
      </c>
      <c r="L1073">
        <v>5</v>
      </c>
      <c r="M1073">
        <v>160</v>
      </c>
      <c r="N1073">
        <v>324</v>
      </c>
      <c r="O1073">
        <v>7</v>
      </c>
      <c r="P1073">
        <v>324</v>
      </c>
      <c r="Q1073">
        <v>54</v>
      </c>
      <c r="R1073">
        <v>68</v>
      </c>
      <c r="S1073">
        <v>5</v>
      </c>
      <c r="T1073">
        <v>8</v>
      </c>
      <c r="U1073">
        <v>18</v>
      </c>
      <c r="V1073">
        <v>5</v>
      </c>
      <c r="W1073">
        <v>4</v>
      </c>
      <c r="X1073">
        <v>4</v>
      </c>
      <c r="Y1073">
        <v>119</v>
      </c>
      <c r="Z1073">
        <v>1</v>
      </c>
      <c r="AA1073">
        <v>1</v>
      </c>
      <c r="AB1073">
        <v>12</v>
      </c>
      <c r="AC1073">
        <v>2</v>
      </c>
      <c r="AD1073">
        <v>0</v>
      </c>
      <c r="AE1073">
        <v>0</v>
      </c>
      <c r="AF1073">
        <v>0</v>
      </c>
      <c r="AK1073">
        <v>4</v>
      </c>
      <c r="AL1073">
        <v>3</v>
      </c>
      <c r="AM1073">
        <v>0</v>
      </c>
      <c r="AN1073">
        <v>0</v>
      </c>
      <c r="AT1073">
        <v>7</v>
      </c>
      <c r="BC1073">
        <v>1</v>
      </c>
      <c r="BD1073">
        <v>9</v>
      </c>
      <c r="BE1073">
        <v>324</v>
      </c>
      <c r="BF1073">
        <v>325</v>
      </c>
      <c r="BG1073">
        <v>463</v>
      </c>
      <c r="BJ1073">
        <v>1</v>
      </c>
      <c r="BL1073" t="s">
        <v>2272</v>
      </c>
      <c r="BM1073" s="4">
        <v>43283.195833333331</v>
      </c>
      <c r="BN1073" s="4">
        <v>43283.21303240741</v>
      </c>
      <c r="BO1073" s="4">
        <v>43283.21303240741</v>
      </c>
      <c r="BP1073" t="s">
        <v>92</v>
      </c>
      <c r="BQ1073" t="s">
        <v>93</v>
      </c>
      <c r="BR1073" t="s">
        <v>94</v>
      </c>
    </row>
    <row r="1074" spans="1:70" x14ac:dyDescent="0.3">
      <c r="A1074" t="str">
        <f>"200571B0100"</f>
        <v>200571B0100</v>
      </c>
      <c r="B1074" t="s">
        <v>2273</v>
      </c>
      <c r="C1074">
        <v>20</v>
      </c>
      <c r="D1074" t="s">
        <v>88</v>
      </c>
      <c r="E1074">
        <v>66</v>
      </c>
      <c r="F1074" t="s">
        <v>1713</v>
      </c>
      <c r="G1074">
        <v>571</v>
      </c>
      <c r="H1074">
        <v>1</v>
      </c>
      <c r="I1074" t="s">
        <v>90</v>
      </c>
      <c r="J1074">
        <v>0</v>
      </c>
      <c r="K1074">
        <v>1</v>
      </c>
      <c r="L1074">
        <v>5</v>
      </c>
      <c r="M1074">
        <v>200</v>
      </c>
      <c r="N1074">
        <v>438</v>
      </c>
      <c r="O1074">
        <v>11</v>
      </c>
      <c r="P1074">
        <v>439</v>
      </c>
      <c r="Q1074">
        <v>91</v>
      </c>
      <c r="R1074">
        <v>92</v>
      </c>
      <c r="S1074">
        <v>6</v>
      </c>
      <c r="T1074">
        <v>13</v>
      </c>
      <c r="U1074">
        <v>14</v>
      </c>
      <c r="V1074">
        <v>5</v>
      </c>
      <c r="W1074">
        <v>13</v>
      </c>
      <c r="X1074">
        <v>7</v>
      </c>
      <c r="Y1074">
        <v>159</v>
      </c>
      <c r="Z1074">
        <v>5</v>
      </c>
      <c r="AA1074">
        <v>1</v>
      </c>
      <c r="AB1074">
        <v>14</v>
      </c>
      <c r="AC1074">
        <v>0</v>
      </c>
      <c r="AD1074">
        <v>0</v>
      </c>
      <c r="AE1074">
        <v>0</v>
      </c>
      <c r="AF1074">
        <v>0</v>
      </c>
      <c r="AK1074">
        <v>5</v>
      </c>
      <c r="AL1074">
        <v>0</v>
      </c>
      <c r="AM1074">
        <v>0</v>
      </c>
      <c r="AN1074">
        <v>0</v>
      </c>
      <c r="AT1074">
        <v>3</v>
      </c>
      <c r="BC1074">
        <v>0</v>
      </c>
      <c r="BD1074">
        <v>10</v>
      </c>
      <c r="BE1074">
        <v>437</v>
      </c>
      <c r="BF1074">
        <v>438</v>
      </c>
      <c r="BG1074">
        <v>614</v>
      </c>
      <c r="BJ1074">
        <v>1</v>
      </c>
      <c r="BL1074" t="s">
        <v>2274</v>
      </c>
      <c r="BM1074" s="4">
        <v>43283.374305555553</v>
      </c>
      <c r="BN1074" s="4">
        <v>43283.383506944447</v>
      </c>
      <c r="BO1074" s="4">
        <v>43283.383506944447</v>
      </c>
      <c r="BP1074" t="s">
        <v>92</v>
      </c>
      <c r="BQ1074" t="s">
        <v>93</v>
      </c>
      <c r="BR1074" t="s">
        <v>254</v>
      </c>
    </row>
    <row r="1075" spans="1:70" x14ac:dyDescent="0.3">
      <c r="A1075" t="str">
        <f>"200572B0100"</f>
        <v>200572B0100</v>
      </c>
      <c r="B1075" t="s">
        <v>2275</v>
      </c>
      <c r="C1075">
        <v>20</v>
      </c>
      <c r="D1075" t="s">
        <v>88</v>
      </c>
      <c r="E1075">
        <v>66</v>
      </c>
      <c r="F1075" t="s">
        <v>1713</v>
      </c>
      <c r="G1075">
        <v>572</v>
      </c>
      <c r="H1075">
        <v>1</v>
      </c>
      <c r="I1075" t="s">
        <v>90</v>
      </c>
      <c r="J1075">
        <v>0</v>
      </c>
      <c r="K1075">
        <v>1</v>
      </c>
      <c r="L1075">
        <v>5</v>
      </c>
      <c r="M1075">
        <v>147</v>
      </c>
      <c r="N1075">
        <v>281</v>
      </c>
      <c r="O1075">
        <v>9</v>
      </c>
      <c r="P1075">
        <v>281</v>
      </c>
      <c r="Q1075">
        <v>46</v>
      </c>
      <c r="R1075">
        <v>64</v>
      </c>
      <c r="S1075">
        <v>4</v>
      </c>
      <c r="T1075">
        <v>2</v>
      </c>
      <c r="U1075">
        <v>9</v>
      </c>
      <c r="V1075">
        <v>6</v>
      </c>
      <c r="W1075">
        <v>6</v>
      </c>
      <c r="X1075">
        <v>13</v>
      </c>
      <c r="Y1075">
        <v>99</v>
      </c>
      <c r="Z1075">
        <v>7</v>
      </c>
      <c r="AA1075">
        <v>2</v>
      </c>
      <c r="AB1075">
        <v>11</v>
      </c>
      <c r="AC1075">
        <v>0</v>
      </c>
      <c r="AD1075">
        <v>0</v>
      </c>
      <c r="AE1075">
        <v>0</v>
      </c>
      <c r="AF1075">
        <v>0</v>
      </c>
      <c r="AK1075">
        <v>4</v>
      </c>
      <c r="AL1075">
        <v>0</v>
      </c>
      <c r="AM1075">
        <v>0</v>
      </c>
      <c r="AN1075">
        <v>0</v>
      </c>
      <c r="AT1075">
        <v>2</v>
      </c>
      <c r="BC1075">
        <v>0</v>
      </c>
      <c r="BD1075">
        <v>6</v>
      </c>
      <c r="BE1075">
        <v>281</v>
      </c>
      <c r="BF1075">
        <v>281</v>
      </c>
      <c r="BG1075">
        <v>406</v>
      </c>
      <c r="BJ1075">
        <v>1</v>
      </c>
      <c r="BL1075" t="s">
        <v>2276</v>
      </c>
      <c r="BM1075" s="4">
        <v>43283.09097222222</v>
      </c>
      <c r="BN1075" s="4">
        <v>43283.096400462964</v>
      </c>
      <c r="BO1075" s="4">
        <v>43283.096400462964</v>
      </c>
      <c r="BP1075" t="s">
        <v>92</v>
      </c>
      <c r="BQ1075" t="s">
        <v>93</v>
      </c>
      <c r="BR1075" t="s">
        <v>94</v>
      </c>
    </row>
    <row r="1076" spans="1:70" x14ac:dyDescent="0.3">
      <c r="A1076" t="str">
        <f>"200572C0100"</f>
        <v>200572C0100</v>
      </c>
      <c r="B1076" t="s">
        <v>2277</v>
      </c>
      <c r="C1076">
        <v>20</v>
      </c>
      <c r="D1076" t="s">
        <v>88</v>
      </c>
      <c r="E1076">
        <v>66</v>
      </c>
      <c r="F1076" t="s">
        <v>1713</v>
      </c>
      <c r="G1076">
        <v>572</v>
      </c>
      <c r="H1076">
        <v>1</v>
      </c>
      <c r="I1076" t="s">
        <v>98</v>
      </c>
      <c r="J1076">
        <v>0</v>
      </c>
      <c r="K1076">
        <v>1</v>
      </c>
      <c r="L1076">
        <v>5</v>
      </c>
      <c r="M1076">
        <v>126</v>
      </c>
      <c r="N1076">
        <v>302</v>
      </c>
      <c r="O1076">
        <v>6</v>
      </c>
      <c r="P1076">
        <v>301</v>
      </c>
      <c r="Q1076">
        <v>49</v>
      </c>
      <c r="R1076">
        <v>74</v>
      </c>
      <c r="S1076">
        <v>3</v>
      </c>
      <c r="T1076">
        <v>4</v>
      </c>
      <c r="U1076">
        <v>5</v>
      </c>
      <c r="V1076">
        <v>7</v>
      </c>
      <c r="W1076">
        <v>3</v>
      </c>
      <c r="X1076">
        <v>9</v>
      </c>
      <c r="Y1076">
        <v>121</v>
      </c>
      <c r="Z1076">
        <v>3</v>
      </c>
      <c r="AA1076">
        <v>1</v>
      </c>
      <c r="AB1076">
        <v>7</v>
      </c>
      <c r="AC1076">
        <v>2</v>
      </c>
      <c r="AD1076">
        <v>0</v>
      </c>
      <c r="AE1076">
        <v>0</v>
      </c>
      <c r="AF1076">
        <v>0</v>
      </c>
      <c r="AK1076">
        <v>1</v>
      </c>
      <c r="AL1076">
        <v>1</v>
      </c>
      <c r="AM1076">
        <v>0</v>
      </c>
      <c r="AN1076">
        <v>1</v>
      </c>
      <c r="AT1076">
        <v>2</v>
      </c>
      <c r="BC1076">
        <v>0</v>
      </c>
      <c r="BD1076">
        <v>8</v>
      </c>
      <c r="BE1076">
        <v>301</v>
      </c>
      <c r="BF1076">
        <v>301</v>
      </c>
      <c r="BG1076">
        <v>406</v>
      </c>
      <c r="BJ1076">
        <v>1</v>
      </c>
      <c r="BL1076" t="s">
        <v>2278</v>
      </c>
      <c r="BM1076" s="4">
        <v>43283.09097222222</v>
      </c>
      <c r="BN1076" s="4">
        <v>43283.09511574074</v>
      </c>
      <c r="BO1076" s="4">
        <v>43283.09511574074</v>
      </c>
      <c r="BP1076" t="s">
        <v>92</v>
      </c>
      <c r="BQ1076" t="s">
        <v>93</v>
      </c>
      <c r="BR1076" t="s">
        <v>94</v>
      </c>
    </row>
    <row r="1077" spans="1:70" x14ac:dyDescent="0.3">
      <c r="A1077" t="str">
        <f>"200573B0100"</f>
        <v>200573B0100</v>
      </c>
      <c r="B1077" t="s">
        <v>2279</v>
      </c>
      <c r="C1077">
        <v>20</v>
      </c>
      <c r="D1077" t="s">
        <v>88</v>
      </c>
      <c r="E1077">
        <v>66</v>
      </c>
      <c r="F1077" t="s">
        <v>1713</v>
      </c>
      <c r="G1077">
        <v>573</v>
      </c>
      <c r="H1077">
        <v>1</v>
      </c>
      <c r="I1077" t="s">
        <v>90</v>
      </c>
      <c r="J1077">
        <v>0</v>
      </c>
      <c r="K1077">
        <v>1</v>
      </c>
      <c r="L1077">
        <v>5</v>
      </c>
      <c r="BG1077">
        <v>397</v>
      </c>
      <c r="BI1077" t="s">
        <v>122</v>
      </c>
      <c r="BJ1077">
        <v>0</v>
      </c>
      <c r="BL1077" t="s">
        <v>2280</v>
      </c>
      <c r="BM1077" s="4">
        <v>43283.550694444442</v>
      </c>
      <c r="BN1077" s="4">
        <v>43283.553611111114</v>
      </c>
      <c r="BO1077" s="4">
        <v>43283.553611111114</v>
      </c>
      <c r="BP1077" t="s">
        <v>92</v>
      </c>
      <c r="BQ1077" t="s">
        <v>93</v>
      </c>
      <c r="BR1077" t="s">
        <v>94</v>
      </c>
    </row>
    <row r="1078" spans="1:70" x14ac:dyDescent="0.3">
      <c r="A1078" t="str">
        <f>"200573C0100"</f>
        <v>200573C0100</v>
      </c>
      <c r="B1078" t="s">
        <v>2281</v>
      </c>
      <c r="C1078">
        <v>20</v>
      </c>
      <c r="D1078" t="s">
        <v>88</v>
      </c>
      <c r="E1078">
        <v>66</v>
      </c>
      <c r="F1078" t="s">
        <v>1713</v>
      </c>
      <c r="G1078">
        <v>573</v>
      </c>
      <c r="H1078">
        <v>1</v>
      </c>
      <c r="I1078" t="s">
        <v>98</v>
      </c>
      <c r="J1078">
        <v>0</v>
      </c>
      <c r="K1078">
        <v>1</v>
      </c>
      <c r="L1078">
        <v>5</v>
      </c>
      <c r="M1078">
        <v>143</v>
      </c>
      <c r="N1078">
        <v>276</v>
      </c>
      <c r="O1078">
        <v>6</v>
      </c>
      <c r="P1078">
        <v>276</v>
      </c>
      <c r="Q1078">
        <v>53</v>
      </c>
      <c r="R1078">
        <v>70</v>
      </c>
      <c r="S1078">
        <v>9</v>
      </c>
      <c r="T1078">
        <v>4</v>
      </c>
      <c r="U1078">
        <v>12</v>
      </c>
      <c r="V1078">
        <v>2</v>
      </c>
      <c r="W1078">
        <v>6</v>
      </c>
      <c r="X1078">
        <v>4</v>
      </c>
      <c r="Y1078">
        <v>93</v>
      </c>
      <c r="Z1078">
        <v>3</v>
      </c>
      <c r="AA1078">
        <v>4</v>
      </c>
      <c r="AB1078">
        <v>7</v>
      </c>
      <c r="AC1078">
        <v>1</v>
      </c>
      <c r="AD1078">
        <v>0</v>
      </c>
      <c r="AE1078">
        <v>1</v>
      </c>
      <c r="AF1078">
        <v>0</v>
      </c>
      <c r="AK1078">
        <v>1</v>
      </c>
      <c r="AL1078">
        <v>1</v>
      </c>
      <c r="AM1078">
        <v>0</v>
      </c>
      <c r="AN1078">
        <v>1</v>
      </c>
      <c r="AT1078">
        <v>0</v>
      </c>
      <c r="BC1078">
        <v>0</v>
      </c>
      <c r="BD1078">
        <v>4</v>
      </c>
      <c r="BE1078">
        <v>276</v>
      </c>
      <c r="BF1078">
        <v>276</v>
      </c>
      <c r="BG1078">
        <v>397</v>
      </c>
      <c r="BJ1078">
        <v>1</v>
      </c>
      <c r="BL1078" t="s">
        <v>2282</v>
      </c>
      <c r="BM1078" s="4">
        <v>43283.182638888888</v>
      </c>
      <c r="BN1078" s="4">
        <v>43283.199374999997</v>
      </c>
      <c r="BO1078" s="4">
        <v>43283.199374999997</v>
      </c>
      <c r="BP1078" t="s">
        <v>92</v>
      </c>
      <c r="BQ1078" t="s">
        <v>93</v>
      </c>
      <c r="BR1078" t="s">
        <v>94</v>
      </c>
    </row>
    <row r="1079" spans="1:70" x14ac:dyDescent="0.3">
      <c r="A1079" t="str">
        <f>"200574B0100"</f>
        <v>200574B0100</v>
      </c>
      <c r="B1079" t="s">
        <v>2283</v>
      </c>
      <c r="C1079">
        <v>20</v>
      </c>
      <c r="D1079" t="s">
        <v>88</v>
      </c>
      <c r="E1079">
        <v>66</v>
      </c>
      <c r="F1079" t="s">
        <v>1713</v>
      </c>
      <c r="G1079">
        <v>574</v>
      </c>
      <c r="H1079">
        <v>1</v>
      </c>
      <c r="I1079" t="s">
        <v>90</v>
      </c>
      <c r="J1079">
        <v>0</v>
      </c>
      <c r="K1079">
        <v>1</v>
      </c>
      <c r="L1079">
        <v>5</v>
      </c>
      <c r="M1079">
        <v>224</v>
      </c>
      <c r="N1079">
        <v>454</v>
      </c>
      <c r="O1079">
        <v>9</v>
      </c>
      <c r="P1079">
        <v>454</v>
      </c>
      <c r="Q1079">
        <v>76</v>
      </c>
      <c r="R1079">
        <v>75</v>
      </c>
      <c r="S1079">
        <v>9</v>
      </c>
      <c r="T1079">
        <v>8</v>
      </c>
      <c r="U1079">
        <v>10</v>
      </c>
      <c r="V1079">
        <v>9</v>
      </c>
      <c r="W1079">
        <v>26</v>
      </c>
      <c r="X1079">
        <v>2</v>
      </c>
      <c r="Y1079">
        <v>198</v>
      </c>
      <c r="Z1079">
        <v>9</v>
      </c>
      <c r="AA1079">
        <v>1</v>
      </c>
      <c r="AB1079" t="s">
        <v>105</v>
      </c>
      <c r="AC1079">
        <v>4</v>
      </c>
      <c r="AD1079">
        <v>0</v>
      </c>
      <c r="AE1079">
        <v>1</v>
      </c>
      <c r="AF1079">
        <v>0</v>
      </c>
      <c r="AK1079">
        <v>4</v>
      </c>
      <c r="AL1079">
        <v>4</v>
      </c>
      <c r="AM1079">
        <v>0</v>
      </c>
      <c r="AN1079">
        <v>2</v>
      </c>
      <c r="AT1079">
        <v>1</v>
      </c>
      <c r="BC1079">
        <v>12</v>
      </c>
      <c r="BD1079">
        <v>15</v>
      </c>
      <c r="BE1079">
        <v>466</v>
      </c>
      <c r="BF1079">
        <v>466</v>
      </c>
      <c r="BG1079">
        <v>657</v>
      </c>
      <c r="BI1079" t="s">
        <v>106</v>
      </c>
      <c r="BJ1079">
        <v>1</v>
      </c>
      <c r="BL1079" t="s">
        <v>2284</v>
      </c>
      <c r="BM1079" s="4">
        <v>43283.209722222222</v>
      </c>
      <c r="BN1079" s="4">
        <v>43283.230983796297</v>
      </c>
      <c r="BO1079" s="4">
        <v>43283.230983796297</v>
      </c>
      <c r="BP1079" t="s">
        <v>92</v>
      </c>
      <c r="BQ1079" t="s">
        <v>93</v>
      </c>
      <c r="BR1079" t="s">
        <v>94</v>
      </c>
    </row>
    <row r="1080" spans="1:70" x14ac:dyDescent="0.3">
      <c r="A1080" t="str">
        <f>"200574C0100"</f>
        <v>200574C0100</v>
      </c>
      <c r="B1080" t="s">
        <v>2285</v>
      </c>
      <c r="C1080">
        <v>20</v>
      </c>
      <c r="D1080" t="s">
        <v>88</v>
      </c>
      <c r="E1080">
        <v>66</v>
      </c>
      <c r="F1080" t="s">
        <v>1713</v>
      </c>
      <c r="G1080">
        <v>574</v>
      </c>
      <c r="H1080">
        <v>1</v>
      </c>
      <c r="I1080" t="s">
        <v>98</v>
      </c>
      <c r="J1080">
        <v>0</v>
      </c>
      <c r="K1080">
        <v>1</v>
      </c>
      <c r="L1080">
        <v>5</v>
      </c>
      <c r="M1080">
        <v>268</v>
      </c>
      <c r="N1080">
        <v>405</v>
      </c>
      <c r="O1080">
        <v>0</v>
      </c>
      <c r="P1080">
        <v>405</v>
      </c>
      <c r="Q1080">
        <v>62</v>
      </c>
      <c r="R1080">
        <v>52</v>
      </c>
      <c r="S1080">
        <v>13</v>
      </c>
      <c r="T1080">
        <v>5</v>
      </c>
      <c r="U1080">
        <v>14</v>
      </c>
      <c r="V1080">
        <v>7</v>
      </c>
      <c r="W1080">
        <v>19</v>
      </c>
      <c r="X1080">
        <v>3</v>
      </c>
      <c r="Y1080">
        <v>177</v>
      </c>
      <c r="Z1080">
        <v>7</v>
      </c>
      <c r="AA1080">
        <v>2</v>
      </c>
      <c r="AB1080">
        <v>13</v>
      </c>
      <c r="AC1080">
        <v>2</v>
      </c>
      <c r="AD1080">
        <v>0</v>
      </c>
      <c r="AE1080">
        <v>1</v>
      </c>
      <c r="AF1080">
        <v>0</v>
      </c>
      <c r="AK1080">
        <v>5</v>
      </c>
      <c r="AL1080">
        <v>2</v>
      </c>
      <c r="AM1080">
        <v>0</v>
      </c>
      <c r="AN1080">
        <v>0</v>
      </c>
      <c r="AT1080">
        <v>0</v>
      </c>
      <c r="BC1080" t="s">
        <v>105</v>
      </c>
      <c r="BD1080">
        <v>12</v>
      </c>
      <c r="BE1080">
        <v>382</v>
      </c>
      <c r="BF1080">
        <v>396</v>
      </c>
      <c r="BG1080">
        <v>657</v>
      </c>
      <c r="BI1080" t="s">
        <v>106</v>
      </c>
      <c r="BJ1080">
        <v>1</v>
      </c>
      <c r="BL1080" t="s">
        <v>2286</v>
      </c>
      <c r="BM1080" s="4">
        <v>43283.209027777775</v>
      </c>
      <c r="BN1080" s="4">
        <v>43283.230821759258</v>
      </c>
      <c r="BO1080" s="4">
        <v>43283.230821759258</v>
      </c>
      <c r="BP1080" t="s">
        <v>92</v>
      </c>
      <c r="BQ1080" t="s">
        <v>93</v>
      </c>
      <c r="BR1080" t="s">
        <v>94</v>
      </c>
    </row>
    <row r="1081" spans="1:70" x14ac:dyDescent="0.3">
      <c r="A1081" t="str">
        <f>"200575B0100"</f>
        <v>200575B0100</v>
      </c>
      <c r="B1081" t="s">
        <v>2287</v>
      </c>
      <c r="C1081">
        <v>20</v>
      </c>
      <c r="D1081" t="s">
        <v>88</v>
      </c>
      <c r="E1081">
        <v>66</v>
      </c>
      <c r="F1081" t="s">
        <v>1713</v>
      </c>
      <c r="G1081">
        <v>575</v>
      </c>
      <c r="H1081">
        <v>1</v>
      </c>
      <c r="I1081" t="s">
        <v>90</v>
      </c>
      <c r="J1081">
        <v>0</v>
      </c>
      <c r="K1081">
        <v>1</v>
      </c>
      <c r="L1081">
        <v>5</v>
      </c>
      <c r="M1081" t="s">
        <v>127</v>
      </c>
      <c r="N1081" t="s">
        <v>127</v>
      </c>
      <c r="O1081" t="s">
        <v>127</v>
      </c>
      <c r="P1081" t="s">
        <v>127</v>
      </c>
      <c r="Q1081">
        <v>77</v>
      </c>
      <c r="R1081">
        <v>54</v>
      </c>
      <c r="S1081">
        <v>12</v>
      </c>
      <c r="T1081">
        <v>8</v>
      </c>
      <c r="U1081">
        <v>12</v>
      </c>
      <c r="V1081">
        <v>9</v>
      </c>
      <c r="W1081">
        <v>3</v>
      </c>
      <c r="X1081">
        <v>2</v>
      </c>
      <c r="Y1081">
        <v>175</v>
      </c>
      <c r="Z1081">
        <v>6</v>
      </c>
      <c r="AA1081">
        <v>1</v>
      </c>
      <c r="AB1081">
        <v>0</v>
      </c>
      <c r="AC1081">
        <v>5</v>
      </c>
      <c r="AD1081">
        <v>0</v>
      </c>
      <c r="AE1081">
        <v>0</v>
      </c>
      <c r="AF1081">
        <v>0</v>
      </c>
      <c r="AK1081">
        <v>7</v>
      </c>
      <c r="AL1081">
        <v>0</v>
      </c>
      <c r="AM1081">
        <v>0</v>
      </c>
      <c r="AN1081">
        <v>0</v>
      </c>
      <c r="AT1081">
        <v>1</v>
      </c>
      <c r="BC1081">
        <v>1</v>
      </c>
      <c r="BD1081">
        <v>18</v>
      </c>
      <c r="BE1081">
        <v>391</v>
      </c>
      <c r="BF1081">
        <v>391</v>
      </c>
      <c r="BG1081">
        <v>661</v>
      </c>
      <c r="BJ1081">
        <v>1</v>
      </c>
      <c r="BL1081" t="s">
        <v>2288</v>
      </c>
      <c r="BM1081" s="4">
        <v>43283.319444444445</v>
      </c>
      <c r="BN1081" s="4">
        <v>43283.368692129632</v>
      </c>
      <c r="BO1081" s="4">
        <v>43283.368692129632</v>
      </c>
      <c r="BP1081" t="s">
        <v>92</v>
      </c>
      <c r="BQ1081" t="s">
        <v>93</v>
      </c>
      <c r="BR1081" t="s">
        <v>94</v>
      </c>
    </row>
    <row r="1082" spans="1:70" x14ac:dyDescent="0.3">
      <c r="A1082" t="str">
        <f>"200575C0100"</f>
        <v>200575C0100</v>
      </c>
      <c r="B1082" t="s">
        <v>2289</v>
      </c>
      <c r="C1082">
        <v>20</v>
      </c>
      <c r="D1082" t="s">
        <v>88</v>
      </c>
      <c r="E1082">
        <v>66</v>
      </c>
      <c r="F1082" t="s">
        <v>1713</v>
      </c>
      <c r="G1082">
        <v>575</v>
      </c>
      <c r="H1082">
        <v>1</v>
      </c>
      <c r="I1082" t="s">
        <v>98</v>
      </c>
      <c r="J1082">
        <v>0</v>
      </c>
      <c r="K1082">
        <v>1</v>
      </c>
      <c r="L1082">
        <v>5</v>
      </c>
      <c r="M1082">
        <v>271</v>
      </c>
      <c r="N1082">
        <v>414</v>
      </c>
      <c r="O1082">
        <v>8</v>
      </c>
      <c r="P1082">
        <v>410</v>
      </c>
      <c r="Q1082">
        <v>59</v>
      </c>
      <c r="R1082">
        <v>62</v>
      </c>
      <c r="S1082">
        <v>21</v>
      </c>
      <c r="T1082">
        <v>3</v>
      </c>
      <c r="U1082">
        <v>14</v>
      </c>
      <c r="V1082">
        <v>12</v>
      </c>
      <c r="W1082">
        <v>4</v>
      </c>
      <c r="X1082">
        <v>5</v>
      </c>
      <c r="Y1082">
        <v>190</v>
      </c>
      <c r="Z1082">
        <v>7</v>
      </c>
      <c r="AA1082">
        <v>6</v>
      </c>
      <c r="AB1082" t="s">
        <v>105</v>
      </c>
      <c r="AC1082">
        <v>2</v>
      </c>
      <c r="AD1082">
        <v>2</v>
      </c>
      <c r="AE1082">
        <v>0</v>
      </c>
      <c r="AF1082">
        <v>0</v>
      </c>
      <c r="AK1082">
        <v>6</v>
      </c>
      <c r="AL1082">
        <v>4</v>
      </c>
      <c r="AM1082">
        <v>0</v>
      </c>
      <c r="AN1082">
        <v>2</v>
      </c>
      <c r="AT1082">
        <v>3</v>
      </c>
      <c r="BC1082">
        <v>0</v>
      </c>
      <c r="BD1082">
        <v>8</v>
      </c>
      <c r="BE1082">
        <v>410</v>
      </c>
      <c r="BF1082">
        <v>410</v>
      </c>
      <c r="BG1082">
        <v>661</v>
      </c>
      <c r="BI1082" t="s">
        <v>106</v>
      </c>
      <c r="BJ1082">
        <v>1</v>
      </c>
      <c r="BL1082" t="s">
        <v>2290</v>
      </c>
      <c r="BM1082" s="4">
        <v>43283.212500000001</v>
      </c>
      <c r="BN1082" s="4">
        <v>43283.234456018516</v>
      </c>
      <c r="BO1082" s="4">
        <v>43283.234456018516</v>
      </c>
      <c r="BP1082" t="s">
        <v>92</v>
      </c>
      <c r="BQ1082" t="s">
        <v>93</v>
      </c>
      <c r="BR1082" t="s">
        <v>94</v>
      </c>
    </row>
    <row r="1083" spans="1:70" x14ac:dyDescent="0.3">
      <c r="A1083" t="str">
        <f>"200576B0100"</f>
        <v>200576B0100</v>
      </c>
      <c r="B1083" t="s">
        <v>2291</v>
      </c>
      <c r="C1083">
        <v>20</v>
      </c>
      <c r="D1083" t="s">
        <v>88</v>
      </c>
      <c r="E1083">
        <v>66</v>
      </c>
      <c r="F1083" t="s">
        <v>1713</v>
      </c>
      <c r="G1083">
        <v>576</v>
      </c>
      <c r="H1083">
        <v>1</v>
      </c>
      <c r="I1083" t="s">
        <v>90</v>
      </c>
      <c r="J1083">
        <v>0</v>
      </c>
      <c r="K1083">
        <v>1</v>
      </c>
      <c r="L1083">
        <v>5</v>
      </c>
      <c r="M1083">
        <v>223</v>
      </c>
      <c r="N1083">
        <v>379</v>
      </c>
      <c r="O1083">
        <v>5</v>
      </c>
      <c r="P1083">
        <v>379</v>
      </c>
      <c r="Q1083">
        <v>71</v>
      </c>
      <c r="R1083">
        <v>52</v>
      </c>
      <c r="S1083">
        <v>8</v>
      </c>
      <c r="T1083">
        <v>2</v>
      </c>
      <c r="U1083">
        <v>14</v>
      </c>
      <c r="V1083">
        <v>6</v>
      </c>
      <c r="W1083">
        <v>3</v>
      </c>
      <c r="X1083">
        <v>2</v>
      </c>
      <c r="Y1083">
        <v>186</v>
      </c>
      <c r="Z1083">
        <v>6</v>
      </c>
      <c r="AA1083">
        <v>2</v>
      </c>
      <c r="AB1083">
        <v>9</v>
      </c>
      <c r="AC1083">
        <v>2</v>
      </c>
      <c r="AD1083">
        <v>0</v>
      </c>
      <c r="AE1083">
        <v>0</v>
      </c>
      <c r="AF1083">
        <v>1</v>
      </c>
      <c r="AK1083">
        <v>3</v>
      </c>
      <c r="AL1083">
        <v>2</v>
      </c>
      <c r="AM1083">
        <v>0</v>
      </c>
      <c r="AN1083">
        <v>1</v>
      </c>
      <c r="AT1083">
        <v>0</v>
      </c>
      <c r="BC1083">
        <v>0</v>
      </c>
      <c r="BD1083">
        <v>9</v>
      </c>
      <c r="BE1083">
        <v>379</v>
      </c>
      <c r="BF1083">
        <v>379</v>
      </c>
      <c r="BG1083">
        <v>580</v>
      </c>
      <c r="BJ1083">
        <v>1</v>
      </c>
      <c r="BL1083" t="s">
        <v>2292</v>
      </c>
      <c r="BM1083" s="4">
        <v>43283.185416666667</v>
      </c>
      <c r="BN1083" s="4">
        <v>43283.203842592593</v>
      </c>
      <c r="BO1083" s="4">
        <v>43283.203842592593</v>
      </c>
      <c r="BP1083" t="s">
        <v>92</v>
      </c>
      <c r="BQ1083" t="s">
        <v>93</v>
      </c>
      <c r="BR1083" t="s">
        <v>94</v>
      </c>
    </row>
    <row r="1084" spans="1:70" x14ac:dyDescent="0.3">
      <c r="A1084" t="str">
        <f>"200576C0100"</f>
        <v>200576C0100</v>
      </c>
      <c r="B1084" t="s">
        <v>2293</v>
      </c>
      <c r="C1084">
        <v>20</v>
      </c>
      <c r="D1084" t="s">
        <v>88</v>
      </c>
      <c r="E1084">
        <v>66</v>
      </c>
      <c r="F1084" t="s">
        <v>1713</v>
      </c>
      <c r="G1084">
        <v>576</v>
      </c>
      <c r="H1084">
        <v>1</v>
      </c>
      <c r="I1084" t="s">
        <v>98</v>
      </c>
      <c r="J1084">
        <v>0</v>
      </c>
      <c r="K1084">
        <v>1</v>
      </c>
      <c r="L1084">
        <v>5</v>
      </c>
      <c r="BG1084">
        <v>580</v>
      </c>
      <c r="BI1084" t="s">
        <v>122</v>
      </c>
      <c r="BJ1084">
        <v>0</v>
      </c>
      <c r="BL1084" t="s">
        <v>2294</v>
      </c>
      <c r="BM1084" s="4">
        <v>43283.55</v>
      </c>
      <c r="BN1084" s="4">
        <v>43283.553437499999</v>
      </c>
      <c r="BO1084" s="4">
        <v>43283.553437499999</v>
      </c>
      <c r="BP1084" t="s">
        <v>92</v>
      </c>
      <c r="BQ1084" t="s">
        <v>93</v>
      </c>
      <c r="BR1084" t="s">
        <v>94</v>
      </c>
    </row>
    <row r="1085" spans="1:70" x14ac:dyDescent="0.3">
      <c r="A1085" t="str">
        <f>"200576C0200"</f>
        <v>200576C0200</v>
      </c>
      <c r="B1085" t="s">
        <v>2295</v>
      </c>
      <c r="C1085">
        <v>20</v>
      </c>
      <c r="D1085" t="s">
        <v>88</v>
      </c>
      <c r="E1085">
        <v>66</v>
      </c>
      <c r="F1085" t="s">
        <v>1713</v>
      </c>
      <c r="G1085">
        <v>576</v>
      </c>
      <c r="H1085">
        <v>2</v>
      </c>
      <c r="I1085" t="s">
        <v>98</v>
      </c>
      <c r="J1085">
        <v>0</v>
      </c>
      <c r="K1085">
        <v>1</v>
      </c>
      <c r="L1085">
        <v>5</v>
      </c>
      <c r="M1085">
        <v>211</v>
      </c>
      <c r="N1085">
        <v>391</v>
      </c>
      <c r="O1085">
        <v>6</v>
      </c>
      <c r="P1085">
        <v>391</v>
      </c>
      <c r="Q1085">
        <v>64</v>
      </c>
      <c r="R1085">
        <v>44</v>
      </c>
      <c r="S1085">
        <v>13</v>
      </c>
      <c r="T1085">
        <v>4</v>
      </c>
      <c r="U1085">
        <v>14</v>
      </c>
      <c r="V1085">
        <v>6</v>
      </c>
      <c r="W1085">
        <v>4</v>
      </c>
      <c r="X1085">
        <v>7</v>
      </c>
      <c r="Y1085">
        <v>180</v>
      </c>
      <c r="Z1085">
        <v>10</v>
      </c>
      <c r="AA1085">
        <v>3</v>
      </c>
      <c r="AB1085">
        <v>15</v>
      </c>
      <c r="AC1085">
        <v>2</v>
      </c>
      <c r="AD1085">
        <v>1</v>
      </c>
      <c r="AE1085">
        <v>0</v>
      </c>
      <c r="AF1085">
        <v>1</v>
      </c>
      <c r="AK1085">
        <v>2</v>
      </c>
      <c r="AL1085">
        <v>3</v>
      </c>
      <c r="AM1085">
        <v>0</v>
      </c>
      <c r="AN1085">
        <v>2</v>
      </c>
      <c r="AT1085">
        <v>3</v>
      </c>
      <c r="BC1085">
        <v>1</v>
      </c>
      <c r="BD1085">
        <v>12</v>
      </c>
      <c r="BE1085" t="s">
        <v>105</v>
      </c>
      <c r="BF1085">
        <v>391</v>
      </c>
      <c r="BG1085">
        <v>580</v>
      </c>
      <c r="BJ1085">
        <v>1</v>
      </c>
      <c r="BL1085" t="s">
        <v>2296</v>
      </c>
      <c r="BM1085" s="4">
        <v>43283.199305555558</v>
      </c>
      <c r="BN1085" s="4">
        <v>43283.215694444443</v>
      </c>
      <c r="BO1085" s="4">
        <v>43283.215694444443</v>
      </c>
      <c r="BP1085" t="s">
        <v>92</v>
      </c>
      <c r="BQ1085" t="s">
        <v>93</v>
      </c>
      <c r="BR1085" t="s">
        <v>94</v>
      </c>
    </row>
    <row r="1086" spans="1:70" x14ac:dyDescent="0.3">
      <c r="A1086" t="str">
        <f>"200577B0100"</f>
        <v>200577B0100</v>
      </c>
      <c r="B1086" t="s">
        <v>2297</v>
      </c>
      <c r="C1086">
        <v>20</v>
      </c>
      <c r="D1086" t="s">
        <v>88</v>
      </c>
      <c r="E1086">
        <v>66</v>
      </c>
      <c r="F1086" t="s">
        <v>1713</v>
      </c>
      <c r="G1086">
        <v>577</v>
      </c>
      <c r="H1086">
        <v>1</v>
      </c>
      <c r="I1086" t="s">
        <v>90</v>
      </c>
      <c r="J1086">
        <v>0</v>
      </c>
      <c r="K1086">
        <v>1</v>
      </c>
      <c r="L1086">
        <v>5</v>
      </c>
      <c r="M1086">
        <v>279</v>
      </c>
      <c r="N1086">
        <v>486</v>
      </c>
      <c r="O1086">
        <v>2</v>
      </c>
      <c r="P1086">
        <v>483</v>
      </c>
      <c r="Q1086">
        <v>68</v>
      </c>
      <c r="R1086">
        <v>55</v>
      </c>
      <c r="S1086">
        <v>21</v>
      </c>
      <c r="T1086">
        <v>8</v>
      </c>
      <c r="U1086">
        <v>17</v>
      </c>
      <c r="V1086">
        <v>15</v>
      </c>
      <c r="W1086">
        <v>15</v>
      </c>
      <c r="X1086">
        <v>5</v>
      </c>
      <c r="Y1086">
        <v>221</v>
      </c>
      <c r="Z1086">
        <v>10</v>
      </c>
      <c r="AA1086">
        <v>3</v>
      </c>
      <c r="AB1086">
        <v>8</v>
      </c>
      <c r="AC1086">
        <v>5</v>
      </c>
      <c r="AD1086">
        <v>0</v>
      </c>
      <c r="AE1086">
        <v>1</v>
      </c>
      <c r="AF1086">
        <v>0</v>
      </c>
      <c r="AK1086">
        <v>8</v>
      </c>
      <c r="AL1086">
        <v>1</v>
      </c>
      <c r="AM1086">
        <v>0</v>
      </c>
      <c r="AN1086">
        <v>2</v>
      </c>
      <c r="AT1086">
        <v>1</v>
      </c>
      <c r="BC1086">
        <v>0</v>
      </c>
      <c r="BD1086">
        <v>19</v>
      </c>
      <c r="BE1086">
        <v>483</v>
      </c>
      <c r="BF1086">
        <v>483</v>
      </c>
      <c r="BG1086">
        <v>744</v>
      </c>
      <c r="BJ1086">
        <v>1</v>
      </c>
      <c r="BL1086" t="s">
        <v>2298</v>
      </c>
      <c r="BM1086" s="4">
        <v>43283.195833333331</v>
      </c>
      <c r="BN1086" s="4">
        <v>43283.213101851848</v>
      </c>
      <c r="BO1086" s="4">
        <v>43283.213101851848</v>
      </c>
      <c r="BP1086" t="s">
        <v>92</v>
      </c>
      <c r="BQ1086" t="s">
        <v>93</v>
      </c>
      <c r="BR1086" t="s">
        <v>94</v>
      </c>
    </row>
    <row r="1087" spans="1:70" x14ac:dyDescent="0.3">
      <c r="A1087" t="str">
        <f>"200577C0100"</f>
        <v>200577C0100</v>
      </c>
      <c r="B1087" t="s">
        <v>2299</v>
      </c>
      <c r="C1087">
        <v>20</v>
      </c>
      <c r="D1087" t="s">
        <v>88</v>
      </c>
      <c r="E1087">
        <v>66</v>
      </c>
      <c r="F1087" t="s">
        <v>1713</v>
      </c>
      <c r="G1087">
        <v>577</v>
      </c>
      <c r="H1087">
        <v>1</v>
      </c>
      <c r="I1087" t="s">
        <v>98</v>
      </c>
      <c r="J1087">
        <v>0</v>
      </c>
      <c r="K1087">
        <v>1</v>
      </c>
      <c r="L1087">
        <v>5</v>
      </c>
      <c r="M1087">
        <v>289</v>
      </c>
      <c r="N1087">
        <v>477</v>
      </c>
      <c r="O1087">
        <v>4</v>
      </c>
      <c r="P1087">
        <v>476</v>
      </c>
      <c r="Q1087">
        <v>84</v>
      </c>
      <c r="R1087">
        <v>49</v>
      </c>
      <c r="S1087">
        <v>20</v>
      </c>
      <c r="T1087">
        <v>6</v>
      </c>
      <c r="U1087">
        <v>19</v>
      </c>
      <c r="V1087">
        <v>11</v>
      </c>
      <c r="W1087">
        <v>5</v>
      </c>
      <c r="X1087">
        <v>5</v>
      </c>
      <c r="Y1087">
        <v>233</v>
      </c>
      <c r="Z1087">
        <v>8</v>
      </c>
      <c r="AA1087">
        <v>2</v>
      </c>
      <c r="AB1087">
        <v>12</v>
      </c>
      <c r="AC1087">
        <v>3</v>
      </c>
      <c r="AD1087">
        <v>0</v>
      </c>
      <c r="AE1087">
        <v>1</v>
      </c>
      <c r="AF1087">
        <v>0</v>
      </c>
      <c r="AK1087">
        <v>2</v>
      </c>
      <c r="AL1087">
        <v>2</v>
      </c>
      <c r="AM1087">
        <v>0</v>
      </c>
      <c r="AN1087">
        <v>1</v>
      </c>
      <c r="AT1087">
        <v>2</v>
      </c>
      <c r="BC1087">
        <v>0</v>
      </c>
      <c r="BD1087">
        <v>13</v>
      </c>
      <c r="BE1087">
        <v>476</v>
      </c>
      <c r="BF1087">
        <v>478</v>
      </c>
      <c r="BG1087">
        <v>744</v>
      </c>
      <c r="BJ1087">
        <v>1</v>
      </c>
      <c r="BL1087" t="s">
        <v>2300</v>
      </c>
      <c r="BM1087" s="4">
        <v>43283.201388888891</v>
      </c>
      <c r="BN1087" s="4">
        <v>43283.224363425928</v>
      </c>
      <c r="BO1087" s="4">
        <v>43283.224363425928</v>
      </c>
      <c r="BP1087" t="s">
        <v>92</v>
      </c>
      <c r="BQ1087" t="s">
        <v>93</v>
      </c>
      <c r="BR1087" t="s">
        <v>94</v>
      </c>
    </row>
    <row r="1088" spans="1:70" x14ac:dyDescent="0.3">
      <c r="A1088" t="str">
        <f>"200578B0100"</f>
        <v>200578B0100</v>
      </c>
      <c r="B1088" t="s">
        <v>2301</v>
      </c>
      <c r="C1088">
        <v>20</v>
      </c>
      <c r="D1088" t="s">
        <v>88</v>
      </c>
      <c r="E1088">
        <v>66</v>
      </c>
      <c r="F1088" t="s">
        <v>1713</v>
      </c>
      <c r="G1088">
        <v>578</v>
      </c>
      <c r="H1088">
        <v>1</v>
      </c>
      <c r="I1088" t="s">
        <v>90</v>
      </c>
      <c r="J1088">
        <v>0</v>
      </c>
      <c r="K1088">
        <v>1</v>
      </c>
      <c r="L1088">
        <v>5</v>
      </c>
      <c r="M1088">
        <v>304</v>
      </c>
      <c r="N1088">
        <v>404</v>
      </c>
      <c r="O1088">
        <v>3</v>
      </c>
      <c r="P1088" t="s">
        <v>127</v>
      </c>
      <c r="Q1088">
        <v>101</v>
      </c>
      <c r="R1088">
        <v>42</v>
      </c>
      <c r="S1088">
        <v>20</v>
      </c>
      <c r="T1088">
        <v>4</v>
      </c>
      <c r="U1088">
        <v>19</v>
      </c>
      <c r="V1088">
        <v>14</v>
      </c>
      <c r="W1088">
        <v>2</v>
      </c>
      <c r="X1088">
        <v>4</v>
      </c>
      <c r="Y1088">
        <v>139</v>
      </c>
      <c r="Z1088">
        <v>9</v>
      </c>
      <c r="AA1088">
        <v>3</v>
      </c>
      <c r="AB1088">
        <v>11</v>
      </c>
      <c r="AC1088">
        <v>5</v>
      </c>
      <c r="AD1088">
        <v>2</v>
      </c>
      <c r="AE1088">
        <v>2</v>
      </c>
      <c r="AF1088">
        <v>0</v>
      </c>
      <c r="AK1088">
        <v>5</v>
      </c>
      <c r="AL1088">
        <v>1</v>
      </c>
      <c r="AM1088">
        <v>1</v>
      </c>
      <c r="AN1088">
        <v>2</v>
      </c>
      <c r="AT1088">
        <v>6</v>
      </c>
      <c r="BC1088">
        <v>0</v>
      </c>
      <c r="BD1088">
        <v>16</v>
      </c>
      <c r="BE1088">
        <v>408</v>
      </c>
      <c r="BF1088">
        <v>408</v>
      </c>
      <c r="BG1088">
        <v>687</v>
      </c>
      <c r="BJ1088">
        <v>1</v>
      </c>
      <c r="BL1088" t="s">
        <v>2302</v>
      </c>
      <c r="BM1088" s="4">
        <v>43283.194444444445</v>
      </c>
      <c r="BN1088" s="4">
        <v>43283.21162037037</v>
      </c>
      <c r="BO1088" s="4">
        <v>43283.21162037037</v>
      </c>
      <c r="BP1088" t="s">
        <v>92</v>
      </c>
      <c r="BQ1088" t="s">
        <v>93</v>
      </c>
      <c r="BR1088" t="s">
        <v>94</v>
      </c>
    </row>
    <row r="1089" spans="1:70" x14ac:dyDescent="0.3">
      <c r="A1089" t="str">
        <f>"200578C0100"</f>
        <v>200578C0100</v>
      </c>
      <c r="B1089" t="s">
        <v>2303</v>
      </c>
      <c r="C1089">
        <v>20</v>
      </c>
      <c r="D1089" t="s">
        <v>88</v>
      </c>
      <c r="E1089">
        <v>66</v>
      </c>
      <c r="F1089" t="s">
        <v>1713</v>
      </c>
      <c r="G1089">
        <v>578</v>
      </c>
      <c r="H1089">
        <v>1</v>
      </c>
      <c r="I1089" t="s">
        <v>98</v>
      </c>
      <c r="J1089">
        <v>0</v>
      </c>
      <c r="K1089">
        <v>1</v>
      </c>
      <c r="L1089">
        <v>5</v>
      </c>
      <c r="M1089">
        <v>314</v>
      </c>
      <c r="N1089">
        <v>390</v>
      </c>
      <c r="O1089">
        <v>6</v>
      </c>
      <c r="P1089">
        <v>37</v>
      </c>
      <c r="Q1089">
        <v>124</v>
      </c>
      <c r="R1089">
        <v>37</v>
      </c>
      <c r="S1089">
        <v>20</v>
      </c>
      <c r="T1089">
        <v>6</v>
      </c>
      <c r="U1089">
        <v>17</v>
      </c>
      <c r="V1089">
        <v>14</v>
      </c>
      <c r="W1089">
        <v>8</v>
      </c>
      <c r="X1089">
        <v>4</v>
      </c>
      <c r="Y1089">
        <v>119</v>
      </c>
      <c r="Z1089">
        <v>2</v>
      </c>
      <c r="AA1089">
        <v>0</v>
      </c>
      <c r="AB1089">
        <v>6</v>
      </c>
      <c r="AC1089">
        <v>5</v>
      </c>
      <c r="AD1089">
        <v>2</v>
      </c>
      <c r="AE1089">
        <v>0</v>
      </c>
      <c r="AF1089">
        <v>0</v>
      </c>
      <c r="AK1089">
        <v>0</v>
      </c>
      <c r="AL1089">
        <v>2</v>
      </c>
      <c r="AM1089">
        <v>3</v>
      </c>
      <c r="AN1089">
        <v>0</v>
      </c>
      <c r="AT1089">
        <v>0</v>
      </c>
      <c r="BC1089">
        <v>1</v>
      </c>
      <c r="BD1089">
        <v>25</v>
      </c>
      <c r="BE1089">
        <v>374</v>
      </c>
      <c r="BF1089">
        <v>395</v>
      </c>
      <c r="BG1089">
        <v>686</v>
      </c>
      <c r="BJ1089">
        <v>1</v>
      </c>
      <c r="BL1089" t="s">
        <v>2304</v>
      </c>
      <c r="BM1089" s="4">
        <v>43283.197916666664</v>
      </c>
      <c r="BN1089" s="4">
        <v>43283.215127314812</v>
      </c>
      <c r="BO1089" s="4">
        <v>43283.215127314812</v>
      </c>
      <c r="BP1089" t="s">
        <v>92</v>
      </c>
      <c r="BQ1089" t="s">
        <v>93</v>
      </c>
      <c r="BR1089" t="s">
        <v>94</v>
      </c>
    </row>
    <row r="1090" spans="1:70" x14ac:dyDescent="0.3">
      <c r="A1090" t="str">
        <f>"200578C0200"</f>
        <v>200578C0200</v>
      </c>
      <c r="B1090" t="s">
        <v>2305</v>
      </c>
      <c r="C1090">
        <v>20</v>
      </c>
      <c r="D1090" t="s">
        <v>88</v>
      </c>
      <c r="E1090">
        <v>66</v>
      </c>
      <c r="F1090" t="s">
        <v>1713</v>
      </c>
      <c r="G1090">
        <v>578</v>
      </c>
      <c r="H1090">
        <v>2</v>
      </c>
      <c r="I1090" t="s">
        <v>98</v>
      </c>
      <c r="J1090">
        <v>0</v>
      </c>
      <c r="K1090">
        <v>1</v>
      </c>
      <c r="L1090">
        <v>5</v>
      </c>
      <c r="M1090">
        <v>304</v>
      </c>
      <c r="N1090">
        <v>404</v>
      </c>
      <c r="O1090">
        <v>2</v>
      </c>
      <c r="P1090">
        <v>405</v>
      </c>
      <c r="Q1090">
        <v>86</v>
      </c>
      <c r="R1090">
        <v>37</v>
      </c>
      <c r="S1090">
        <v>16</v>
      </c>
      <c r="T1090">
        <v>9</v>
      </c>
      <c r="U1090">
        <v>26</v>
      </c>
      <c r="V1090">
        <v>10</v>
      </c>
      <c r="W1090">
        <v>11</v>
      </c>
      <c r="X1090">
        <v>1</v>
      </c>
      <c r="Y1090">
        <v>162</v>
      </c>
      <c r="Z1090">
        <v>6</v>
      </c>
      <c r="AA1090">
        <v>1</v>
      </c>
      <c r="AB1090">
        <v>7</v>
      </c>
      <c r="AC1090">
        <v>2</v>
      </c>
      <c r="AD1090">
        <v>2</v>
      </c>
      <c r="AE1090">
        <v>0</v>
      </c>
      <c r="AF1090">
        <v>0</v>
      </c>
      <c r="AK1090">
        <v>3</v>
      </c>
      <c r="AL1090">
        <v>4</v>
      </c>
      <c r="AM1090">
        <v>0</v>
      </c>
      <c r="AN1090">
        <v>0</v>
      </c>
      <c r="AT1090">
        <v>3</v>
      </c>
      <c r="BC1090">
        <v>19</v>
      </c>
      <c r="BD1090" t="s">
        <v>127</v>
      </c>
      <c r="BE1090">
        <v>405</v>
      </c>
      <c r="BF1090">
        <v>405</v>
      </c>
      <c r="BG1090">
        <v>686</v>
      </c>
      <c r="BI1090" t="s">
        <v>106</v>
      </c>
      <c r="BJ1090">
        <v>1</v>
      </c>
      <c r="BL1090" t="s">
        <v>2306</v>
      </c>
      <c r="BM1090" s="4">
        <v>43283.195138888892</v>
      </c>
      <c r="BN1090" s="4">
        <v>43283.215682870374</v>
      </c>
      <c r="BO1090" s="4">
        <v>43283.215682870374</v>
      </c>
      <c r="BP1090" t="s">
        <v>92</v>
      </c>
      <c r="BQ1090" t="s">
        <v>93</v>
      </c>
      <c r="BR1090" t="s">
        <v>94</v>
      </c>
    </row>
    <row r="1091" spans="1:70" x14ac:dyDescent="0.3">
      <c r="A1091" t="str">
        <f>"200579B0100"</f>
        <v>200579B0100</v>
      </c>
      <c r="B1091" t="s">
        <v>2307</v>
      </c>
      <c r="C1091">
        <v>20</v>
      </c>
      <c r="D1091" t="s">
        <v>88</v>
      </c>
      <c r="E1091">
        <v>66</v>
      </c>
      <c r="F1091" t="s">
        <v>1713</v>
      </c>
      <c r="G1091">
        <v>579</v>
      </c>
      <c r="H1091">
        <v>1</v>
      </c>
      <c r="I1091" t="s">
        <v>90</v>
      </c>
      <c r="J1091">
        <v>0</v>
      </c>
      <c r="K1091">
        <v>1</v>
      </c>
      <c r="L1091">
        <v>5</v>
      </c>
      <c r="M1091">
        <v>195</v>
      </c>
      <c r="N1091">
        <v>545</v>
      </c>
      <c r="O1091">
        <v>0</v>
      </c>
      <c r="P1091">
        <v>350</v>
      </c>
      <c r="Q1091">
        <v>28</v>
      </c>
      <c r="R1091">
        <v>52</v>
      </c>
      <c r="S1091">
        <v>14</v>
      </c>
      <c r="T1091">
        <v>0</v>
      </c>
      <c r="U1091">
        <v>30</v>
      </c>
      <c r="V1091">
        <v>3</v>
      </c>
      <c r="W1091">
        <v>7</v>
      </c>
      <c r="X1091">
        <v>8</v>
      </c>
      <c r="Y1091">
        <v>158</v>
      </c>
      <c r="Z1091">
        <v>9</v>
      </c>
      <c r="AA1091">
        <v>3</v>
      </c>
      <c r="AB1091">
        <v>5</v>
      </c>
      <c r="AC1091">
        <v>1</v>
      </c>
      <c r="AD1091">
        <v>0</v>
      </c>
      <c r="AE1091">
        <v>1</v>
      </c>
      <c r="AF1091">
        <v>7</v>
      </c>
      <c r="AK1091">
        <v>4</v>
      </c>
      <c r="AL1091">
        <v>0</v>
      </c>
      <c r="AM1091">
        <v>0</v>
      </c>
      <c r="AN1091">
        <v>0</v>
      </c>
      <c r="AT1091">
        <v>0</v>
      </c>
      <c r="BC1091">
        <v>0</v>
      </c>
      <c r="BD1091">
        <v>15</v>
      </c>
      <c r="BE1091">
        <v>350</v>
      </c>
      <c r="BF1091">
        <v>345</v>
      </c>
      <c r="BG1091">
        <v>523</v>
      </c>
      <c r="BJ1091">
        <v>1</v>
      </c>
      <c r="BL1091" t="s">
        <v>2308</v>
      </c>
      <c r="BM1091" s="4">
        <v>43282.989988425928</v>
      </c>
      <c r="BN1091" s="4">
        <v>43282.992812500001</v>
      </c>
      <c r="BO1091" s="4">
        <v>43282.992812500001</v>
      </c>
      <c r="BP1091" t="s">
        <v>339</v>
      </c>
      <c r="BQ1091" t="s">
        <v>340</v>
      </c>
      <c r="BR1091" t="s">
        <v>94</v>
      </c>
    </row>
    <row r="1092" spans="1:70" x14ac:dyDescent="0.3">
      <c r="A1092" t="str">
        <f>"200579C0100"</f>
        <v>200579C0100</v>
      </c>
      <c r="B1092" t="s">
        <v>2309</v>
      </c>
      <c r="C1092">
        <v>20</v>
      </c>
      <c r="D1092" t="s">
        <v>88</v>
      </c>
      <c r="E1092">
        <v>66</v>
      </c>
      <c r="F1092" t="s">
        <v>1713</v>
      </c>
      <c r="G1092">
        <v>579</v>
      </c>
      <c r="H1092">
        <v>1</v>
      </c>
      <c r="I1092" t="s">
        <v>98</v>
      </c>
      <c r="J1092">
        <v>0</v>
      </c>
      <c r="K1092">
        <v>1</v>
      </c>
      <c r="L1092">
        <v>5</v>
      </c>
      <c r="M1092">
        <v>212</v>
      </c>
      <c r="N1092" t="s">
        <v>127</v>
      </c>
      <c r="O1092">
        <v>3</v>
      </c>
      <c r="P1092" t="s">
        <v>127</v>
      </c>
      <c r="Q1092">
        <v>39</v>
      </c>
      <c r="R1092">
        <v>38</v>
      </c>
      <c r="S1092" t="s">
        <v>127</v>
      </c>
      <c r="T1092">
        <v>4</v>
      </c>
      <c r="U1092">
        <v>21</v>
      </c>
      <c r="V1092">
        <v>16</v>
      </c>
      <c r="W1092">
        <v>6</v>
      </c>
      <c r="X1092">
        <v>0</v>
      </c>
      <c r="Y1092">
        <v>129</v>
      </c>
      <c r="Z1092">
        <v>2</v>
      </c>
      <c r="AA1092">
        <v>5</v>
      </c>
      <c r="AB1092">
        <v>4</v>
      </c>
      <c r="AC1092">
        <v>2</v>
      </c>
      <c r="AD1092">
        <v>0</v>
      </c>
      <c r="AE1092">
        <v>1</v>
      </c>
      <c r="AF1092">
        <v>0</v>
      </c>
      <c r="AK1092">
        <v>6</v>
      </c>
      <c r="AL1092">
        <v>0</v>
      </c>
      <c r="AM1092">
        <v>0</v>
      </c>
      <c r="AN1092">
        <v>2</v>
      </c>
      <c r="AT1092">
        <v>0</v>
      </c>
      <c r="BC1092">
        <v>0</v>
      </c>
      <c r="BD1092">
        <v>12</v>
      </c>
      <c r="BE1092">
        <v>333</v>
      </c>
      <c r="BF1092">
        <v>287</v>
      </c>
      <c r="BG1092">
        <v>523</v>
      </c>
      <c r="BI1092" t="s">
        <v>106</v>
      </c>
      <c r="BJ1092">
        <v>1</v>
      </c>
      <c r="BL1092" t="s">
        <v>2310</v>
      </c>
      <c r="BM1092" s="4">
        <v>43283.320833333331</v>
      </c>
      <c r="BN1092" s="4">
        <v>43283.366215277776</v>
      </c>
      <c r="BO1092" s="4">
        <v>43283.366215277776</v>
      </c>
      <c r="BP1092" t="s">
        <v>92</v>
      </c>
      <c r="BQ1092" t="s">
        <v>93</v>
      </c>
      <c r="BR1092" t="s">
        <v>94</v>
      </c>
    </row>
    <row r="1093" spans="1:70" x14ac:dyDescent="0.3">
      <c r="A1093" t="str">
        <f>"200579C0200"</f>
        <v>200579C0200</v>
      </c>
      <c r="B1093" t="s">
        <v>2311</v>
      </c>
      <c r="C1093">
        <v>20</v>
      </c>
      <c r="D1093" t="s">
        <v>88</v>
      </c>
      <c r="E1093">
        <v>66</v>
      </c>
      <c r="F1093" t="s">
        <v>1713</v>
      </c>
      <c r="G1093">
        <v>579</v>
      </c>
      <c r="H1093">
        <v>2</v>
      </c>
      <c r="I1093" t="s">
        <v>98</v>
      </c>
      <c r="J1093">
        <v>0</v>
      </c>
      <c r="K1093">
        <v>1</v>
      </c>
      <c r="L1093">
        <v>5</v>
      </c>
      <c r="M1093">
        <v>201</v>
      </c>
      <c r="N1093">
        <v>339</v>
      </c>
      <c r="O1093">
        <v>5</v>
      </c>
      <c r="P1093">
        <v>339</v>
      </c>
      <c r="Q1093">
        <v>76</v>
      </c>
      <c r="R1093">
        <v>39</v>
      </c>
      <c r="S1093">
        <v>11</v>
      </c>
      <c r="T1093">
        <v>4</v>
      </c>
      <c r="U1093">
        <v>19</v>
      </c>
      <c r="V1093">
        <v>12</v>
      </c>
      <c r="W1093">
        <v>2</v>
      </c>
      <c r="X1093">
        <v>1</v>
      </c>
      <c r="Y1093">
        <v>133</v>
      </c>
      <c r="Z1093">
        <v>6</v>
      </c>
      <c r="AA1093">
        <v>2</v>
      </c>
      <c r="AB1093">
        <v>8</v>
      </c>
      <c r="AC1093">
        <v>2</v>
      </c>
      <c r="AD1093">
        <v>1</v>
      </c>
      <c r="AE1093">
        <v>0</v>
      </c>
      <c r="AF1093">
        <v>1</v>
      </c>
      <c r="AK1093">
        <v>6</v>
      </c>
      <c r="AL1093">
        <v>0</v>
      </c>
      <c r="AM1093">
        <v>1</v>
      </c>
      <c r="AN1093">
        <v>2</v>
      </c>
      <c r="AT1093">
        <v>2</v>
      </c>
      <c r="BC1093">
        <v>0</v>
      </c>
      <c r="BD1093">
        <v>11</v>
      </c>
      <c r="BE1093">
        <v>339</v>
      </c>
      <c r="BF1093">
        <v>339</v>
      </c>
      <c r="BG1093">
        <v>523</v>
      </c>
      <c r="BJ1093">
        <v>1</v>
      </c>
      <c r="BL1093" t="s">
        <v>2312</v>
      </c>
      <c r="BM1093" s="4">
        <v>43282.986759259256</v>
      </c>
      <c r="BN1093" s="4">
        <v>43282.990428240744</v>
      </c>
      <c r="BO1093" s="4">
        <v>43282.990428240744</v>
      </c>
      <c r="BP1093" t="s">
        <v>339</v>
      </c>
      <c r="BQ1093" t="s">
        <v>340</v>
      </c>
      <c r="BR1093" t="s">
        <v>94</v>
      </c>
    </row>
    <row r="1094" spans="1:70" x14ac:dyDescent="0.3">
      <c r="A1094" t="str">
        <f>"200580B0100"</f>
        <v>200580B0100</v>
      </c>
      <c r="B1094" t="s">
        <v>2313</v>
      </c>
      <c r="C1094">
        <v>20</v>
      </c>
      <c r="D1094" t="s">
        <v>88</v>
      </c>
      <c r="E1094">
        <v>66</v>
      </c>
      <c r="F1094" t="s">
        <v>1713</v>
      </c>
      <c r="G1094">
        <v>580</v>
      </c>
      <c r="H1094">
        <v>1</v>
      </c>
      <c r="I1094" t="s">
        <v>90</v>
      </c>
      <c r="J1094">
        <v>0</v>
      </c>
      <c r="K1094">
        <v>1</v>
      </c>
      <c r="L1094">
        <v>5</v>
      </c>
      <c r="M1094">
        <v>174</v>
      </c>
      <c r="N1094">
        <v>435</v>
      </c>
      <c r="O1094">
        <v>10</v>
      </c>
      <c r="P1094">
        <v>436</v>
      </c>
      <c r="Q1094">
        <v>60</v>
      </c>
      <c r="R1094">
        <v>78</v>
      </c>
      <c r="S1094">
        <v>18</v>
      </c>
      <c r="T1094">
        <v>4</v>
      </c>
      <c r="U1094">
        <v>17</v>
      </c>
      <c r="V1094">
        <v>8</v>
      </c>
      <c r="W1094">
        <v>6</v>
      </c>
      <c r="X1094">
        <v>6</v>
      </c>
      <c r="Y1094">
        <v>191</v>
      </c>
      <c r="Z1094">
        <v>3</v>
      </c>
      <c r="AA1094">
        <v>1</v>
      </c>
      <c r="AB1094">
        <v>13</v>
      </c>
      <c r="AC1094">
        <v>2</v>
      </c>
      <c r="AD1094">
        <v>0</v>
      </c>
      <c r="AE1094">
        <v>0</v>
      </c>
      <c r="AF1094">
        <v>0</v>
      </c>
      <c r="AK1094">
        <v>8</v>
      </c>
      <c r="AL1094">
        <v>0</v>
      </c>
      <c r="AM1094">
        <v>1</v>
      </c>
      <c r="AN1094">
        <v>1</v>
      </c>
      <c r="AT1094">
        <v>1</v>
      </c>
      <c r="BC1094">
        <v>1</v>
      </c>
      <c r="BD1094">
        <v>17</v>
      </c>
      <c r="BE1094">
        <v>436</v>
      </c>
      <c r="BF1094">
        <v>436</v>
      </c>
      <c r="BG1094">
        <v>591</v>
      </c>
      <c r="BJ1094">
        <v>1</v>
      </c>
      <c r="BL1094" t="s">
        <v>2314</v>
      </c>
      <c r="BM1094" s="4">
        <v>43282.93478009259</v>
      </c>
      <c r="BN1094" s="4">
        <v>43282.93849537037</v>
      </c>
      <c r="BO1094" s="4">
        <v>43282.93849537037</v>
      </c>
      <c r="BP1094" t="s">
        <v>339</v>
      </c>
      <c r="BQ1094" t="s">
        <v>340</v>
      </c>
      <c r="BR1094" t="s">
        <v>94</v>
      </c>
    </row>
    <row r="1095" spans="1:70" x14ac:dyDescent="0.3">
      <c r="A1095" t="str">
        <f>"200580C0100"</f>
        <v>200580C0100</v>
      </c>
      <c r="B1095" t="s">
        <v>2315</v>
      </c>
      <c r="C1095">
        <v>20</v>
      </c>
      <c r="D1095" t="s">
        <v>88</v>
      </c>
      <c r="E1095">
        <v>66</v>
      </c>
      <c r="F1095" t="s">
        <v>1713</v>
      </c>
      <c r="G1095">
        <v>580</v>
      </c>
      <c r="H1095">
        <v>1</v>
      </c>
      <c r="I1095" t="s">
        <v>98</v>
      </c>
      <c r="J1095">
        <v>0</v>
      </c>
      <c r="K1095">
        <v>1</v>
      </c>
      <c r="L1095">
        <v>5</v>
      </c>
      <c r="M1095">
        <v>166</v>
      </c>
      <c r="N1095">
        <v>444</v>
      </c>
      <c r="O1095">
        <v>10</v>
      </c>
      <c r="P1095">
        <v>441</v>
      </c>
      <c r="Q1095">
        <v>78</v>
      </c>
      <c r="R1095">
        <v>70</v>
      </c>
      <c r="S1095">
        <v>18</v>
      </c>
      <c r="T1095">
        <v>6</v>
      </c>
      <c r="U1095">
        <v>11</v>
      </c>
      <c r="V1095">
        <v>14</v>
      </c>
      <c r="W1095">
        <v>6</v>
      </c>
      <c r="X1095">
        <v>1</v>
      </c>
      <c r="Y1095">
        <v>208</v>
      </c>
      <c r="Z1095">
        <v>4</v>
      </c>
      <c r="AA1095">
        <v>1</v>
      </c>
      <c r="AB1095">
        <v>0</v>
      </c>
      <c r="AC1095">
        <v>1</v>
      </c>
      <c r="AD1095">
        <v>0</v>
      </c>
      <c r="AE1095">
        <v>0</v>
      </c>
      <c r="AF1095">
        <v>0</v>
      </c>
      <c r="AK1095">
        <v>7</v>
      </c>
      <c r="AL1095">
        <v>2</v>
      </c>
      <c r="AM1095">
        <v>1</v>
      </c>
      <c r="AN1095">
        <v>0</v>
      </c>
      <c r="AT1095">
        <v>3</v>
      </c>
      <c r="BC1095">
        <v>0</v>
      </c>
      <c r="BD1095">
        <v>9</v>
      </c>
      <c r="BE1095">
        <v>441</v>
      </c>
      <c r="BF1095">
        <v>440</v>
      </c>
      <c r="BG1095">
        <v>591</v>
      </c>
      <c r="BJ1095">
        <v>1</v>
      </c>
      <c r="BL1095" t="s">
        <v>2316</v>
      </c>
      <c r="BM1095" s="4">
        <v>43283.138888888891</v>
      </c>
      <c r="BN1095" s="4">
        <v>43283.145682870374</v>
      </c>
      <c r="BO1095" s="4">
        <v>43283.145682870374</v>
      </c>
      <c r="BP1095" t="s">
        <v>92</v>
      </c>
      <c r="BQ1095" t="s">
        <v>93</v>
      </c>
      <c r="BR1095" t="s">
        <v>94</v>
      </c>
    </row>
    <row r="1096" spans="1:70" x14ac:dyDescent="0.3">
      <c r="A1096" t="str">
        <f>"200581B0100"</f>
        <v>200581B0100</v>
      </c>
      <c r="B1096" t="s">
        <v>2317</v>
      </c>
      <c r="C1096">
        <v>20</v>
      </c>
      <c r="D1096" t="s">
        <v>88</v>
      </c>
      <c r="E1096">
        <v>66</v>
      </c>
      <c r="F1096" t="s">
        <v>1713</v>
      </c>
      <c r="G1096">
        <v>581</v>
      </c>
      <c r="H1096">
        <v>1</v>
      </c>
      <c r="I1096" t="s">
        <v>90</v>
      </c>
      <c r="J1096">
        <v>0</v>
      </c>
      <c r="K1096">
        <v>1</v>
      </c>
      <c r="L1096">
        <v>5</v>
      </c>
      <c r="M1096">
        <v>267</v>
      </c>
      <c r="N1096">
        <v>375</v>
      </c>
      <c r="O1096">
        <v>7</v>
      </c>
      <c r="P1096">
        <v>370</v>
      </c>
      <c r="Q1096">
        <v>75</v>
      </c>
      <c r="R1096">
        <v>38</v>
      </c>
      <c r="S1096">
        <v>10</v>
      </c>
      <c r="T1096">
        <v>2</v>
      </c>
      <c r="U1096">
        <v>14</v>
      </c>
      <c r="V1096">
        <v>6</v>
      </c>
      <c r="W1096">
        <v>11</v>
      </c>
      <c r="X1096">
        <v>1</v>
      </c>
      <c r="Y1096">
        <v>175</v>
      </c>
      <c r="Z1096">
        <v>6</v>
      </c>
      <c r="AA1096">
        <v>6</v>
      </c>
      <c r="AB1096">
        <v>8</v>
      </c>
      <c r="AC1096">
        <v>1</v>
      </c>
      <c r="AD1096">
        <v>0</v>
      </c>
      <c r="AE1096">
        <v>0</v>
      </c>
      <c r="AF1096">
        <v>0</v>
      </c>
      <c r="AK1096">
        <v>0</v>
      </c>
      <c r="AL1096">
        <v>0</v>
      </c>
      <c r="AM1096">
        <v>1</v>
      </c>
      <c r="AN1096">
        <v>0</v>
      </c>
      <c r="AT1096">
        <v>0</v>
      </c>
      <c r="BC1096">
        <v>0</v>
      </c>
      <c r="BD1096">
        <v>10</v>
      </c>
      <c r="BE1096">
        <v>370</v>
      </c>
      <c r="BF1096">
        <v>364</v>
      </c>
      <c r="BG1096">
        <v>623</v>
      </c>
      <c r="BJ1096">
        <v>1</v>
      </c>
      <c r="BL1096" t="s">
        <v>2318</v>
      </c>
      <c r="BM1096" s="4">
        <v>43283.183333333334</v>
      </c>
      <c r="BN1096" s="4">
        <v>43283.200671296298</v>
      </c>
      <c r="BO1096" s="4">
        <v>43283.200671296298</v>
      </c>
      <c r="BP1096" t="s">
        <v>92</v>
      </c>
      <c r="BQ1096" t="s">
        <v>93</v>
      </c>
      <c r="BR1096" t="s">
        <v>94</v>
      </c>
    </row>
    <row r="1097" spans="1:70" x14ac:dyDescent="0.3">
      <c r="A1097" t="str">
        <f>"200581C0100"</f>
        <v>200581C0100</v>
      </c>
      <c r="B1097" t="s">
        <v>2319</v>
      </c>
      <c r="C1097">
        <v>20</v>
      </c>
      <c r="D1097" t="s">
        <v>88</v>
      </c>
      <c r="E1097">
        <v>66</v>
      </c>
      <c r="F1097" t="s">
        <v>1713</v>
      </c>
      <c r="G1097">
        <v>581</v>
      </c>
      <c r="H1097">
        <v>1</v>
      </c>
      <c r="I1097" t="s">
        <v>98</v>
      </c>
      <c r="J1097">
        <v>0</v>
      </c>
      <c r="K1097">
        <v>1</v>
      </c>
      <c r="L1097">
        <v>5</v>
      </c>
      <c r="BG1097">
        <v>623</v>
      </c>
      <c r="BI1097" t="s">
        <v>122</v>
      </c>
      <c r="BJ1097">
        <v>0</v>
      </c>
      <c r="BL1097" t="s">
        <v>2320</v>
      </c>
      <c r="BM1097" s="4">
        <v>43283.55</v>
      </c>
      <c r="BN1097" s="4">
        <v>43283.553252314814</v>
      </c>
      <c r="BO1097" s="4">
        <v>43283.553252314814</v>
      </c>
      <c r="BP1097" t="s">
        <v>92</v>
      </c>
      <c r="BQ1097" t="s">
        <v>93</v>
      </c>
      <c r="BR1097" t="s">
        <v>94</v>
      </c>
    </row>
    <row r="1098" spans="1:70" x14ac:dyDescent="0.3">
      <c r="A1098" t="str">
        <f>"200581S0100"</f>
        <v>200581S0100</v>
      </c>
      <c r="B1098" t="s">
        <v>2321</v>
      </c>
      <c r="C1098">
        <v>20</v>
      </c>
      <c r="D1098" t="s">
        <v>88</v>
      </c>
      <c r="E1098">
        <v>66</v>
      </c>
      <c r="F1098" t="s">
        <v>1713</v>
      </c>
      <c r="G1098">
        <v>581</v>
      </c>
      <c r="H1098">
        <v>1</v>
      </c>
      <c r="I1098" t="s">
        <v>113</v>
      </c>
      <c r="J1098">
        <v>0</v>
      </c>
      <c r="K1098">
        <v>1</v>
      </c>
      <c r="L1098">
        <v>6</v>
      </c>
      <c r="M1098">
        <v>756</v>
      </c>
      <c r="N1098">
        <v>16</v>
      </c>
      <c r="O1098">
        <v>0</v>
      </c>
      <c r="P1098">
        <v>16</v>
      </c>
      <c r="Q1098">
        <v>2</v>
      </c>
      <c r="R1098">
        <v>0</v>
      </c>
      <c r="S1098">
        <v>0</v>
      </c>
      <c r="T1098">
        <v>0</v>
      </c>
      <c r="U1098">
        <v>1</v>
      </c>
      <c r="V1098">
        <v>0</v>
      </c>
      <c r="W1098">
        <v>0</v>
      </c>
      <c r="X1098">
        <v>1</v>
      </c>
      <c r="Y1098">
        <v>8</v>
      </c>
      <c r="Z1098">
        <v>0</v>
      </c>
      <c r="AA1098">
        <v>0</v>
      </c>
      <c r="AB1098">
        <v>0</v>
      </c>
      <c r="AC1098">
        <v>2</v>
      </c>
      <c r="AD1098">
        <v>0</v>
      </c>
      <c r="AE1098">
        <v>0</v>
      </c>
      <c r="AF1098">
        <v>0</v>
      </c>
      <c r="AK1098">
        <v>0</v>
      </c>
      <c r="AL1098">
        <v>1</v>
      </c>
      <c r="AM1098">
        <v>0</v>
      </c>
      <c r="AN1098">
        <v>0</v>
      </c>
      <c r="AT1098">
        <v>0</v>
      </c>
      <c r="BC1098">
        <v>0</v>
      </c>
      <c r="BD1098">
        <v>1</v>
      </c>
      <c r="BE1098">
        <v>16</v>
      </c>
      <c r="BF1098">
        <v>16</v>
      </c>
      <c r="BG1098">
        <v>0</v>
      </c>
      <c r="BJ1098">
        <v>1</v>
      </c>
      <c r="BL1098" t="s">
        <v>2322</v>
      </c>
      <c r="BM1098" s="4">
        <v>43283.334722222222</v>
      </c>
      <c r="BN1098" s="4">
        <v>43283.353090277778</v>
      </c>
      <c r="BO1098" s="4">
        <v>43283.353090277778</v>
      </c>
      <c r="BP1098" t="s">
        <v>92</v>
      </c>
      <c r="BQ1098" t="s">
        <v>93</v>
      </c>
      <c r="BR1098" t="s">
        <v>94</v>
      </c>
    </row>
    <row r="1099" spans="1:70" x14ac:dyDescent="0.3">
      <c r="A1099" t="str">
        <f>"200582B0100"</f>
        <v>200582B0100</v>
      </c>
      <c r="B1099" t="s">
        <v>2323</v>
      </c>
      <c r="C1099">
        <v>20</v>
      </c>
      <c r="D1099" t="s">
        <v>88</v>
      </c>
      <c r="E1099">
        <v>66</v>
      </c>
      <c r="F1099" t="s">
        <v>1713</v>
      </c>
      <c r="G1099">
        <v>582</v>
      </c>
      <c r="H1099">
        <v>1</v>
      </c>
      <c r="I1099" t="s">
        <v>90</v>
      </c>
      <c r="J1099">
        <v>0</v>
      </c>
      <c r="K1099">
        <v>1</v>
      </c>
      <c r="L1099">
        <v>5</v>
      </c>
      <c r="M1099">
        <v>224</v>
      </c>
      <c r="N1099">
        <v>654</v>
      </c>
      <c r="O1099">
        <v>7</v>
      </c>
      <c r="P1099">
        <v>4</v>
      </c>
      <c r="Q1099">
        <v>78</v>
      </c>
      <c r="R1099">
        <v>65</v>
      </c>
      <c r="S1099">
        <v>16</v>
      </c>
      <c r="T1099">
        <v>7</v>
      </c>
      <c r="U1099">
        <v>13</v>
      </c>
      <c r="V1099">
        <v>14</v>
      </c>
      <c r="W1099">
        <v>11</v>
      </c>
      <c r="X1099">
        <v>10</v>
      </c>
      <c r="Y1099">
        <v>189</v>
      </c>
      <c r="Z1099">
        <v>2</v>
      </c>
      <c r="AA1099">
        <v>1</v>
      </c>
      <c r="AB1099">
        <v>6</v>
      </c>
      <c r="AC1099">
        <v>0</v>
      </c>
      <c r="AD1099">
        <v>1</v>
      </c>
      <c r="AE1099">
        <v>0</v>
      </c>
      <c r="AF1099">
        <v>0</v>
      </c>
      <c r="AK1099">
        <v>3</v>
      </c>
      <c r="AL1099">
        <v>2</v>
      </c>
      <c r="AM1099">
        <v>0</v>
      </c>
      <c r="AN1099">
        <v>3</v>
      </c>
      <c r="AT1099">
        <v>0</v>
      </c>
      <c r="BC1099">
        <v>0</v>
      </c>
      <c r="BD1099">
        <v>6</v>
      </c>
      <c r="BE1099">
        <v>427</v>
      </c>
      <c r="BF1099">
        <v>427</v>
      </c>
      <c r="BG1099">
        <v>632</v>
      </c>
      <c r="BJ1099">
        <v>1</v>
      </c>
      <c r="BL1099" t="s">
        <v>2324</v>
      </c>
      <c r="BM1099" s="4">
        <v>43283.182638888888</v>
      </c>
      <c r="BN1099" s="4">
        <v>43283.200879629629</v>
      </c>
      <c r="BO1099" s="4">
        <v>43283.200879629629</v>
      </c>
      <c r="BP1099" t="s">
        <v>92</v>
      </c>
      <c r="BQ1099" t="s">
        <v>93</v>
      </c>
      <c r="BR1099" t="s">
        <v>94</v>
      </c>
    </row>
    <row r="1100" spans="1:70" x14ac:dyDescent="0.3">
      <c r="A1100" t="str">
        <f>"200582C0100"</f>
        <v>200582C0100</v>
      </c>
      <c r="B1100" t="s">
        <v>2325</v>
      </c>
      <c r="C1100">
        <v>20</v>
      </c>
      <c r="D1100" t="s">
        <v>88</v>
      </c>
      <c r="E1100">
        <v>66</v>
      </c>
      <c r="F1100" t="s">
        <v>1713</v>
      </c>
      <c r="G1100">
        <v>582</v>
      </c>
      <c r="H1100">
        <v>1</v>
      </c>
      <c r="I1100" t="s">
        <v>98</v>
      </c>
      <c r="J1100">
        <v>0</v>
      </c>
      <c r="K1100">
        <v>1</v>
      </c>
      <c r="L1100">
        <v>5</v>
      </c>
      <c r="M1100" t="s">
        <v>105</v>
      </c>
      <c r="N1100" t="s">
        <v>105</v>
      </c>
      <c r="O1100">
        <v>5</v>
      </c>
      <c r="P1100" t="s">
        <v>105</v>
      </c>
      <c r="Q1100">
        <v>76</v>
      </c>
      <c r="R1100">
        <v>56</v>
      </c>
      <c r="S1100">
        <v>9</v>
      </c>
      <c r="T1100">
        <v>4</v>
      </c>
      <c r="U1100">
        <v>11</v>
      </c>
      <c r="V1100">
        <v>12</v>
      </c>
      <c r="W1100">
        <v>3</v>
      </c>
      <c r="X1100">
        <v>6</v>
      </c>
      <c r="Y1100">
        <v>167</v>
      </c>
      <c r="Z1100">
        <v>6</v>
      </c>
      <c r="AA1100">
        <v>4</v>
      </c>
      <c r="AB1100">
        <v>6</v>
      </c>
      <c r="AC1100">
        <v>2</v>
      </c>
      <c r="AD1100">
        <v>0</v>
      </c>
      <c r="AE1100">
        <v>1</v>
      </c>
      <c r="AF1100">
        <v>0</v>
      </c>
      <c r="AK1100">
        <v>7</v>
      </c>
      <c r="AL1100">
        <v>4</v>
      </c>
      <c r="AM1100">
        <v>0</v>
      </c>
      <c r="AN1100">
        <v>1</v>
      </c>
      <c r="AT1100">
        <v>3</v>
      </c>
      <c r="BC1100">
        <v>0</v>
      </c>
      <c r="BD1100">
        <v>12</v>
      </c>
      <c r="BE1100">
        <v>393</v>
      </c>
      <c r="BF1100">
        <v>390</v>
      </c>
      <c r="BG1100">
        <v>631</v>
      </c>
      <c r="BJ1100">
        <v>1</v>
      </c>
      <c r="BL1100" s="2" t="s">
        <v>2326</v>
      </c>
      <c r="BM1100" s="4">
        <v>43283.320138888892</v>
      </c>
      <c r="BN1100" s="4">
        <v>43283.365127314813</v>
      </c>
      <c r="BO1100" s="4">
        <v>43283.365127314813</v>
      </c>
      <c r="BP1100" t="s">
        <v>92</v>
      </c>
      <c r="BQ1100" t="s">
        <v>93</v>
      </c>
      <c r="BR1100" t="s">
        <v>94</v>
      </c>
    </row>
    <row r="1101" spans="1:70" x14ac:dyDescent="0.3">
      <c r="A1101" t="str">
        <f>"200583B0100"</f>
        <v>200583B0100</v>
      </c>
      <c r="B1101" t="s">
        <v>2327</v>
      </c>
      <c r="C1101">
        <v>20</v>
      </c>
      <c r="D1101" t="s">
        <v>88</v>
      </c>
      <c r="E1101">
        <v>66</v>
      </c>
      <c r="F1101" t="s">
        <v>1713</v>
      </c>
      <c r="G1101">
        <v>583</v>
      </c>
      <c r="H1101">
        <v>1</v>
      </c>
      <c r="I1101" t="s">
        <v>90</v>
      </c>
      <c r="J1101">
        <v>0</v>
      </c>
      <c r="K1101">
        <v>1</v>
      </c>
      <c r="L1101">
        <v>5</v>
      </c>
      <c r="BG1101">
        <v>567</v>
      </c>
      <c r="BI1101" t="s">
        <v>122</v>
      </c>
      <c r="BJ1101">
        <v>0</v>
      </c>
      <c r="BL1101" t="s">
        <v>2328</v>
      </c>
      <c r="BM1101" s="4">
        <v>43283.55</v>
      </c>
      <c r="BN1101" s="4">
        <v>43283.553124999999</v>
      </c>
      <c r="BO1101" s="4">
        <v>43283.553124999999</v>
      </c>
      <c r="BP1101" t="s">
        <v>92</v>
      </c>
      <c r="BQ1101" t="s">
        <v>93</v>
      </c>
      <c r="BR1101" t="s">
        <v>94</v>
      </c>
    </row>
    <row r="1102" spans="1:70" x14ac:dyDescent="0.3">
      <c r="A1102" t="str">
        <f>"200583C0100"</f>
        <v>200583C0100</v>
      </c>
      <c r="B1102" t="s">
        <v>2329</v>
      </c>
      <c r="C1102">
        <v>20</v>
      </c>
      <c r="D1102" t="s">
        <v>88</v>
      </c>
      <c r="E1102">
        <v>66</v>
      </c>
      <c r="F1102" t="s">
        <v>1713</v>
      </c>
      <c r="G1102">
        <v>583</v>
      </c>
      <c r="H1102">
        <v>1</v>
      </c>
      <c r="I1102" t="s">
        <v>98</v>
      </c>
      <c r="J1102">
        <v>0</v>
      </c>
      <c r="K1102">
        <v>1</v>
      </c>
      <c r="L1102">
        <v>5</v>
      </c>
      <c r="M1102">
        <v>199</v>
      </c>
      <c r="N1102">
        <v>389</v>
      </c>
      <c r="O1102">
        <v>6</v>
      </c>
      <c r="P1102">
        <v>385</v>
      </c>
      <c r="Q1102">
        <v>91</v>
      </c>
      <c r="R1102">
        <v>84</v>
      </c>
      <c r="S1102">
        <v>7</v>
      </c>
      <c r="T1102">
        <v>7</v>
      </c>
      <c r="U1102">
        <v>11</v>
      </c>
      <c r="V1102">
        <v>6</v>
      </c>
      <c r="W1102">
        <v>6</v>
      </c>
      <c r="X1102">
        <v>3</v>
      </c>
      <c r="Y1102">
        <v>135</v>
      </c>
      <c r="Z1102">
        <v>5</v>
      </c>
      <c r="AA1102">
        <v>4</v>
      </c>
      <c r="AB1102">
        <v>11</v>
      </c>
      <c r="AC1102">
        <v>3</v>
      </c>
      <c r="AD1102">
        <v>0</v>
      </c>
      <c r="AE1102">
        <v>0</v>
      </c>
      <c r="AF1102">
        <v>0</v>
      </c>
      <c r="AK1102">
        <v>2</v>
      </c>
      <c r="AL1102">
        <v>2</v>
      </c>
      <c r="AM1102">
        <v>0</v>
      </c>
      <c r="AN1102">
        <v>1</v>
      </c>
      <c r="AT1102">
        <v>2</v>
      </c>
      <c r="BC1102">
        <v>0</v>
      </c>
      <c r="BD1102">
        <v>5</v>
      </c>
      <c r="BE1102">
        <v>385</v>
      </c>
      <c r="BF1102">
        <v>385</v>
      </c>
      <c r="BG1102">
        <v>566</v>
      </c>
      <c r="BJ1102">
        <v>1</v>
      </c>
      <c r="BL1102" t="s">
        <v>2330</v>
      </c>
      <c r="BM1102" s="4">
        <v>43283.158333333333</v>
      </c>
      <c r="BN1102" s="4">
        <v>43283.176620370374</v>
      </c>
      <c r="BO1102" s="4">
        <v>43283.176620370374</v>
      </c>
      <c r="BP1102" t="s">
        <v>92</v>
      </c>
      <c r="BQ1102" t="s">
        <v>93</v>
      </c>
      <c r="BR1102" t="s">
        <v>94</v>
      </c>
    </row>
    <row r="1103" spans="1:70" x14ac:dyDescent="0.3">
      <c r="A1103" t="str">
        <f>"200584B0100"</f>
        <v>200584B0100</v>
      </c>
      <c r="B1103" t="s">
        <v>2331</v>
      </c>
      <c r="C1103">
        <v>20</v>
      </c>
      <c r="D1103" t="s">
        <v>88</v>
      </c>
      <c r="E1103">
        <v>66</v>
      </c>
      <c r="F1103" t="s">
        <v>1713</v>
      </c>
      <c r="G1103">
        <v>584</v>
      </c>
      <c r="H1103">
        <v>1</v>
      </c>
      <c r="I1103" t="s">
        <v>90</v>
      </c>
      <c r="J1103">
        <v>0</v>
      </c>
      <c r="K1103">
        <v>1</v>
      </c>
      <c r="L1103">
        <v>5</v>
      </c>
      <c r="M1103">
        <v>139</v>
      </c>
      <c r="N1103">
        <v>311</v>
      </c>
      <c r="O1103">
        <v>6</v>
      </c>
      <c r="P1103">
        <v>311</v>
      </c>
      <c r="Q1103">
        <v>46</v>
      </c>
      <c r="R1103">
        <v>74</v>
      </c>
      <c r="S1103">
        <v>8</v>
      </c>
      <c r="T1103">
        <v>6</v>
      </c>
      <c r="U1103">
        <v>11</v>
      </c>
      <c r="V1103">
        <v>7</v>
      </c>
      <c r="W1103">
        <v>13</v>
      </c>
      <c r="X1103">
        <v>5</v>
      </c>
      <c r="Y1103">
        <v>108</v>
      </c>
      <c r="Z1103">
        <v>4</v>
      </c>
      <c r="AA1103">
        <v>2</v>
      </c>
      <c r="AB1103">
        <v>5</v>
      </c>
      <c r="AC1103">
        <v>1</v>
      </c>
      <c r="AD1103">
        <v>1</v>
      </c>
      <c r="AE1103">
        <v>0</v>
      </c>
      <c r="AF1103">
        <v>0</v>
      </c>
      <c r="AK1103">
        <v>6</v>
      </c>
      <c r="AL1103">
        <v>2</v>
      </c>
      <c r="AM1103">
        <v>0</v>
      </c>
      <c r="AN1103">
        <v>0</v>
      </c>
      <c r="AT1103">
        <v>3</v>
      </c>
      <c r="BC1103">
        <v>0</v>
      </c>
      <c r="BD1103">
        <v>9</v>
      </c>
      <c r="BE1103">
        <v>311</v>
      </c>
      <c r="BF1103">
        <v>311</v>
      </c>
      <c r="BG1103">
        <v>428</v>
      </c>
      <c r="BJ1103">
        <v>1</v>
      </c>
      <c r="BL1103" t="s">
        <v>2332</v>
      </c>
      <c r="BM1103" s="4">
        <v>43283.047222222223</v>
      </c>
      <c r="BN1103" s="4">
        <v>43283.051840277774</v>
      </c>
      <c r="BO1103" s="4">
        <v>43283.051840277774</v>
      </c>
      <c r="BP1103" t="s">
        <v>92</v>
      </c>
      <c r="BQ1103" t="s">
        <v>93</v>
      </c>
      <c r="BR1103" t="s">
        <v>94</v>
      </c>
    </row>
    <row r="1104" spans="1:70" x14ac:dyDescent="0.3">
      <c r="A1104" t="str">
        <f>"200584C0100"</f>
        <v>200584C0100</v>
      </c>
      <c r="B1104" t="s">
        <v>2333</v>
      </c>
      <c r="C1104">
        <v>20</v>
      </c>
      <c r="D1104" t="s">
        <v>88</v>
      </c>
      <c r="E1104">
        <v>66</v>
      </c>
      <c r="F1104" t="s">
        <v>1713</v>
      </c>
      <c r="G1104">
        <v>584</v>
      </c>
      <c r="H1104">
        <v>1</v>
      </c>
      <c r="I1104" t="s">
        <v>98</v>
      </c>
      <c r="J1104">
        <v>0</v>
      </c>
      <c r="K1104">
        <v>1</v>
      </c>
      <c r="L1104">
        <v>5</v>
      </c>
      <c r="M1104">
        <v>120</v>
      </c>
      <c r="N1104">
        <v>331</v>
      </c>
      <c r="O1104">
        <v>9</v>
      </c>
      <c r="P1104">
        <v>328</v>
      </c>
      <c r="Q1104">
        <v>43</v>
      </c>
      <c r="R1104">
        <v>85</v>
      </c>
      <c r="S1104">
        <v>6</v>
      </c>
      <c r="T1104">
        <v>5</v>
      </c>
      <c r="U1104">
        <v>18</v>
      </c>
      <c r="V1104">
        <v>8</v>
      </c>
      <c r="W1104">
        <v>8</v>
      </c>
      <c r="X1104">
        <v>7</v>
      </c>
      <c r="Y1104">
        <v>122</v>
      </c>
      <c r="Z1104">
        <v>6</v>
      </c>
      <c r="AA1104">
        <v>1</v>
      </c>
      <c r="AB1104">
        <v>8</v>
      </c>
      <c r="AC1104">
        <v>2</v>
      </c>
      <c r="AD1104">
        <v>0</v>
      </c>
      <c r="AE1104">
        <v>0</v>
      </c>
      <c r="AF1104">
        <v>0</v>
      </c>
      <c r="AK1104">
        <v>0</v>
      </c>
      <c r="AL1104">
        <v>0</v>
      </c>
      <c r="AM1104">
        <v>1</v>
      </c>
      <c r="AN1104">
        <v>0</v>
      </c>
      <c r="AT1104">
        <v>4</v>
      </c>
      <c r="BC1104">
        <v>0</v>
      </c>
      <c r="BD1104">
        <v>4</v>
      </c>
      <c r="BE1104">
        <v>328</v>
      </c>
      <c r="BF1104">
        <v>328</v>
      </c>
      <c r="BG1104">
        <v>427</v>
      </c>
      <c r="BJ1104">
        <v>1</v>
      </c>
      <c r="BL1104" t="s">
        <v>2334</v>
      </c>
      <c r="BM1104" s="4">
        <v>43283.082638888889</v>
      </c>
      <c r="BN1104" s="4">
        <v>43283.087106481478</v>
      </c>
      <c r="BO1104" s="4">
        <v>43283.087106481478</v>
      </c>
      <c r="BP1104" t="s">
        <v>92</v>
      </c>
      <c r="BQ1104" t="s">
        <v>93</v>
      </c>
      <c r="BR1104" t="s">
        <v>94</v>
      </c>
    </row>
    <row r="1105" spans="1:70" x14ac:dyDescent="0.3">
      <c r="A1105" t="str">
        <f>"200585B0100"</f>
        <v>200585B0100</v>
      </c>
      <c r="B1105" t="s">
        <v>2335</v>
      </c>
      <c r="C1105">
        <v>20</v>
      </c>
      <c r="D1105" t="s">
        <v>88</v>
      </c>
      <c r="E1105">
        <v>66</v>
      </c>
      <c r="F1105" t="s">
        <v>1713</v>
      </c>
      <c r="G1105">
        <v>585</v>
      </c>
      <c r="H1105">
        <v>1</v>
      </c>
      <c r="I1105" t="s">
        <v>90</v>
      </c>
      <c r="J1105">
        <v>0</v>
      </c>
      <c r="K1105">
        <v>1</v>
      </c>
      <c r="L1105">
        <v>5</v>
      </c>
      <c r="M1105">
        <v>136</v>
      </c>
      <c r="N1105">
        <v>326</v>
      </c>
      <c r="O1105">
        <v>9</v>
      </c>
      <c r="P1105">
        <v>326</v>
      </c>
      <c r="Q1105">
        <v>55</v>
      </c>
      <c r="R1105">
        <v>89</v>
      </c>
      <c r="S1105">
        <v>5</v>
      </c>
      <c r="T1105">
        <v>9</v>
      </c>
      <c r="U1105">
        <v>9</v>
      </c>
      <c r="V1105">
        <v>3</v>
      </c>
      <c r="W1105">
        <v>5</v>
      </c>
      <c r="X1105">
        <v>1</v>
      </c>
      <c r="Y1105">
        <v>124</v>
      </c>
      <c r="Z1105">
        <v>3</v>
      </c>
      <c r="AA1105">
        <v>3</v>
      </c>
      <c r="AB1105">
        <v>7</v>
      </c>
      <c r="AC1105">
        <v>1</v>
      </c>
      <c r="AD1105">
        <v>0</v>
      </c>
      <c r="AE1105">
        <v>0</v>
      </c>
      <c r="AF1105">
        <v>0</v>
      </c>
      <c r="AK1105">
        <v>3</v>
      </c>
      <c r="AL1105">
        <v>0</v>
      </c>
      <c r="AM1105">
        <v>0</v>
      </c>
      <c r="AN1105">
        <v>0</v>
      </c>
      <c r="AT1105">
        <v>0</v>
      </c>
      <c r="BC1105">
        <v>0</v>
      </c>
      <c r="BD1105">
        <v>9</v>
      </c>
      <c r="BE1105">
        <v>326</v>
      </c>
      <c r="BF1105">
        <v>326</v>
      </c>
      <c r="BG1105">
        <v>440</v>
      </c>
      <c r="BJ1105">
        <v>1</v>
      </c>
      <c r="BL1105" t="s">
        <v>2336</v>
      </c>
      <c r="BM1105" s="4">
        <v>43283.176388888889</v>
      </c>
      <c r="BN1105" s="4">
        <v>43283.190706018519</v>
      </c>
      <c r="BO1105" s="4">
        <v>43283.190706018519</v>
      </c>
      <c r="BP1105" t="s">
        <v>92</v>
      </c>
      <c r="BQ1105" t="s">
        <v>93</v>
      </c>
      <c r="BR1105" t="s">
        <v>94</v>
      </c>
    </row>
    <row r="1106" spans="1:70" x14ac:dyDescent="0.3">
      <c r="A1106" t="str">
        <f>"200585C0100"</f>
        <v>200585C0100</v>
      </c>
      <c r="B1106" t="s">
        <v>2337</v>
      </c>
      <c r="C1106">
        <v>20</v>
      </c>
      <c r="D1106" t="s">
        <v>88</v>
      </c>
      <c r="E1106">
        <v>66</v>
      </c>
      <c r="F1106" t="s">
        <v>1713</v>
      </c>
      <c r="G1106">
        <v>585</v>
      </c>
      <c r="H1106">
        <v>1</v>
      </c>
      <c r="I1106" t="s">
        <v>98</v>
      </c>
      <c r="J1106">
        <v>0</v>
      </c>
      <c r="K1106">
        <v>1</v>
      </c>
      <c r="L1106">
        <v>5</v>
      </c>
      <c r="M1106">
        <v>141</v>
      </c>
      <c r="N1106">
        <v>324</v>
      </c>
      <c r="O1106">
        <v>6</v>
      </c>
      <c r="P1106" t="s">
        <v>127</v>
      </c>
      <c r="Q1106">
        <v>51</v>
      </c>
      <c r="R1106">
        <v>77</v>
      </c>
      <c r="S1106">
        <v>10</v>
      </c>
      <c r="T1106">
        <v>6</v>
      </c>
      <c r="U1106">
        <v>12</v>
      </c>
      <c r="V1106">
        <v>5</v>
      </c>
      <c r="W1106">
        <v>8</v>
      </c>
      <c r="X1106">
        <v>7</v>
      </c>
      <c r="Y1106">
        <v>115</v>
      </c>
      <c r="Z1106">
        <v>2</v>
      </c>
      <c r="AA1106">
        <v>2</v>
      </c>
      <c r="AB1106">
        <v>8</v>
      </c>
      <c r="AC1106">
        <v>0</v>
      </c>
      <c r="AD1106">
        <v>0</v>
      </c>
      <c r="AE1106">
        <v>2</v>
      </c>
      <c r="AF1106">
        <v>0</v>
      </c>
      <c r="AK1106">
        <v>0</v>
      </c>
      <c r="AL1106">
        <v>2</v>
      </c>
      <c r="AM1106">
        <v>0</v>
      </c>
      <c r="AN1106">
        <v>3</v>
      </c>
      <c r="AT1106">
        <v>0</v>
      </c>
      <c r="BC1106">
        <v>1</v>
      </c>
      <c r="BD1106">
        <v>10</v>
      </c>
      <c r="BE1106">
        <v>321</v>
      </c>
      <c r="BF1106">
        <v>321</v>
      </c>
      <c r="BG1106">
        <v>440</v>
      </c>
      <c r="BJ1106">
        <v>1</v>
      </c>
      <c r="BL1106" t="s">
        <v>2338</v>
      </c>
      <c r="BM1106" s="4">
        <v>43283.181944444441</v>
      </c>
      <c r="BN1106" s="4">
        <v>43283.202245370368</v>
      </c>
      <c r="BO1106" s="4">
        <v>43283.202245370368</v>
      </c>
      <c r="BP1106" t="s">
        <v>92</v>
      </c>
      <c r="BQ1106" t="s">
        <v>93</v>
      </c>
      <c r="BR1106" t="s">
        <v>94</v>
      </c>
    </row>
    <row r="1107" spans="1:70" x14ac:dyDescent="0.3">
      <c r="A1107" t="str">
        <f>"200586B0100"</f>
        <v>200586B0100</v>
      </c>
      <c r="B1107" t="s">
        <v>2339</v>
      </c>
      <c r="C1107">
        <v>20</v>
      </c>
      <c r="D1107" t="s">
        <v>88</v>
      </c>
      <c r="E1107">
        <v>66</v>
      </c>
      <c r="F1107" t="s">
        <v>1713</v>
      </c>
      <c r="G1107">
        <v>586</v>
      </c>
      <c r="H1107">
        <v>1</v>
      </c>
      <c r="I1107" t="s">
        <v>90</v>
      </c>
      <c r="J1107">
        <v>0</v>
      </c>
      <c r="K1107">
        <v>1</v>
      </c>
      <c r="L1107">
        <v>5</v>
      </c>
      <c r="M1107">
        <v>183</v>
      </c>
      <c r="N1107">
        <v>413</v>
      </c>
      <c r="O1107">
        <v>2</v>
      </c>
      <c r="P1107">
        <v>413</v>
      </c>
      <c r="Q1107">
        <v>54</v>
      </c>
      <c r="R1107">
        <v>52</v>
      </c>
      <c r="S1107">
        <v>4</v>
      </c>
      <c r="T1107">
        <v>4</v>
      </c>
      <c r="U1107">
        <v>16</v>
      </c>
      <c r="V1107">
        <v>11</v>
      </c>
      <c r="W1107">
        <v>8</v>
      </c>
      <c r="X1107">
        <v>6</v>
      </c>
      <c r="Y1107">
        <v>203</v>
      </c>
      <c r="Z1107">
        <v>6</v>
      </c>
      <c r="AA1107">
        <v>1</v>
      </c>
      <c r="AB1107">
        <v>13</v>
      </c>
      <c r="AC1107">
        <v>5</v>
      </c>
      <c r="AD1107">
        <v>0</v>
      </c>
      <c r="AE1107">
        <v>0</v>
      </c>
      <c r="AF1107">
        <v>0</v>
      </c>
      <c r="AK1107">
        <v>6</v>
      </c>
      <c r="AL1107">
        <v>0</v>
      </c>
      <c r="AM1107">
        <v>2</v>
      </c>
      <c r="AN1107">
        <v>2</v>
      </c>
      <c r="AT1107">
        <v>4</v>
      </c>
      <c r="BC1107">
        <v>0</v>
      </c>
      <c r="BD1107">
        <v>16</v>
      </c>
      <c r="BE1107">
        <v>413</v>
      </c>
      <c r="BF1107">
        <v>413</v>
      </c>
      <c r="BG1107">
        <v>574</v>
      </c>
      <c r="BJ1107">
        <v>1</v>
      </c>
      <c r="BL1107" t="s">
        <v>2340</v>
      </c>
      <c r="BM1107" s="4">
        <v>43283.181250000001</v>
      </c>
      <c r="BN1107" s="4">
        <v>43283.200671296298</v>
      </c>
      <c r="BO1107" s="4">
        <v>43283.200671296298</v>
      </c>
      <c r="BP1107" t="s">
        <v>92</v>
      </c>
      <c r="BQ1107" t="s">
        <v>93</v>
      </c>
      <c r="BR1107" t="s">
        <v>94</v>
      </c>
    </row>
    <row r="1108" spans="1:70" x14ac:dyDescent="0.3">
      <c r="A1108" t="str">
        <f>"200586C0100"</f>
        <v>200586C0100</v>
      </c>
      <c r="B1108" t="s">
        <v>2341</v>
      </c>
      <c r="C1108">
        <v>20</v>
      </c>
      <c r="D1108" t="s">
        <v>88</v>
      </c>
      <c r="E1108">
        <v>66</v>
      </c>
      <c r="F1108" t="s">
        <v>1713</v>
      </c>
      <c r="G1108">
        <v>586</v>
      </c>
      <c r="H1108">
        <v>1</v>
      </c>
      <c r="I1108" t="s">
        <v>98</v>
      </c>
      <c r="J1108">
        <v>0</v>
      </c>
      <c r="K1108">
        <v>1</v>
      </c>
      <c r="L1108">
        <v>5</v>
      </c>
      <c r="M1108">
        <v>177</v>
      </c>
      <c r="N1108">
        <v>419</v>
      </c>
      <c r="O1108">
        <v>5</v>
      </c>
      <c r="P1108">
        <v>419</v>
      </c>
      <c r="Q1108">
        <v>61</v>
      </c>
      <c r="R1108">
        <v>62</v>
      </c>
      <c r="S1108">
        <v>15</v>
      </c>
      <c r="T1108">
        <v>8</v>
      </c>
      <c r="U1108">
        <v>13</v>
      </c>
      <c r="V1108">
        <v>7</v>
      </c>
      <c r="W1108">
        <v>7</v>
      </c>
      <c r="X1108">
        <v>10</v>
      </c>
      <c r="Y1108">
        <v>195</v>
      </c>
      <c r="Z1108">
        <v>11</v>
      </c>
      <c r="AA1108">
        <v>2</v>
      </c>
      <c r="AB1108">
        <v>6</v>
      </c>
      <c r="AC1108">
        <v>4</v>
      </c>
      <c r="AD1108">
        <v>0</v>
      </c>
      <c r="AE1108">
        <v>0</v>
      </c>
      <c r="AF1108">
        <v>0</v>
      </c>
      <c r="AK1108">
        <v>4</v>
      </c>
      <c r="AL1108">
        <v>1</v>
      </c>
      <c r="AM1108">
        <v>1</v>
      </c>
      <c r="AN1108">
        <v>1</v>
      </c>
      <c r="AT1108">
        <v>1</v>
      </c>
      <c r="BC1108">
        <v>0</v>
      </c>
      <c r="BD1108">
        <v>10</v>
      </c>
      <c r="BE1108">
        <v>419</v>
      </c>
      <c r="BF1108">
        <v>419</v>
      </c>
      <c r="BG1108">
        <v>574</v>
      </c>
      <c r="BJ1108">
        <v>1</v>
      </c>
      <c r="BL1108" t="s">
        <v>2342</v>
      </c>
      <c r="BM1108" s="4">
        <v>43283.171527777777</v>
      </c>
      <c r="BN1108" s="4">
        <v>43283.185162037036</v>
      </c>
      <c r="BO1108" s="4">
        <v>43283.185162037036</v>
      </c>
      <c r="BP1108" t="s">
        <v>92</v>
      </c>
      <c r="BQ1108" t="s">
        <v>93</v>
      </c>
      <c r="BR1108" t="s">
        <v>94</v>
      </c>
    </row>
    <row r="1109" spans="1:70" x14ac:dyDescent="0.3">
      <c r="A1109" t="str">
        <f>"200587B0100"</f>
        <v>200587B0100</v>
      </c>
      <c r="B1109" t="s">
        <v>2343</v>
      </c>
      <c r="C1109">
        <v>20</v>
      </c>
      <c r="D1109" t="s">
        <v>88</v>
      </c>
      <c r="E1109">
        <v>66</v>
      </c>
      <c r="F1109" t="s">
        <v>1713</v>
      </c>
      <c r="G1109">
        <v>587</v>
      </c>
      <c r="H1109">
        <v>1</v>
      </c>
      <c r="I1109" t="s">
        <v>90</v>
      </c>
      <c r="J1109">
        <v>0</v>
      </c>
      <c r="K1109">
        <v>1</v>
      </c>
      <c r="L1109">
        <v>5</v>
      </c>
      <c r="M1109">
        <v>231</v>
      </c>
      <c r="N1109">
        <v>460</v>
      </c>
      <c r="O1109">
        <v>6</v>
      </c>
      <c r="P1109">
        <v>459</v>
      </c>
      <c r="Q1109">
        <v>62</v>
      </c>
      <c r="R1109">
        <v>85</v>
      </c>
      <c r="S1109">
        <v>12</v>
      </c>
      <c r="T1109">
        <v>4</v>
      </c>
      <c r="U1109">
        <v>7</v>
      </c>
      <c r="V1109">
        <v>11</v>
      </c>
      <c r="W1109">
        <v>9</v>
      </c>
      <c r="X1109">
        <v>9</v>
      </c>
      <c r="Y1109">
        <v>195</v>
      </c>
      <c r="Z1109">
        <v>13</v>
      </c>
      <c r="AA1109">
        <v>3</v>
      </c>
      <c r="AB1109">
        <v>18</v>
      </c>
      <c r="AC1109">
        <v>0</v>
      </c>
      <c r="AD1109">
        <v>1</v>
      </c>
      <c r="AE1109">
        <v>0</v>
      </c>
      <c r="AF1109">
        <v>0</v>
      </c>
      <c r="AK1109">
        <v>8</v>
      </c>
      <c r="AL1109">
        <v>2</v>
      </c>
      <c r="AM1109">
        <v>0</v>
      </c>
      <c r="AN1109">
        <v>2</v>
      </c>
      <c r="AT1109">
        <v>3</v>
      </c>
      <c r="BC1109">
        <v>0</v>
      </c>
      <c r="BD1109">
        <v>15</v>
      </c>
      <c r="BE1109">
        <v>459</v>
      </c>
      <c r="BF1109">
        <v>459</v>
      </c>
      <c r="BG1109">
        <v>669</v>
      </c>
      <c r="BJ1109">
        <v>1</v>
      </c>
      <c r="BL1109" t="s">
        <v>2344</v>
      </c>
      <c r="BM1109" s="4">
        <v>43283.175000000003</v>
      </c>
      <c r="BN1109" s="4">
        <v>43283.189097222225</v>
      </c>
      <c r="BO1109" s="4">
        <v>43283.189097222225</v>
      </c>
      <c r="BP1109" t="s">
        <v>92</v>
      </c>
      <c r="BQ1109" t="s">
        <v>93</v>
      </c>
      <c r="BR1109" t="s">
        <v>94</v>
      </c>
    </row>
    <row r="1110" spans="1:70" x14ac:dyDescent="0.3">
      <c r="A1110" t="str">
        <f>"200587C0100"</f>
        <v>200587C0100</v>
      </c>
      <c r="B1110" t="s">
        <v>2345</v>
      </c>
      <c r="C1110">
        <v>20</v>
      </c>
      <c r="D1110" t="s">
        <v>88</v>
      </c>
      <c r="E1110">
        <v>66</v>
      </c>
      <c r="F1110" t="s">
        <v>1713</v>
      </c>
      <c r="G1110">
        <v>587</v>
      </c>
      <c r="H1110">
        <v>1</v>
      </c>
      <c r="I1110" t="s">
        <v>98</v>
      </c>
      <c r="J1110">
        <v>0</v>
      </c>
      <c r="K1110">
        <v>1</v>
      </c>
      <c r="L1110">
        <v>5</v>
      </c>
      <c r="M1110">
        <v>220</v>
      </c>
      <c r="N1110">
        <v>470</v>
      </c>
      <c r="O1110">
        <v>8</v>
      </c>
      <c r="P1110">
        <v>470</v>
      </c>
      <c r="Q1110">
        <v>60</v>
      </c>
      <c r="R1110">
        <v>66</v>
      </c>
      <c r="S1110">
        <v>6</v>
      </c>
      <c r="T1110">
        <v>3</v>
      </c>
      <c r="U1110">
        <v>28</v>
      </c>
      <c r="V1110">
        <v>5</v>
      </c>
      <c r="W1110">
        <v>6</v>
      </c>
      <c r="X1110">
        <v>10</v>
      </c>
      <c r="Y1110">
        <v>245</v>
      </c>
      <c r="Z1110">
        <v>9</v>
      </c>
      <c r="AA1110">
        <v>4</v>
      </c>
      <c r="AB1110">
        <v>13</v>
      </c>
      <c r="AC1110">
        <v>2</v>
      </c>
      <c r="AD1110">
        <v>0</v>
      </c>
      <c r="AE1110">
        <v>0</v>
      </c>
      <c r="AF1110">
        <v>0</v>
      </c>
      <c r="AK1110">
        <v>2</v>
      </c>
      <c r="AL1110">
        <v>0</v>
      </c>
      <c r="AM1110">
        <v>0</v>
      </c>
      <c r="AN1110">
        <v>1</v>
      </c>
      <c r="AT1110">
        <v>0</v>
      </c>
      <c r="BC1110">
        <v>0</v>
      </c>
      <c r="BD1110">
        <v>10</v>
      </c>
      <c r="BE1110">
        <v>470</v>
      </c>
      <c r="BF1110">
        <v>470</v>
      </c>
      <c r="BG1110">
        <v>668</v>
      </c>
      <c r="BJ1110">
        <v>1</v>
      </c>
      <c r="BL1110" t="s">
        <v>2346</v>
      </c>
      <c r="BM1110" s="4">
        <v>43283.170138888891</v>
      </c>
      <c r="BN1110" s="4">
        <v>43283.182962962965</v>
      </c>
      <c r="BO1110" s="4">
        <v>43283.182962962965</v>
      </c>
      <c r="BP1110" t="s">
        <v>92</v>
      </c>
      <c r="BQ1110" t="s">
        <v>93</v>
      </c>
      <c r="BR1110" t="s">
        <v>94</v>
      </c>
    </row>
    <row r="1111" spans="1:70" x14ac:dyDescent="0.3">
      <c r="A1111" t="str">
        <f>"200588B0100"</f>
        <v>200588B0100</v>
      </c>
      <c r="B1111" t="s">
        <v>2347</v>
      </c>
      <c r="C1111">
        <v>20</v>
      </c>
      <c r="D1111" t="s">
        <v>88</v>
      </c>
      <c r="E1111">
        <v>66</v>
      </c>
      <c r="F1111" t="s">
        <v>1713</v>
      </c>
      <c r="G1111">
        <v>588</v>
      </c>
      <c r="H1111">
        <v>1</v>
      </c>
      <c r="I1111" t="s">
        <v>90</v>
      </c>
      <c r="J1111">
        <v>0</v>
      </c>
      <c r="K1111">
        <v>1</v>
      </c>
      <c r="L1111">
        <v>5</v>
      </c>
      <c r="M1111">
        <v>188</v>
      </c>
      <c r="N1111">
        <v>373</v>
      </c>
      <c r="O1111">
        <v>5</v>
      </c>
      <c r="P1111">
        <v>373</v>
      </c>
      <c r="Q1111">
        <v>63</v>
      </c>
      <c r="R1111">
        <v>54</v>
      </c>
      <c r="S1111">
        <v>14</v>
      </c>
      <c r="T1111">
        <v>10</v>
      </c>
      <c r="U1111">
        <v>11</v>
      </c>
      <c r="V1111">
        <v>13</v>
      </c>
      <c r="W1111">
        <v>12</v>
      </c>
      <c r="X1111">
        <v>7</v>
      </c>
      <c r="Y1111">
        <v>149</v>
      </c>
      <c r="Z1111">
        <v>7</v>
      </c>
      <c r="AA1111">
        <v>3</v>
      </c>
      <c r="AB1111">
        <v>9</v>
      </c>
      <c r="AC1111">
        <v>1</v>
      </c>
      <c r="AD1111">
        <v>0</v>
      </c>
      <c r="AE1111">
        <v>1</v>
      </c>
      <c r="AF1111">
        <v>1</v>
      </c>
      <c r="AK1111">
        <v>7</v>
      </c>
      <c r="AL1111">
        <v>1</v>
      </c>
      <c r="AM1111">
        <v>0</v>
      </c>
      <c r="AN1111">
        <v>1</v>
      </c>
      <c r="AT1111">
        <v>0</v>
      </c>
      <c r="BC1111">
        <v>0</v>
      </c>
      <c r="BD1111">
        <v>9</v>
      </c>
      <c r="BE1111">
        <v>373</v>
      </c>
      <c r="BF1111">
        <v>373</v>
      </c>
      <c r="BG1111">
        <v>539</v>
      </c>
      <c r="BJ1111">
        <v>1</v>
      </c>
      <c r="BL1111" t="s">
        <v>2348</v>
      </c>
      <c r="BM1111" s="4">
        <v>43283.20208333333</v>
      </c>
      <c r="BN1111" s="4">
        <v>43283.219293981485</v>
      </c>
      <c r="BO1111" s="4">
        <v>43283.219293981485</v>
      </c>
      <c r="BP1111" t="s">
        <v>92</v>
      </c>
      <c r="BQ1111" t="s">
        <v>93</v>
      </c>
      <c r="BR1111" t="s">
        <v>94</v>
      </c>
    </row>
    <row r="1112" spans="1:70" x14ac:dyDescent="0.3">
      <c r="A1112" t="str">
        <f>"200588C0100"</f>
        <v>200588C0100</v>
      </c>
      <c r="B1112" t="s">
        <v>2349</v>
      </c>
      <c r="C1112">
        <v>20</v>
      </c>
      <c r="D1112" t="s">
        <v>88</v>
      </c>
      <c r="E1112">
        <v>66</v>
      </c>
      <c r="F1112" t="s">
        <v>1713</v>
      </c>
      <c r="G1112">
        <v>588</v>
      </c>
      <c r="H1112">
        <v>1</v>
      </c>
      <c r="I1112" t="s">
        <v>98</v>
      </c>
      <c r="J1112">
        <v>0</v>
      </c>
      <c r="K1112">
        <v>1</v>
      </c>
      <c r="L1112">
        <v>5</v>
      </c>
      <c r="M1112">
        <v>208</v>
      </c>
      <c r="N1112">
        <v>352</v>
      </c>
      <c r="O1112">
        <v>5</v>
      </c>
      <c r="P1112">
        <v>352</v>
      </c>
      <c r="Q1112">
        <v>54</v>
      </c>
      <c r="R1112">
        <v>64</v>
      </c>
      <c r="S1112">
        <v>14</v>
      </c>
      <c r="T1112">
        <v>5</v>
      </c>
      <c r="U1112">
        <v>14</v>
      </c>
      <c r="V1112">
        <v>8</v>
      </c>
      <c r="W1112">
        <v>7</v>
      </c>
      <c r="X1112">
        <v>8</v>
      </c>
      <c r="Y1112">
        <v>145</v>
      </c>
      <c r="Z1112">
        <v>8</v>
      </c>
      <c r="AA1112">
        <v>3</v>
      </c>
      <c r="AB1112">
        <v>9</v>
      </c>
      <c r="AC1112">
        <v>0</v>
      </c>
      <c r="AD1112">
        <v>0</v>
      </c>
      <c r="AE1112">
        <v>0</v>
      </c>
      <c r="AF1112">
        <v>0</v>
      </c>
      <c r="AK1112">
        <v>3</v>
      </c>
      <c r="AL1112">
        <v>0</v>
      </c>
      <c r="AM1112">
        <v>0</v>
      </c>
      <c r="AN1112">
        <v>0</v>
      </c>
      <c r="AT1112">
        <v>1</v>
      </c>
      <c r="BC1112">
        <v>0</v>
      </c>
      <c r="BD1112">
        <v>9</v>
      </c>
      <c r="BE1112">
        <v>352</v>
      </c>
      <c r="BF1112">
        <v>352</v>
      </c>
      <c r="BG1112">
        <v>539</v>
      </c>
      <c r="BJ1112">
        <v>1</v>
      </c>
      <c r="BL1112" t="s">
        <v>2350</v>
      </c>
      <c r="BM1112" s="4">
        <v>43283.20208333333</v>
      </c>
      <c r="BN1112" s="4">
        <v>43283.219270833331</v>
      </c>
      <c r="BO1112" s="4">
        <v>43283.219270833331</v>
      </c>
      <c r="BP1112" t="s">
        <v>92</v>
      </c>
      <c r="BQ1112" t="s">
        <v>93</v>
      </c>
      <c r="BR1112" t="s">
        <v>94</v>
      </c>
    </row>
    <row r="1113" spans="1:70" x14ac:dyDescent="0.3">
      <c r="A1113" t="str">
        <f>"200589B0100"</f>
        <v>200589B0100</v>
      </c>
      <c r="B1113" t="s">
        <v>2351</v>
      </c>
      <c r="C1113">
        <v>20</v>
      </c>
      <c r="D1113" t="s">
        <v>88</v>
      </c>
      <c r="E1113">
        <v>66</v>
      </c>
      <c r="F1113" t="s">
        <v>1713</v>
      </c>
      <c r="G1113">
        <v>589</v>
      </c>
      <c r="H1113">
        <v>1</v>
      </c>
      <c r="I1113" t="s">
        <v>90</v>
      </c>
      <c r="J1113">
        <v>0</v>
      </c>
      <c r="K1113">
        <v>1</v>
      </c>
      <c r="L1113">
        <v>5</v>
      </c>
      <c r="M1113">
        <v>204</v>
      </c>
      <c r="N1113">
        <v>466</v>
      </c>
      <c r="O1113">
        <v>6</v>
      </c>
      <c r="P1113">
        <v>464</v>
      </c>
      <c r="Q1113">
        <v>98</v>
      </c>
      <c r="R1113">
        <v>82</v>
      </c>
      <c r="S1113">
        <v>18</v>
      </c>
      <c r="T1113">
        <v>5</v>
      </c>
      <c r="U1113">
        <v>12</v>
      </c>
      <c r="V1113">
        <v>8</v>
      </c>
      <c r="W1113">
        <v>16</v>
      </c>
      <c r="X1113">
        <v>5</v>
      </c>
      <c r="Y1113">
        <v>168</v>
      </c>
      <c r="Z1113">
        <v>11</v>
      </c>
      <c r="AA1113">
        <v>4</v>
      </c>
      <c r="AB1113">
        <v>8</v>
      </c>
      <c r="AC1113">
        <v>3</v>
      </c>
      <c r="AD1113">
        <v>5</v>
      </c>
      <c r="AE1113">
        <v>0</v>
      </c>
      <c r="AF1113">
        <v>0</v>
      </c>
      <c r="AK1113">
        <v>2</v>
      </c>
      <c r="AL1113">
        <v>3</v>
      </c>
      <c r="AM1113">
        <v>0</v>
      </c>
      <c r="AN1113">
        <v>2</v>
      </c>
      <c r="AT1113">
        <v>2</v>
      </c>
      <c r="BC1113">
        <v>0</v>
      </c>
      <c r="BD1113">
        <v>12</v>
      </c>
      <c r="BE1113">
        <v>464</v>
      </c>
      <c r="BF1113">
        <v>464</v>
      </c>
      <c r="BG1113">
        <v>646</v>
      </c>
      <c r="BJ1113">
        <v>1</v>
      </c>
      <c r="BL1113" t="s">
        <v>2352</v>
      </c>
      <c r="BM1113" s="4">
        <v>43283.04791666667</v>
      </c>
      <c r="BN1113" s="4">
        <v>43283.052303240744</v>
      </c>
      <c r="BO1113" s="4">
        <v>43283.052303240744</v>
      </c>
      <c r="BP1113" t="s">
        <v>92</v>
      </c>
      <c r="BQ1113" t="s">
        <v>93</v>
      </c>
      <c r="BR1113" t="s">
        <v>94</v>
      </c>
    </row>
    <row r="1114" spans="1:70" x14ac:dyDescent="0.3">
      <c r="A1114" t="str">
        <f>"200589C0100"</f>
        <v>200589C0100</v>
      </c>
      <c r="B1114" t="s">
        <v>2353</v>
      </c>
      <c r="C1114">
        <v>20</v>
      </c>
      <c r="D1114" t="s">
        <v>88</v>
      </c>
      <c r="E1114">
        <v>66</v>
      </c>
      <c r="F1114" t="s">
        <v>1713</v>
      </c>
      <c r="G1114">
        <v>589</v>
      </c>
      <c r="H1114">
        <v>1</v>
      </c>
      <c r="I1114" t="s">
        <v>98</v>
      </c>
      <c r="J1114">
        <v>0</v>
      </c>
      <c r="K1114">
        <v>1</v>
      </c>
      <c r="L1114">
        <v>5</v>
      </c>
      <c r="M1114">
        <v>211</v>
      </c>
      <c r="N1114">
        <v>0</v>
      </c>
      <c r="O1114" t="s">
        <v>105</v>
      </c>
      <c r="P1114">
        <v>456</v>
      </c>
      <c r="Q1114">
        <v>67</v>
      </c>
      <c r="R1114">
        <v>88</v>
      </c>
      <c r="S1114">
        <v>8</v>
      </c>
      <c r="T1114">
        <v>6</v>
      </c>
      <c r="U1114">
        <v>18</v>
      </c>
      <c r="V1114">
        <v>10</v>
      </c>
      <c r="W1114">
        <v>6</v>
      </c>
      <c r="X1114">
        <v>6</v>
      </c>
      <c r="Y1114">
        <v>189</v>
      </c>
      <c r="Z1114">
        <v>8</v>
      </c>
      <c r="AA1114">
        <v>5</v>
      </c>
      <c r="AB1114">
        <v>15</v>
      </c>
      <c r="AC1114">
        <v>1</v>
      </c>
      <c r="AD1114">
        <v>2</v>
      </c>
      <c r="AE1114">
        <v>1</v>
      </c>
      <c r="AF1114">
        <v>0</v>
      </c>
      <c r="AK1114">
        <v>8</v>
      </c>
      <c r="AL1114">
        <v>2</v>
      </c>
      <c r="AM1114">
        <v>0</v>
      </c>
      <c r="AN1114">
        <v>1</v>
      </c>
      <c r="AT1114" t="s">
        <v>105</v>
      </c>
      <c r="BC1114" t="s">
        <v>105</v>
      </c>
      <c r="BD1114" t="s">
        <v>105</v>
      </c>
      <c r="BE1114">
        <v>456</v>
      </c>
      <c r="BF1114">
        <v>441</v>
      </c>
      <c r="BG1114">
        <v>645</v>
      </c>
      <c r="BI1114" t="s">
        <v>106</v>
      </c>
      <c r="BJ1114">
        <v>1</v>
      </c>
      <c r="BL1114" t="s">
        <v>2354</v>
      </c>
      <c r="BM1114" s="4">
        <v>43283.147222222222</v>
      </c>
      <c r="BN1114" s="4">
        <v>43283.161631944444</v>
      </c>
      <c r="BO1114" s="4">
        <v>43283.161631944444</v>
      </c>
      <c r="BP1114" t="s">
        <v>92</v>
      </c>
      <c r="BQ1114" t="s">
        <v>93</v>
      </c>
      <c r="BR1114" t="s">
        <v>94</v>
      </c>
    </row>
    <row r="1115" spans="1:70" x14ac:dyDescent="0.3">
      <c r="A1115" t="str">
        <f>"200590B0100"</f>
        <v>200590B0100</v>
      </c>
      <c r="B1115" t="s">
        <v>2355</v>
      </c>
      <c r="C1115">
        <v>20</v>
      </c>
      <c r="D1115" t="s">
        <v>88</v>
      </c>
      <c r="E1115">
        <v>66</v>
      </c>
      <c r="F1115" t="s">
        <v>1713</v>
      </c>
      <c r="G1115">
        <v>590</v>
      </c>
      <c r="H1115">
        <v>1</v>
      </c>
      <c r="I1115" t="s">
        <v>90</v>
      </c>
      <c r="J1115">
        <v>0</v>
      </c>
      <c r="K1115">
        <v>1</v>
      </c>
      <c r="L1115">
        <v>5</v>
      </c>
      <c r="M1115">
        <v>312</v>
      </c>
      <c r="N1115">
        <v>367</v>
      </c>
      <c r="O1115">
        <v>5</v>
      </c>
      <c r="P1115">
        <v>335</v>
      </c>
      <c r="Q1115">
        <v>84</v>
      </c>
      <c r="R1115">
        <v>38</v>
      </c>
      <c r="S1115">
        <v>6</v>
      </c>
      <c r="T1115">
        <v>3</v>
      </c>
      <c r="U1115">
        <v>13</v>
      </c>
      <c r="V1115">
        <v>10</v>
      </c>
      <c r="W1115">
        <v>5</v>
      </c>
      <c r="X1115">
        <v>5</v>
      </c>
      <c r="Y1115">
        <v>164</v>
      </c>
      <c r="Z1115">
        <v>9</v>
      </c>
      <c r="AA1115">
        <v>1</v>
      </c>
      <c r="AB1115">
        <v>5</v>
      </c>
      <c r="AC1115">
        <v>0</v>
      </c>
      <c r="AD1115">
        <v>1</v>
      </c>
      <c r="AE1115">
        <v>0</v>
      </c>
      <c r="AF1115">
        <v>0</v>
      </c>
      <c r="AK1115">
        <v>3</v>
      </c>
      <c r="AL1115">
        <v>3</v>
      </c>
      <c r="AM1115">
        <v>0</v>
      </c>
      <c r="AN1115">
        <v>3</v>
      </c>
      <c r="AT1115">
        <v>2</v>
      </c>
      <c r="BC1115">
        <v>0</v>
      </c>
      <c r="BD1115">
        <v>12</v>
      </c>
      <c r="BE1115">
        <v>367</v>
      </c>
      <c r="BF1115">
        <v>367</v>
      </c>
      <c r="BG1115">
        <v>653</v>
      </c>
      <c r="BJ1115">
        <v>1</v>
      </c>
      <c r="BL1115" s="2" t="s">
        <v>2356</v>
      </c>
      <c r="BM1115" s="4">
        <v>43282.981203703705</v>
      </c>
      <c r="BN1115" s="4">
        <v>43282.985856481479</v>
      </c>
      <c r="BO1115" s="4">
        <v>43282.985856481479</v>
      </c>
      <c r="BP1115" t="s">
        <v>339</v>
      </c>
      <c r="BQ1115" t="s">
        <v>340</v>
      </c>
      <c r="BR1115" t="s">
        <v>94</v>
      </c>
    </row>
    <row r="1116" spans="1:70" x14ac:dyDescent="0.3">
      <c r="A1116" t="str">
        <f>"200590C0100"</f>
        <v>200590C0100</v>
      </c>
      <c r="B1116" t="s">
        <v>2357</v>
      </c>
      <c r="C1116">
        <v>20</v>
      </c>
      <c r="D1116" t="s">
        <v>88</v>
      </c>
      <c r="E1116">
        <v>66</v>
      </c>
      <c r="F1116" t="s">
        <v>1713</v>
      </c>
      <c r="G1116">
        <v>590</v>
      </c>
      <c r="H1116">
        <v>1</v>
      </c>
      <c r="I1116" t="s">
        <v>98</v>
      </c>
      <c r="J1116">
        <v>0</v>
      </c>
      <c r="K1116">
        <v>1</v>
      </c>
      <c r="L1116">
        <v>5</v>
      </c>
      <c r="M1116">
        <v>286</v>
      </c>
      <c r="N1116">
        <v>386</v>
      </c>
      <c r="O1116">
        <v>4</v>
      </c>
      <c r="P1116">
        <v>367</v>
      </c>
      <c r="Q1116">
        <v>72</v>
      </c>
      <c r="R1116">
        <v>32</v>
      </c>
      <c r="S1116">
        <v>16</v>
      </c>
      <c r="T1116">
        <v>5</v>
      </c>
      <c r="U1116">
        <v>6</v>
      </c>
      <c r="V1116">
        <v>7</v>
      </c>
      <c r="W1116">
        <v>8</v>
      </c>
      <c r="X1116">
        <v>5</v>
      </c>
      <c r="Y1116">
        <v>195</v>
      </c>
      <c r="Z1116">
        <v>2</v>
      </c>
      <c r="AA1116">
        <v>2</v>
      </c>
      <c r="AB1116">
        <v>3</v>
      </c>
      <c r="AC1116">
        <v>0</v>
      </c>
      <c r="AD1116">
        <v>1</v>
      </c>
      <c r="AE1116">
        <v>0</v>
      </c>
      <c r="AF1116">
        <v>0</v>
      </c>
      <c r="AK1116">
        <v>4</v>
      </c>
      <c r="AL1116">
        <v>3</v>
      </c>
      <c r="AM1116">
        <v>0</v>
      </c>
      <c r="AN1116">
        <v>1</v>
      </c>
      <c r="AT1116">
        <v>3</v>
      </c>
      <c r="BC1116">
        <v>0</v>
      </c>
      <c r="BD1116">
        <v>19</v>
      </c>
      <c r="BE1116">
        <v>384</v>
      </c>
      <c r="BF1116">
        <v>384</v>
      </c>
      <c r="BG1116">
        <v>652</v>
      </c>
      <c r="BJ1116">
        <v>1</v>
      </c>
      <c r="BL1116" t="s">
        <v>2358</v>
      </c>
      <c r="BM1116" s="4">
        <v>43283.03701388889</v>
      </c>
      <c r="BN1116" s="4">
        <v>43283.041354166664</v>
      </c>
      <c r="BO1116" s="4">
        <v>43283.041354166664</v>
      </c>
      <c r="BP1116" t="s">
        <v>339</v>
      </c>
      <c r="BQ1116" t="s">
        <v>340</v>
      </c>
      <c r="BR1116" t="s">
        <v>94</v>
      </c>
    </row>
    <row r="1117" spans="1:70" x14ac:dyDescent="0.3">
      <c r="A1117" t="str">
        <f>"200591B0100"</f>
        <v>200591B0100</v>
      </c>
      <c r="B1117" t="s">
        <v>2359</v>
      </c>
      <c r="C1117">
        <v>20</v>
      </c>
      <c r="D1117" t="s">
        <v>88</v>
      </c>
      <c r="E1117">
        <v>66</v>
      </c>
      <c r="F1117" t="s">
        <v>1713</v>
      </c>
      <c r="G1117">
        <v>591</v>
      </c>
      <c r="H1117">
        <v>1</v>
      </c>
      <c r="I1117" t="s">
        <v>90</v>
      </c>
      <c r="J1117">
        <v>0</v>
      </c>
      <c r="K1117">
        <v>1</v>
      </c>
      <c r="L1117">
        <v>5</v>
      </c>
      <c r="M1117">
        <v>217</v>
      </c>
      <c r="N1117">
        <v>402</v>
      </c>
      <c r="O1117">
        <v>5</v>
      </c>
      <c r="P1117">
        <v>402</v>
      </c>
      <c r="Q1117">
        <v>68</v>
      </c>
      <c r="R1117">
        <v>58</v>
      </c>
      <c r="S1117">
        <v>7</v>
      </c>
      <c r="T1117">
        <v>6</v>
      </c>
      <c r="U1117">
        <v>15</v>
      </c>
      <c r="V1117">
        <v>9</v>
      </c>
      <c r="W1117">
        <v>6</v>
      </c>
      <c r="X1117">
        <v>2</v>
      </c>
      <c r="Y1117">
        <v>183</v>
      </c>
      <c r="Z1117">
        <v>3</v>
      </c>
      <c r="AA1117">
        <v>6</v>
      </c>
      <c r="AB1117">
        <v>22</v>
      </c>
      <c r="AC1117">
        <v>3</v>
      </c>
      <c r="AD1117">
        <v>0</v>
      </c>
      <c r="AE1117">
        <v>0</v>
      </c>
      <c r="AF1117">
        <v>0</v>
      </c>
      <c r="AK1117">
        <v>4</v>
      </c>
      <c r="AL1117">
        <v>0</v>
      </c>
      <c r="AM1117">
        <v>0</v>
      </c>
      <c r="AN1117">
        <v>1</v>
      </c>
      <c r="AT1117">
        <v>1</v>
      </c>
      <c r="BC1117">
        <v>0</v>
      </c>
      <c r="BD1117">
        <v>6</v>
      </c>
      <c r="BE1117">
        <v>402</v>
      </c>
      <c r="BF1117">
        <v>400</v>
      </c>
      <c r="BG1117">
        <v>606</v>
      </c>
      <c r="BJ1117">
        <v>1</v>
      </c>
      <c r="BL1117" t="s">
        <v>2360</v>
      </c>
      <c r="BM1117" s="4">
        <v>43283.028240740743</v>
      </c>
      <c r="BN1117" s="4">
        <v>43283.032442129632</v>
      </c>
      <c r="BO1117" s="4">
        <v>43283.032442129632</v>
      </c>
      <c r="BP1117" t="s">
        <v>339</v>
      </c>
      <c r="BQ1117" t="s">
        <v>340</v>
      </c>
      <c r="BR1117" t="s">
        <v>94</v>
      </c>
    </row>
    <row r="1118" spans="1:70" x14ac:dyDescent="0.3">
      <c r="A1118" t="str">
        <f>"200591C0100"</f>
        <v>200591C0100</v>
      </c>
      <c r="B1118" t="s">
        <v>2361</v>
      </c>
      <c r="C1118">
        <v>20</v>
      </c>
      <c r="D1118" t="s">
        <v>88</v>
      </c>
      <c r="E1118">
        <v>66</v>
      </c>
      <c r="F1118" t="s">
        <v>1713</v>
      </c>
      <c r="G1118">
        <v>591</v>
      </c>
      <c r="H1118">
        <v>1</v>
      </c>
      <c r="I1118" t="s">
        <v>98</v>
      </c>
      <c r="J1118">
        <v>0</v>
      </c>
      <c r="K1118">
        <v>1</v>
      </c>
      <c r="L1118">
        <v>5</v>
      </c>
      <c r="M1118">
        <v>261</v>
      </c>
      <c r="N1118">
        <v>366</v>
      </c>
      <c r="O1118">
        <v>5</v>
      </c>
      <c r="P1118" t="s">
        <v>105</v>
      </c>
      <c r="Q1118">
        <v>61</v>
      </c>
      <c r="R1118">
        <v>22</v>
      </c>
      <c r="S1118">
        <v>12</v>
      </c>
      <c r="T1118">
        <v>7</v>
      </c>
      <c r="U1118">
        <v>14</v>
      </c>
      <c r="V1118">
        <v>6</v>
      </c>
      <c r="W1118">
        <v>4</v>
      </c>
      <c r="X1118">
        <v>5</v>
      </c>
      <c r="Y1118">
        <v>173</v>
      </c>
      <c r="Z1118">
        <v>3</v>
      </c>
      <c r="AA1118">
        <v>1</v>
      </c>
      <c r="AB1118">
        <v>12</v>
      </c>
      <c r="AC1118">
        <v>5</v>
      </c>
      <c r="AD1118" t="s">
        <v>105</v>
      </c>
      <c r="AE1118" t="s">
        <v>105</v>
      </c>
      <c r="AF1118" t="s">
        <v>105</v>
      </c>
      <c r="AK1118" t="s">
        <v>105</v>
      </c>
      <c r="AL1118" t="s">
        <v>105</v>
      </c>
      <c r="AM1118" t="s">
        <v>105</v>
      </c>
      <c r="AN1118" t="s">
        <v>105</v>
      </c>
      <c r="AT1118" t="s">
        <v>105</v>
      </c>
      <c r="BC1118">
        <v>7</v>
      </c>
      <c r="BD1118">
        <v>7</v>
      </c>
      <c r="BE1118">
        <v>372</v>
      </c>
      <c r="BF1118">
        <v>339</v>
      </c>
      <c r="BG1118">
        <v>605</v>
      </c>
      <c r="BI1118" t="s">
        <v>106</v>
      </c>
      <c r="BJ1118">
        <v>1</v>
      </c>
      <c r="BL1118" t="s">
        <v>2362</v>
      </c>
      <c r="BM1118" s="4">
        <v>43282.994768518518</v>
      </c>
      <c r="BN1118" s="4">
        <v>43283.00105324074</v>
      </c>
      <c r="BO1118" s="4">
        <v>43283.00105324074</v>
      </c>
      <c r="BP1118" t="s">
        <v>339</v>
      </c>
      <c r="BQ1118" t="s">
        <v>340</v>
      </c>
      <c r="BR1118" t="s">
        <v>94</v>
      </c>
    </row>
    <row r="1119" spans="1:70" x14ac:dyDescent="0.3">
      <c r="A1119" t="str">
        <f>"200592B0100"</f>
        <v>200592B0100</v>
      </c>
      <c r="B1119" t="s">
        <v>2363</v>
      </c>
      <c r="C1119">
        <v>20</v>
      </c>
      <c r="D1119" t="s">
        <v>88</v>
      </c>
      <c r="E1119">
        <v>66</v>
      </c>
      <c r="F1119" t="s">
        <v>1713</v>
      </c>
      <c r="G1119">
        <v>592</v>
      </c>
      <c r="H1119">
        <v>1</v>
      </c>
      <c r="I1119" t="s">
        <v>90</v>
      </c>
      <c r="J1119">
        <v>0</v>
      </c>
      <c r="K1119">
        <v>1</v>
      </c>
      <c r="L1119">
        <v>5</v>
      </c>
      <c r="M1119">
        <v>235</v>
      </c>
      <c r="N1119">
        <v>425</v>
      </c>
      <c r="O1119">
        <v>0</v>
      </c>
      <c r="P1119">
        <v>0</v>
      </c>
      <c r="Q1119">
        <v>64</v>
      </c>
      <c r="R1119">
        <v>51</v>
      </c>
      <c r="S1119">
        <v>12</v>
      </c>
      <c r="T1119">
        <v>9</v>
      </c>
      <c r="U1119">
        <v>19</v>
      </c>
      <c r="V1119">
        <v>7</v>
      </c>
      <c r="W1119">
        <v>16</v>
      </c>
      <c r="X1119">
        <v>3</v>
      </c>
      <c r="Y1119">
        <v>194</v>
      </c>
      <c r="Z1119">
        <v>13</v>
      </c>
      <c r="AA1119">
        <v>2</v>
      </c>
      <c r="AB1119">
        <v>17</v>
      </c>
      <c r="AC1119">
        <v>1</v>
      </c>
      <c r="AD1119">
        <v>3</v>
      </c>
      <c r="AE1119">
        <v>0</v>
      </c>
      <c r="AF1119">
        <v>0</v>
      </c>
      <c r="AK1119">
        <v>3</v>
      </c>
      <c r="AL1119">
        <v>2</v>
      </c>
      <c r="AM1119">
        <v>0</v>
      </c>
      <c r="AN1119">
        <v>0</v>
      </c>
      <c r="AT1119">
        <v>1</v>
      </c>
      <c r="BC1119">
        <v>0</v>
      </c>
      <c r="BD1119">
        <v>8</v>
      </c>
      <c r="BE1119">
        <v>425</v>
      </c>
      <c r="BF1119">
        <v>425</v>
      </c>
      <c r="BG1119">
        <v>639</v>
      </c>
      <c r="BJ1119">
        <v>1</v>
      </c>
      <c r="BL1119" t="s">
        <v>2364</v>
      </c>
      <c r="BM1119" s="4">
        <v>43283.171527777777</v>
      </c>
      <c r="BN1119" s="4">
        <v>43283.188715277778</v>
      </c>
      <c r="BO1119" s="4">
        <v>43283.188715277778</v>
      </c>
      <c r="BP1119" t="s">
        <v>92</v>
      </c>
      <c r="BQ1119" t="s">
        <v>93</v>
      </c>
      <c r="BR1119" t="s">
        <v>94</v>
      </c>
    </row>
    <row r="1120" spans="1:70" x14ac:dyDescent="0.3">
      <c r="A1120" t="str">
        <f>"200592C0100"</f>
        <v>200592C0100</v>
      </c>
      <c r="B1120" t="s">
        <v>2365</v>
      </c>
      <c r="C1120">
        <v>20</v>
      </c>
      <c r="D1120" t="s">
        <v>88</v>
      </c>
      <c r="E1120">
        <v>66</v>
      </c>
      <c r="F1120" t="s">
        <v>1713</v>
      </c>
      <c r="G1120">
        <v>592</v>
      </c>
      <c r="H1120">
        <v>1</v>
      </c>
      <c r="I1120" t="s">
        <v>98</v>
      </c>
      <c r="J1120">
        <v>0</v>
      </c>
      <c r="K1120">
        <v>1</v>
      </c>
      <c r="L1120">
        <v>5</v>
      </c>
      <c r="M1120">
        <v>217</v>
      </c>
      <c r="N1120">
        <v>445</v>
      </c>
      <c r="O1120">
        <v>4</v>
      </c>
      <c r="P1120" t="s">
        <v>105</v>
      </c>
      <c r="Q1120">
        <v>59</v>
      </c>
      <c r="R1120">
        <v>60</v>
      </c>
      <c r="S1120">
        <v>12</v>
      </c>
      <c r="T1120">
        <v>8</v>
      </c>
      <c r="U1120">
        <v>16</v>
      </c>
      <c r="V1120">
        <v>11</v>
      </c>
      <c r="W1120">
        <v>5</v>
      </c>
      <c r="X1120">
        <v>7</v>
      </c>
      <c r="Y1120">
        <v>216</v>
      </c>
      <c r="Z1120">
        <v>7</v>
      </c>
      <c r="AA1120">
        <v>6</v>
      </c>
      <c r="AB1120">
        <v>14</v>
      </c>
      <c r="AC1120" t="s">
        <v>105</v>
      </c>
      <c r="AD1120" t="s">
        <v>105</v>
      </c>
      <c r="AE1120" t="s">
        <v>105</v>
      </c>
      <c r="AF1120" t="s">
        <v>105</v>
      </c>
      <c r="AK1120">
        <v>6</v>
      </c>
      <c r="AL1120" t="s">
        <v>105</v>
      </c>
      <c r="AM1120" t="s">
        <v>105</v>
      </c>
      <c r="AN1120" t="s">
        <v>105</v>
      </c>
      <c r="AT1120">
        <v>4</v>
      </c>
      <c r="BC1120" t="s">
        <v>105</v>
      </c>
      <c r="BD1120">
        <v>13</v>
      </c>
      <c r="BE1120">
        <v>444</v>
      </c>
      <c r="BF1120">
        <v>444</v>
      </c>
      <c r="BG1120">
        <v>639</v>
      </c>
      <c r="BI1120" t="s">
        <v>106</v>
      </c>
      <c r="BJ1120">
        <v>1</v>
      </c>
      <c r="BL1120" t="s">
        <v>2366</v>
      </c>
      <c r="BM1120" s="4">
        <v>43282.956967592596</v>
      </c>
      <c r="BN1120" s="4">
        <v>43282.962245370371</v>
      </c>
      <c r="BO1120" s="4">
        <v>43282.962245370371</v>
      </c>
      <c r="BP1120" t="s">
        <v>339</v>
      </c>
      <c r="BQ1120" t="s">
        <v>340</v>
      </c>
      <c r="BR1120" t="s">
        <v>94</v>
      </c>
    </row>
    <row r="1121" spans="1:70" x14ac:dyDescent="0.3">
      <c r="A1121" t="str">
        <f>"200593B0100"</f>
        <v>200593B0100</v>
      </c>
      <c r="B1121" t="s">
        <v>2367</v>
      </c>
      <c r="C1121">
        <v>20</v>
      </c>
      <c r="D1121" t="s">
        <v>88</v>
      </c>
      <c r="E1121">
        <v>66</v>
      </c>
      <c r="F1121" t="s">
        <v>1713</v>
      </c>
      <c r="G1121">
        <v>593</v>
      </c>
      <c r="H1121">
        <v>1</v>
      </c>
      <c r="I1121" t="s">
        <v>90</v>
      </c>
      <c r="J1121">
        <v>0</v>
      </c>
      <c r="K1121">
        <v>1</v>
      </c>
      <c r="L1121">
        <v>5</v>
      </c>
      <c r="M1121">
        <v>255</v>
      </c>
      <c r="N1121">
        <v>430</v>
      </c>
      <c r="O1121">
        <v>4</v>
      </c>
      <c r="P1121">
        <v>406</v>
      </c>
      <c r="Q1121">
        <v>63</v>
      </c>
      <c r="R1121">
        <v>61</v>
      </c>
      <c r="S1121">
        <v>10</v>
      </c>
      <c r="T1121">
        <v>8</v>
      </c>
      <c r="U1121">
        <v>15</v>
      </c>
      <c r="V1121">
        <v>11</v>
      </c>
      <c r="W1121">
        <v>7</v>
      </c>
      <c r="X1121">
        <v>5</v>
      </c>
      <c r="Y1121">
        <v>183</v>
      </c>
      <c r="Z1121">
        <v>7</v>
      </c>
      <c r="AA1121">
        <v>0</v>
      </c>
      <c r="AB1121">
        <v>7</v>
      </c>
      <c r="AC1121">
        <v>0</v>
      </c>
      <c r="AD1121">
        <v>1</v>
      </c>
      <c r="AE1121">
        <v>2</v>
      </c>
      <c r="AF1121">
        <v>0</v>
      </c>
      <c r="AK1121">
        <v>11</v>
      </c>
      <c r="AL1121">
        <v>0</v>
      </c>
      <c r="AM1121">
        <v>0</v>
      </c>
      <c r="AN1121">
        <v>1</v>
      </c>
      <c r="AT1121">
        <v>4</v>
      </c>
      <c r="BC1121">
        <v>0</v>
      </c>
      <c r="BD1121">
        <v>10</v>
      </c>
      <c r="BE1121">
        <v>406</v>
      </c>
      <c r="BF1121">
        <v>406</v>
      </c>
      <c r="BG1121">
        <v>645</v>
      </c>
      <c r="BJ1121">
        <v>1</v>
      </c>
      <c r="BL1121" t="s">
        <v>2368</v>
      </c>
      <c r="BM1121" s="4">
        <v>43283.178472222222</v>
      </c>
      <c r="BN1121" s="4">
        <v>43283.195405092592</v>
      </c>
      <c r="BO1121" s="4">
        <v>43283.195405092592</v>
      </c>
      <c r="BP1121" t="s">
        <v>92</v>
      </c>
      <c r="BQ1121" t="s">
        <v>93</v>
      </c>
      <c r="BR1121" t="s">
        <v>94</v>
      </c>
    </row>
    <row r="1122" spans="1:70" x14ac:dyDescent="0.3">
      <c r="A1122" t="str">
        <f>"200593C0100"</f>
        <v>200593C0100</v>
      </c>
      <c r="B1122" t="s">
        <v>2369</v>
      </c>
      <c r="C1122">
        <v>20</v>
      </c>
      <c r="D1122" t="s">
        <v>88</v>
      </c>
      <c r="E1122">
        <v>66</v>
      </c>
      <c r="F1122" t="s">
        <v>1713</v>
      </c>
      <c r="G1122">
        <v>593</v>
      </c>
      <c r="H1122">
        <v>1</v>
      </c>
      <c r="I1122" t="s">
        <v>98</v>
      </c>
      <c r="J1122">
        <v>0</v>
      </c>
      <c r="K1122">
        <v>1</v>
      </c>
      <c r="L1122">
        <v>5</v>
      </c>
      <c r="M1122">
        <v>268</v>
      </c>
      <c r="N1122">
        <v>398</v>
      </c>
      <c r="O1122">
        <v>3</v>
      </c>
      <c r="P1122">
        <v>399</v>
      </c>
      <c r="Q1122">
        <v>77</v>
      </c>
      <c r="R1122">
        <v>58</v>
      </c>
      <c r="S1122">
        <v>20</v>
      </c>
      <c r="T1122">
        <v>3</v>
      </c>
      <c r="U1122">
        <v>17</v>
      </c>
      <c r="V1122">
        <v>13</v>
      </c>
      <c r="W1122">
        <v>8</v>
      </c>
      <c r="X1122" t="s">
        <v>105</v>
      </c>
      <c r="Y1122">
        <v>153</v>
      </c>
      <c r="Z1122">
        <v>13</v>
      </c>
      <c r="AA1122">
        <v>1</v>
      </c>
      <c r="AB1122">
        <v>9</v>
      </c>
      <c r="AC1122">
        <v>4</v>
      </c>
      <c r="AD1122" t="s">
        <v>105</v>
      </c>
      <c r="AE1122" t="s">
        <v>105</v>
      </c>
      <c r="AF1122" t="s">
        <v>105</v>
      </c>
      <c r="AK1122">
        <v>3</v>
      </c>
      <c r="AL1122">
        <v>5</v>
      </c>
      <c r="AM1122">
        <v>2</v>
      </c>
      <c r="AN1122" t="s">
        <v>105</v>
      </c>
      <c r="AT1122">
        <v>2</v>
      </c>
      <c r="BC1122" t="s">
        <v>105</v>
      </c>
      <c r="BD1122">
        <v>11</v>
      </c>
      <c r="BE1122">
        <v>399</v>
      </c>
      <c r="BF1122">
        <v>399</v>
      </c>
      <c r="BG1122">
        <v>645</v>
      </c>
      <c r="BI1122" t="s">
        <v>106</v>
      </c>
      <c r="BJ1122">
        <v>1</v>
      </c>
      <c r="BL1122" t="s">
        <v>2370</v>
      </c>
      <c r="BM1122" s="4">
        <v>43283.182638888888</v>
      </c>
      <c r="BN1122" s="4">
        <v>43283.200868055559</v>
      </c>
      <c r="BO1122" s="4">
        <v>43283.200868055559</v>
      </c>
      <c r="BP1122" t="s">
        <v>92</v>
      </c>
      <c r="BQ1122" t="s">
        <v>93</v>
      </c>
      <c r="BR1122" t="s">
        <v>94</v>
      </c>
    </row>
    <row r="1123" spans="1:70" x14ac:dyDescent="0.3">
      <c r="A1123" t="str">
        <f>"200593C0200"</f>
        <v>200593C0200</v>
      </c>
      <c r="B1123" t="s">
        <v>2371</v>
      </c>
      <c r="C1123">
        <v>20</v>
      </c>
      <c r="D1123" t="s">
        <v>88</v>
      </c>
      <c r="E1123">
        <v>66</v>
      </c>
      <c r="F1123" t="s">
        <v>1713</v>
      </c>
      <c r="G1123">
        <v>593</v>
      </c>
      <c r="H1123">
        <v>2</v>
      </c>
      <c r="I1123" t="s">
        <v>98</v>
      </c>
      <c r="J1123">
        <v>0</v>
      </c>
      <c r="K1123">
        <v>1</v>
      </c>
      <c r="L1123">
        <v>5</v>
      </c>
      <c r="M1123" t="s">
        <v>105</v>
      </c>
      <c r="N1123" t="s">
        <v>105</v>
      </c>
      <c r="O1123" t="s">
        <v>105</v>
      </c>
      <c r="P1123" t="s">
        <v>105</v>
      </c>
      <c r="Q1123">
        <v>52</v>
      </c>
      <c r="R1123">
        <v>53</v>
      </c>
      <c r="S1123">
        <v>13</v>
      </c>
      <c r="T1123">
        <v>8</v>
      </c>
      <c r="U1123">
        <v>14</v>
      </c>
      <c r="V1123">
        <v>8</v>
      </c>
      <c r="W1123">
        <v>5</v>
      </c>
      <c r="X1123">
        <v>4</v>
      </c>
      <c r="Y1123">
        <v>158</v>
      </c>
      <c r="Z1123">
        <v>8</v>
      </c>
      <c r="AA1123">
        <v>3</v>
      </c>
      <c r="AB1123">
        <v>9</v>
      </c>
      <c r="AC1123">
        <v>4</v>
      </c>
      <c r="AD1123">
        <v>0</v>
      </c>
      <c r="AE1123">
        <v>0</v>
      </c>
      <c r="AF1123">
        <v>0</v>
      </c>
      <c r="AK1123">
        <v>6</v>
      </c>
      <c r="AL1123">
        <v>4</v>
      </c>
      <c r="AM1123">
        <v>0</v>
      </c>
      <c r="AN1123">
        <v>0</v>
      </c>
      <c r="AT1123">
        <v>0</v>
      </c>
      <c r="BC1123">
        <v>0</v>
      </c>
      <c r="BD1123">
        <v>14</v>
      </c>
      <c r="BE1123">
        <v>363</v>
      </c>
      <c r="BF1123">
        <v>363</v>
      </c>
      <c r="BG1123">
        <v>645</v>
      </c>
      <c r="BJ1123">
        <v>1</v>
      </c>
      <c r="BL1123" t="s">
        <v>2372</v>
      </c>
      <c r="BM1123" s="4">
        <v>43283.179861111108</v>
      </c>
      <c r="BN1123" s="4">
        <v>43283.197835648149</v>
      </c>
      <c r="BO1123" s="4">
        <v>43283.197835648149</v>
      </c>
      <c r="BP1123" t="s">
        <v>92</v>
      </c>
      <c r="BQ1123" t="s">
        <v>93</v>
      </c>
      <c r="BR1123" t="s">
        <v>94</v>
      </c>
    </row>
    <row r="1124" spans="1:70" x14ac:dyDescent="0.3">
      <c r="A1124" t="str">
        <f>"200593C0300"</f>
        <v>200593C0300</v>
      </c>
      <c r="B1124" t="s">
        <v>2373</v>
      </c>
      <c r="C1124">
        <v>20</v>
      </c>
      <c r="D1124" t="s">
        <v>88</v>
      </c>
      <c r="E1124">
        <v>66</v>
      </c>
      <c r="F1124" t="s">
        <v>1713</v>
      </c>
      <c r="G1124">
        <v>593</v>
      </c>
      <c r="H1124">
        <v>3</v>
      </c>
      <c r="I1124" t="s">
        <v>98</v>
      </c>
      <c r="J1124">
        <v>0</v>
      </c>
      <c r="K1124">
        <v>1</v>
      </c>
      <c r="L1124">
        <v>5</v>
      </c>
      <c r="M1124">
        <v>261</v>
      </c>
      <c r="N1124">
        <v>403</v>
      </c>
      <c r="O1124">
        <v>1</v>
      </c>
      <c r="P1124">
        <v>399</v>
      </c>
      <c r="Q1124">
        <v>74</v>
      </c>
      <c r="R1124">
        <v>52</v>
      </c>
      <c r="S1124">
        <v>14</v>
      </c>
      <c r="T1124">
        <v>3</v>
      </c>
      <c r="U1124">
        <v>15</v>
      </c>
      <c r="V1124">
        <v>9</v>
      </c>
      <c r="W1124">
        <v>5</v>
      </c>
      <c r="X1124">
        <v>5</v>
      </c>
      <c r="Y1124">
        <v>170</v>
      </c>
      <c r="Z1124">
        <v>13</v>
      </c>
      <c r="AA1124">
        <v>3</v>
      </c>
      <c r="AB1124">
        <v>6</v>
      </c>
      <c r="AC1124">
        <v>1</v>
      </c>
      <c r="AD1124">
        <v>0</v>
      </c>
      <c r="AE1124">
        <v>1</v>
      </c>
      <c r="AF1124">
        <v>0</v>
      </c>
      <c r="AK1124">
        <v>7</v>
      </c>
      <c r="AL1124">
        <v>5</v>
      </c>
      <c r="AM1124">
        <v>0</v>
      </c>
      <c r="AN1124">
        <v>2</v>
      </c>
      <c r="AT1124">
        <v>1</v>
      </c>
      <c r="BC1124">
        <v>0</v>
      </c>
      <c r="BD1124">
        <v>13</v>
      </c>
      <c r="BE1124" t="s">
        <v>105</v>
      </c>
      <c r="BF1124">
        <v>399</v>
      </c>
      <c r="BG1124">
        <v>644</v>
      </c>
      <c r="BJ1124">
        <v>1</v>
      </c>
      <c r="BL1124" t="s">
        <v>2374</v>
      </c>
      <c r="BM1124" s="4">
        <v>43283.177083333336</v>
      </c>
      <c r="BN1124" s="4">
        <v>43283.19332175926</v>
      </c>
      <c r="BO1124" s="4">
        <v>43283.19332175926</v>
      </c>
      <c r="BP1124" t="s">
        <v>92</v>
      </c>
      <c r="BQ1124" t="s">
        <v>93</v>
      </c>
      <c r="BR1124" t="s">
        <v>94</v>
      </c>
    </row>
    <row r="1125" spans="1:70" x14ac:dyDescent="0.3">
      <c r="A1125" t="str">
        <f>"200593C0400"</f>
        <v>200593C0400</v>
      </c>
      <c r="B1125" t="s">
        <v>2375</v>
      </c>
      <c r="C1125">
        <v>20</v>
      </c>
      <c r="D1125" t="s">
        <v>88</v>
      </c>
      <c r="E1125">
        <v>66</v>
      </c>
      <c r="F1125" t="s">
        <v>1713</v>
      </c>
      <c r="G1125">
        <v>593</v>
      </c>
      <c r="H1125">
        <v>4</v>
      </c>
      <c r="I1125" t="s">
        <v>98</v>
      </c>
      <c r="J1125">
        <v>0</v>
      </c>
      <c r="K1125">
        <v>1</v>
      </c>
      <c r="L1125">
        <v>5</v>
      </c>
      <c r="BG1125">
        <v>644</v>
      </c>
      <c r="BI1125" t="s">
        <v>122</v>
      </c>
      <c r="BJ1125">
        <v>0</v>
      </c>
      <c r="BL1125" t="s">
        <v>2376</v>
      </c>
      <c r="BM1125" s="4">
        <v>43283.55</v>
      </c>
      <c r="BN1125" s="4">
        <v>43283.552974537037</v>
      </c>
      <c r="BO1125" s="4">
        <v>43283.552974537037</v>
      </c>
      <c r="BP1125" t="s">
        <v>92</v>
      </c>
      <c r="BQ1125" t="s">
        <v>93</v>
      </c>
      <c r="BR1125" t="s">
        <v>94</v>
      </c>
    </row>
    <row r="1126" spans="1:70" x14ac:dyDescent="0.3">
      <c r="A1126" t="str">
        <f>"200594B0100"</f>
        <v>200594B0100</v>
      </c>
      <c r="B1126" t="s">
        <v>2377</v>
      </c>
      <c r="C1126">
        <v>20</v>
      </c>
      <c r="D1126" t="s">
        <v>88</v>
      </c>
      <c r="E1126">
        <v>66</v>
      </c>
      <c r="F1126" t="s">
        <v>1713</v>
      </c>
      <c r="G1126">
        <v>594</v>
      </c>
      <c r="H1126">
        <v>1</v>
      </c>
      <c r="I1126" t="s">
        <v>90</v>
      </c>
      <c r="J1126">
        <v>0</v>
      </c>
      <c r="K1126">
        <v>1</v>
      </c>
      <c r="L1126">
        <v>5</v>
      </c>
      <c r="M1126">
        <v>256</v>
      </c>
      <c r="N1126">
        <v>5</v>
      </c>
      <c r="O1126">
        <v>5</v>
      </c>
      <c r="P1126">
        <v>343</v>
      </c>
      <c r="Q1126">
        <v>71</v>
      </c>
      <c r="R1126">
        <v>42</v>
      </c>
      <c r="S1126">
        <v>8</v>
      </c>
      <c r="T1126">
        <v>4</v>
      </c>
      <c r="U1126">
        <v>21</v>
      </c>
      <c r="V1126">
        <v>8</v>
      </c>
      <c r="W1126">
        <v>5</v>
      </c>
      <c r="X1126">
        <v>5</v>
      </c>
      <c r="Y1126">
        <v>152</v>
      </c>
      <c r="Z1126">
        <v>10</v>
      </c>
      <c r="AA1126">
        <v>1</v>
      </c>
      <c r="AB1126">
        <v>6</v>
      </c>
      <c r="AC1126">
        <v>1</v>
      </c>
      <c r="AD1126">
        <v>0</v>
      </c>
      <c r="AE1126">
        <v>0</v>
      </c>
      <c r="AF1126">
        <v>0</v>
      </c>
      <c r="AK1126">
        <v>0</v>
      </c>
      <c r="AL1126">
        <v>0</v>
      </c>
      <c r="AM1126">
        <v>0</v>
      </c>
      <c r="AN1126">
        <v>0</v>
      </c>
      <c r="AT1126">
        <v>0</v>
      </c>
      <c r="BC1126">
        <v>0</v>
      </c>
      <c r="BD1126">
        <v>0</v>
      </c>
      <c r="BE1126">
        <v>359</v>
      </c>
      <c r="BF1126">
        <v>334</v>
      </c>
      <c r="BG1126">
        <v>592</v>
      </c>
      <c r="BJ1126">
        <v>1</v>
      </c>
      <c r="BL1126" t="s">
        <v>2378</v>
      </c>
      <c r="BM1126" s="4">
        <v>43283.140972222223</v>
      </c>
      <c r="BN1126" s="4">
        <v>43283.144895833335</v>
      </c>
      <c r="BO1126" s="4">
        <v>43283.144895833335</v>
      </c>
      <c r="BP1126" t="s">
        <v>92</v>
      </c>
      <c r="BQ1126" t="s">
        <v>93</v>
      </c>
      <c r="BR1126" t="s">
        <v>94</v>
      </c>
    </row>
    <row r="1127" spans="1:70" x14ac:dyDescent="0.3">
      <c r="A1127" t="str">
        <f>"200594C0100"</f>
        <v>200594C0100</v>
      </c>
      <c r="B1127" t="s">
        <v>2379</v>
      </c>
      <c r="C1127">
        <v>20</v>
      </c>
      <c r="D1127" t="s">
        <v>88</v>
      </c>
      <c r="E1127">
        <v>66</v>
      </c>
      <c r="F1127" t="s">
        <v>1713</v>
      </c>
      <c r="G1127">
        <v>594</v>
      </c>
      <c r="H1127">
        <v>1</v>
      </c>
      <c r="I1127" t="s">
        <v>98</v>
      </c>
      <c r="J1127">
        <v>0</v>
      </c>
      <c r="K1127">
        <v>1</v>
      </c>
      <c r="L1127">
        <v>5</v>
      </c>
      <c r="M1127">
        <v>236</v>
      </c>
      <c r="N1127">
        <v>375</v>
      </c>
      <c r="O1127">
        <v>0</v>
      </c>
      <c r="P1127">
        <v>377</v>
      </c>
      <c r="Q1127">
        <v>71</v>
      </c>
      <c r="R1127">
        <v>46</v>
      </c>
      <c r="S1127">
        <v>16</v>
      </c>
      <c r="T1127">
        <v>5</v>
      </c>
      <c r="U1127">
        <v>24</v>
      </c>
      <c r="V1127">
        <v>13</v>
      </c>
      <c r="W1127">
        <v>7</v>
      </c>
      <c r="X1127">
        <v>4</v>
      </c>
      <c r="Y1127">
        <v>151</v>
      </c>
      <c r="Z1127">
        <v>5</v>
      </c>
      <c r="AA1127">
        <v>3</v>
      </c>
      <c r="AB1127">
        <v>8</v>
      </c>
      <c r="AC1127">
        <v>1</v>
      </c>
      <c r="AD1127">
        <v>2</v>
      </c>
      <c r="AE1127">
        <v>0</v>
      </c>
      <c r="AF1127">
        <v>0</v>
      </c>
      <c r="AK1127">
        <v>9</v>
      </c>
      <c r="AL1127">
        <v>1</v>
      </c>
      <c r="AM1127">
        <v>0</v>
      </c>
      <c r="AN1127">
        <v>0</v>
      </c>
      <c r="AT1127">
        <v>1</v>
      </c>
      <c r="BC1127">
        <v>0</v>
      </c>
      <c r="BD1127">
        <v>10</v>
      </c>
      <c r="BE1127">
        <v>377</v>
      </c>
      <c r="BF1127">
        <v>377</v>
      </c>
      <c r="BG1127">
        <v>592</v>
      </c>
      <c r="BJ1127">
        <v>1</v>
      </c>
      <c r="BL1127" t="s">
        <v>2380</v>
      </c>
      <c r="BM1127" s="4">
        <v>43283.136805555558</v>
      </c>
      <c r="BN1127" s="4">
        <v>43283.140775462962</v>
      </c>
      <c r="BO1127" s="4">
        <v>43283.140775462962</v>
      </c>
      <c r="BP1127" t="s">
        <v>92</v>
      </c>
      <c r="BQ1127" t="s">
        <v>93</v>
      </c>
      <c r="BR1127" t="s">
        <v>94</v>
      </c>
    </row>
    <row r="1128" spans="1:70" x14ac:dyDescent="0.3">
      <c r="A1128" t="str">
        <f>"200594C0200"</f>
        <v>200594C0200</v>
      </c>
      <c r="B1128" t="s">
        <v>2381</v>
      </c>
      <c r="C1128">
        <v>20</v>
      </c>
      <c r="D1128" t="s">
        <v>88</v>
      </c>
      <c r="E1128">
        <v>66</v>
      </c>
      <c r="F1128" t="s">
        <v>1713</v>
      </c>
      <c r="G1128">
        <v>594</v>
      </c>
      <c r="H1128">
        <v>2</v>
      </c>
      <c r="I1128" t="s">
        <v>98</v>
      </c>
      <c r="J1128">
        <v>0</v>
      </c>
      <c r="K1128">
        <v>1</v>
      </c>
      <c r="L1128">
        <v>5</v>
      </c>
      <c r="M1128">
        <v>260</v>
      </c>
      <c r="N1128" t="s">
        <v>105</v>
      </c>
      <c r="O1128">
        <v>6</v>
      </c>
      <c r="P1128">
        <v>354</v>
      </c>
      <c r="Q1128">
        <v>78</v>
      </c>
      <c r="R1128">
        <v>40</v>
      </c>
      <c r="S1128">
        <v>14</v>
      </c>
      <c r="T1128">
        <v>5</v>
      </c>
      <c r="U1128">
        <v>17</v>
      </c>
      <c r="V1128">
        <v>12</v>
      </c>
      <c r="W1128">
        <v>4</v>
      </c>
      <c r="X1128">
        <v>3</v>
      </c>
      <c r="Y1128">
        <v>143</v>
      </c>
      <c r="Z1128">
        <v>9</v>
      </c>
      <c r="AA1128">
        <v>1</v>
      </c>
      <c r="AB1128">
        <v>4</v>
      </c>
      <c r="AC1128">
        <v>3</v>
      </c>
      <c r="AD1128">
        <v>0</v>
      </c>
      <c r="AE1128">
        <v>0</v>
      </c>
      <c r="AF1128">
        <v>0</v>
      </c>
      <c r="AK1128">
        <v>5</v>
      </c>
      <c r="AL1128">
        <v>0</v>
      </c>
      <c r="AM1128">
        <v>0</v>
      </c>
      <c r="AN1128">
        <v>0</v>
      </c>
      <c r="AT1128">
        <v>2</v>
      </c>
      <c r="BC1128" t="s">
        <v>105</v>
      </c>
      <c r="BD1128">
        <v>14</v>
      </c>
      <c r="BE1128">
        <v>354</v>
      </c>
      <c r="BF1128">
        <v>354</v>
      </c>
      <c r="BG1128">
        <v>592</v>
      </c>
      <c r="BI1128" t="s">
        <v>106</v>
      </c>
      <c r="BJ1128">
        <v>1</v>
      </c>
      <c r="BL1128" t="s">
        <v>2382</v>
      </c>
      <c r="BM1128" s="4">
        <v>43283.140277777777</v>
      </c>
      <c r="BN1128" s="4">
        <v>43283.145451388889</v>
      </c>
      <c r="BO1128" s="4">
        <v>43283.145451388889</v>
      </c>
      <c r="BP1128" t="s">
        <v>92</v>
      </c>
      <c r="BQ1128" t="s">
        <v>93</v>
      </c>
      <c r="BR1128" t="s">
        <v>94</v>
      </c>
    </row>
    <row r="1129" spans="1:70" x14ac:dyDescent="0.3">
      <c r="A1129" t="str">
        <f>"200595B0100"</f>
        <v>200595B0100</v>
      </c>
      <c r="B1129" t="s">
        <v>2383</v>
      </c>
      <c r="C1129">
        <v>20</v>
      </c>
      <c r="D1129" t="s">
        <v>88</v>
      </c>
      <c r="E1129">
        <v>66</v>
      </c>
      <c r="F1129" t="s">
        <v>1713</v>
      </c>
      <c r="G1129">
        <v>595</v>
      </c>
      <c r="H1129">
        <v>1</v>
      </c>
      <c r="I1129" t="s">
        <v>90</v>
      </c>
      <c r="J1129">
        <v>0</v>
      </c>
      <c r="K1129">
        <v>1</v>
      </c>
      <c r="L1129">
        <v>5</v>
      </c>
      <c r="M1129">
        <v>268</v>
      </c>
      <c r="N1129">
        <v>375</v>
      </c>
      <c r="O1129">
        <v>12</v>
      </c>
      <c r="P1129">
        <v>0</v>
      </c>
      <c r="Q1129">
        <v>91</v>
      </c>
      <c r="R1129">
        <v>49</v>
      </c>
      <c r="S1129">
        <v>23</v>
      </c>
      <c r="T1129">
        <v>5</v>
      </c>
      <c r="U1129">
        <v>16</v>
      </c>
      <c r="V1129">
        <v>8</v>
      </c>
      <c r="W1129">
        <v>7</v>
      </c>
      <c r="X1129">
        <v>5</v>
      </c>
      <c r="Y1129">
        <v>139</v>
      </c>
      <c r="Z1129">
        <v>6</v>
      </c>
      <c r="AA1129">
        <v>1</v>
      </c>
      <c r="AB1129">
        <v>4</v>
      </c>
      <c r="AC1129">
        <v>3</v>
      </c>
      <c r="AD1129">
        <v>0</v>
      </c>
      <c r="AE1129">
        <v>1</v>
      </c>
      <c r="AF1129">
        <v>0</v>
      </c>
      <c r="AK1129">
        <v>0</v>
      </c>
      <c r="AL1129">
        <v>3</v>
      </c>
      <c r="AM1129">
        <v>0</v>
      </c>
      <c r="AN1129">
        <v>1</v>
      </c>
      <c r="AT1129">
        <v>1</v>
      </c>
      <c r="BC1129">
        <v>0</v>
      </c>
      <c r="BD1129">
        <v>12</v>
      </c>
      <c r="BE1129">
        <v>375</v>
      </c>
      <c r="BF1129">
        <v>375</v>
      </c>
      <c r="BG1129">
        <v>621</v>
      </c>
      <c r="BJ1129">
        <v>1</v>
      </c>
      <c r="BL1129" t="s">
        <v>2384</v>
      </c>
      <c r="BM1129" s="4">
        <v>43283.025856481479</v>
      </c>
      <c r="BN1129" s="4">
        <v>43283.028773148151</v>
      </c>
      <c r="BO1129" s="4">
        <v>43283.028773148151</v>
      </c>
      <c r="BP1129" t="s">
        <v>339</v>
      </c>
      <c r="BQ1129" t="s">
        <v>340</v>
      </c>
      <c r="BR1129" t="s">
        <v>94</v>
      </c>
    </row>
    <row r="1130" spans="1:70" x14ac:dyDescent="0.3">
      <c r="A1130" t="str">
        <f>"200595C0100"</f>
        <v>200595C0100</v>
      </c>
      <c r="B1130" t="s">
        <v>2385</v>
      </c>
      <c r="C1130">
        <v>20</v>
      </c>
      <c r="D1130" t="s">
        <v>88</v>
      </c>
      <c r="E1130">
        <v>66</v>
      </c>
      <c r="F1130" t="s">
        <v>1713</v>
      </c>
      <c r="G1130">
        <v>595</v>
      </c>
      <c r="H1130">
        <v>1</v>
      </c>
      <c r="I1130" t="s">
        <v>98</v>
      </c>
      <c r="J1130">
        <v>0</v>
      </c>
      <c r="K1130">
        <v>1</v>
      </c>
      <c r="L1130">
        <v>5</v>
      </c>
      <c r="M1130">
        <v>274</v>
      </c>
      <c r="N1130">
        <v>365</v>
      </c>
      <c r="O1130">
        <v>5</v>
      </c>
      <c r="P1130">
        <v>365</v>
      </c>
      <c r="Q1130">
        <v>68</v>
      </c>
      <c r="R1130">
        <v>40</v>
      </c>
      <c r="S1130">
        <v>13</v>
      </c>
      <c r="T1130">
        <v>7</v>
      </c>
      <c r="U1130">
        <v>13</v>
      </c>
      <c r="V1130">
        <v>6</v>
      </c>
      <c r="W1130">
        <v>8</v>
      </c>
      <c r="X1130">
        <v>3</v>
      </c>
      <c r="Y1130">
        <v>173</v>
      </c>
      <c r="Z1130">
        <v>8</v>
      </c>
      <c r="AA1130">
        <v>1</v>
      </c>
      <c r="AB1130">
        <v>9</v>
      </c>
      <c r="AC1130">
        <v>0</v>
      </c>
      <c r="AD1130">
        <v>0</v>
      </c>
      <c r="AE1130">
        <v>1</v>
      </c>
      <c r="AF1130">
        <v>0</v>
      </c>
      <c r="AK1130">
        <v>2</v>
      </c>
      <c r="AL1130">
        <v>2</v>
      </c>
      <c r="AM1130">
        <v>0</v>
      </c>
      <c r="AN1130">
        <v>3</v>
      </c>
      <c r="AT1130">
        <v>0</v>
      </c>
      <c r="BC1130">
        <v>0</v>
      </c>
      <c r="BD1130">
        <v>18</v>
      </c>
      <c r="BE1130">
        <v>365</v>
      </c>
      <c r="BF1130">
        <v>375</v>
      </c>
      <c r="BG1130">
        <v>620</v>
      </c>
      <c r="BJ1130">
        <v>1</v>
      </c>
      <c r="BL1130" t="s">
        <v>2386</v>
      </c>
      <c r="BM1130" s="4">
        <v>43283.019803240742</v>
      </c>
      <c r="BN1130" s="4">
        <v>43283.023229166669</v>
      </c>
      <c r="BO1130" s="4">
        <v>43283.023229166669</v>
      </c>
      <c r="BP1130" t="s">
        <v>339</v>
      </c>
      <c r="BQ1130" t="s">
        <v>340</v>
      </c>
      <c r="BR1130" t="s">
        <v>94</v>
      </c>
    </row>
    <row r="1131" spans="1:70" x14ac:dyDescent="0.3">
      <c r="A1131" t="str">
        <f>"200596B0100"</f>
        <v>200596B0100</v>
      </c>
      <c r="B1131" t="s">
        <v>2387</v>
      </c>
      <c r="C1131">
        <v>20</v>
      </c>
      <c r="D1131" t="s">
        <v>88</v>
      </c>
      <c r="E1131">
        <v>66</v>
      </c>
      <c r="F1131" t="s">
        <v>1713</v>
      </c>
      <c r="G1131">
        <v>596</v>
      </c>
      <c r="H1131">
        <v>1</v>
      </c>
      <c r="I1131" t="s">
        <v>90</v>
      </c>
      <c r="J1131">
        <v>0</v>
      </c>
      <c r="K1131">
        <v>1</v>
      </c>
      <c r="L1131">
        <v>5</v>
      </c>
      <c r="M1131">
        <v>262</v>
      </c>
      <c r="N1131">
        <v>370</v>
      </c>
      <c r="O1131">
        <v>3</v>
      </c>
      <c r="P1131">
        <v>370</v>
      </c>
      <c r="Q1131">
        <v>59</v>
      </c>
      <c r="R1131">
        <v>33</v>
      </c>
      <c r="S1131">
        <v>16</v>
      </c>
      <c r="T1131">
        <v>7</v>
      </c>
      <c r="U1131">
        <v>23</v>
      </c>
      <c r="V1131">
        <v>10</v>
      </c>
      <c r="W1131">
        <v>5</v>
      </c>
      <c r="X1131">
        <v>6</v>
      </c>
      <c r="Y1131">
        <v>169</v>
      </c>
      <c r="Z1131">
        <v>13</v>
      </c>
      <c r="AA1131">
        <v>2</v>
      </c>
      <c r="AB1131">
        <v>9</v>
      </c>
      <c r="AC1131">
        <v>0</v>
      </c>
      <c r="AD1131">
        <v>0</v>
      </c>
      <c r="AE1131">
        <v>0</v>
      </c>
      <c r="AF1131">
        <v>0</v>
      </c>
      <c r="AK1131">
        <v>7</v>
      </c>
      <c r="AL1131">
        <v>0</v>
      </c>
      <c r="AM1131">
        <v>0</v>
      </c>
      <c r="AN1131">
        <v>0</v>
      </c>
      <c r="AT1131">
        <v>2</v>
      </c>
      <c r="BC1131">
        <v>0</v>
      </c>
      <c r="BD1131">
        <v>9</v>
      </c>
      <c r="BE1131" t="s">
        <v>105</v>
      </c>
      <c r="BF1131">
        <v>370</v>
      </c>
      <c r="BG1131">
        <v>610</v>
      </c>
      <c r="BJ1131">
        <v>1</v>
      </c>
      <c r="BL1131" t="s">
        <v>2388</v>
      </c>
      <c r="BM1131" s="4">
        <v>43283.057662037034</v>
      </c>
      <c r="BN1131" s="4">
        <v>43283.064386574071</v>
      </c>
      <c r="BO1131" s="4">
        <v>43283.064386574071</v>
      </c>
      <c r="BP1131" t="s">
        <v>339</v>
      </c>
      <c r="BQ1131" t="s">
        <v>340</v>
      </c>
      <c r="BR1131" t="s">
        <v>94</v>
      </c>
    </row>
    <row r="1132" spans="1:70" x14ac:dyDescent="0.3">
      <c r="A1132" t="str">
        <f>"200596C0100"</f>
        <v>200596C0100</v>
      </c>
      <c r="B1132" t="s">
        <v>2389</v>
      </c>
      <c r="C1132">
        <v>20</v>
      </c>
      <c r="D1132" t="s">
        <v>88</v>
      </c>
      <c r="E1132">
        <v>66</v>
      </c>
      <c r="F1132" t="s">
        <v>1713</v>
      </c>
      <c r="G1132">
        <v>596</v>
      </c>
      <c r="H1132">
        <v>1</v>
      </c>
      <c r="I1132" t="s">
        <v>98</v>
      </c>
      <c r="J1132">
        <v>0</v>
      </c>
      <c r="K1132">
        <v>1</v>
      </c>
      <c r="L1132">
        <v>5</v>
      </c>
      <c r="M1132">
        <v>271</v>
      </c>
      <c r="N1132">
        <v>361</v>
      </c>
      <c r="O1132">
        <v>7</v>
      </c>
      <c r="P1132">
        <v>356</v>
      </c>
      <c r="Q1132">
        <v>56</v>
      </c>
      <c r="R1132">
        <v>29</v>
      </c>
      <c r="S1132">
        <v>10</v>
      </c>
      <c r="T1132">
        <v>6</v>
      </c>
      <c r="U1132">
        <v>17</v>
      </c>
      <c r="V1132">
        <v>12</v>
      </c>
      <c r="W1132">
        <v>8</v>
      </c>
      <c r="X1132">
        <v>4</v>
      </c>
      <c r="Y1132">
        <v>172</v>
      </c>
      <c r="Z1132">
        <v>12</v>
      </c>
      <c r="AA1132">
        <v>0</v>
      </c>
      <c r="AB1132">
        <v>8</v>
      </c>
      <c r="AC1132">
        <v>1</v>
      </c>
      <c r="AD1132">
        <v>3</v>
      </c>
      <c r="AE1132">
        <v>2</v>
      </c>
      <c r="AF1132">
        <v>0</v>
      </c>
      <c r="AK1132">
        <v>3</v>
      </c>
      <c r="AL1132">
        <v>1</v>
      </c>
      <c r="AM1132">
        <v>1</v>
      </c>
      <c r="AN1132">
        <v>2</v>
      </c>
      <c r="AT1132">
        <v>0</v>
      </c>
      <c r="BC1132">
        <v>0</v>
      </c>
      <c r="BD1132">
        <v>12</v>
      </c>
      <c r="BE1132">
        <v>359</v>
      </c>
      <c r="BF1132">
        <v>359</v>
      </c>
      <c r="BG1132">
        <v>610</v>
      </c>
      <c r="BJ1132">
        <v>1</v>
      </c>
      <c r="BL1132" t="s">
        <v>2390</v>
      </c>
      <c r="BM1132" s="4">
        <v>43283.179861111108</v>
      </c>
      <c r="BN1132" s="4">
        <v>43283.196967592594</v>
      </c>
      <c r="BO1132" s="4">
        <v>43283.196967592594</v>
      </c>
      <c r="BP1132" t="s">
        <v>92</v>
      </c>
      <c r="BQ1132" t="s">
        <v>93</v>
      </c>
      <c r="BR1132" t="s">
        <v>94</v>
      </c>
    </row>
    <row r="1133" spans="1:70" x14ac:dyDescent="0.3">
      <c r="A1133" t="str">
        <f>"200596C0200"</f>
        <v>200596C0200</v>
      </c>
      <c r="B1133" t="s">
        <v>2391</v>
      </c>
      <c r="C1133">
        <v>20</v>
      </c>
      <c r="D1133" t="s">
        <v>88</v>
      </c>
      <c r="E1133">
        <v>66</v>
      </c>
      <c r="F1133" t="s">
        <v>1713</v>
      </c>
      <c r="G1133">
        <v>596</v>
      </c>
      <c r="H1133">
        <v>2</v>
      </c>
      <c r="I1133" t="s">
        <v>98</v>
      </c>
      <c r="J1133">
        <v>0</v>
      </c>
      <c r="K1133">
        <v>1</v>
      </c>
      <c r="L1133">
        <v>5</v>
      </c>
      <c r="M1133">
        <v>287</v>
      </c>
      <c r="N1133">
        <v>345</v>
      </c>
      <c r="O1133">
        <v>3</v>
      </c>
      <c r="P1133">
        <v>345</v>
      </c>
      <c r="Q1133">
        <v>43</v>
      </c>
      <c r="R1133">
        <v>38</v>
      </c>
      <c r="S1133">
        <v>14</v>
      </c>
      <c r="T1133">
        <v>9</v>
      </c>
      <c r="U1133">
        <v>18</v>
      </c>
      <c r="V1133">
        <v>5</v>
      </c>
      <c r="W1133">
        <v>4</v>
      </c>
      <c r="X1133">
        <v>9</v>
      </c>
      <c r="Y1133">
        <v>158</v>
      </c>
      <c r="Z1133">
        <v>19</v>
      </c>
      <c r="AA1133">
        <v>5</v>
      </c>
      <c r="AB1133">
        <v>1</v>
      </c>
      <c r="AC1133">
        <v>0</v>
      </c>
      <c r="AD1133">
        <v>1</v>
      </c>
      <c r="AE1133">
        <v>0</v>
      </c>
      <c r="AF1133">
        <v>0</v>
      </c>
      <c r="AK1133">
        <v>3</v>
      </c>
      <c r="AL1133">
        <v>2</v>
      </c>
      <c r="AM1133">
        <v>0</v>
      </c>
      <c r="AN1133">
        <v>1</v>
      </c>
      <c r="AT1133">
        <v>2</v>
      </c>
      <c r="BC1133">
        <v>4</v>
      </c>
      <c r="BD1133">
        <v>9</v>
      </c>
      <c r="BE1133">
        <v>345</v>
      </c>
      <c r="BF1133">
        <v>345</v>
      </c>
      <c r="BG1133">
        <v>610</v>
      </c>
      <c r="BJ1133">
        <v>1</v>
      </c>
      <c r="BL1133" t="s">
        <v>2392</v>
      </c>
      <c r="BM1133" s="4">
        <v>43283.180555555555</v>
      </c>
      <c r="BN1133" s="4">
        <v>43283.19804398148</v>
      </c>
      <c r="BO1133" s="4">
        <v>43283.19804398148</v>
      </c>
      <c r="BP1133" t="s">
        <v>92</v>
      </c>
      <c r="BQ1133" t="s">
        <v>93</v>
      </c>
      <c r="BR1133" t="s">
        <v>94</v>
      </c>
    </row>
    <row r="1134" spans="1:70" x14ac:dyDescent="0.3">
      <c r="A1134" t="str">
        <f>"200597B0100"</f>
        <v>200597B0100</v>
      </c>
      <c r="B1134" t="s">
        <v>2393</v>
      </c>
      <c r="C1134">
        <v>20</v>
      </c>
      <c r="D1134" t="s">
        <v>88</v>
      </c>
      <c r="E1134">
        <v>66</v>
      </c>
      <c r="F1134" t="s">
        <v>1713</v>
      </c>
      <c r="G1134">
        <v>597</v>
      </c>
      <c r="H1134">
        <v>1</v>
      </c>
      <c r="I1134" t="s">
        <v>90</v>
      </c>
      <c r="J1134">
        <v>0</v>
      </c>
      <c r="K1134">
        <v>1</v>
      </c>
      <c r="L1134">
        <v>5</v>
      </c>
      <c r="M1134">
        <v>299</v>
      </c>
      <c r="N1134">
        <v>455</v>
      </c>
      <c r="O1134">
        <v>4</v>
      </c>
      <c r="P1134">
        <v>454</v>
      </c>
      <c r="Q1134">
        <v>73</v>
      </c>
      <c r="R1134">
        <v>50</v>
      </c>
      <c r="S1134">
        <v>15</v>
      </c>
      <c r="T1134">
        <v>7</v>
      </c>
      <c r="U1134">
        <v>24</v>
      </c>
      <c r="V1134">
        <v>8</v>
      </c>
      <c r="W1134">
        <v>11</v>
      </c>
      <c r="X1134">
        <v>3</v>
      </c>
      <c r="Y1134">
        <v>217</v>
      </c>
      <c r="Z1134">
        <v>5</v>
      </c>
      <c r="AA1134">
        <v>5</v>
      </c>
      <c r="AB1134">
        <v>6</v>
      </c>
      <c r="AC1134">
        <v>3</v>
      </c>
      <c r="AD1134">
        <v>0</v>
      </c>
      <c r="AE1134">
        <v>0</v>
      </c>
      <c r="AF1134">
        <v>0</v>
      </c>
      <c r="AK1134">
        <v>8</v>
      </c>
      <c r="AL1134">
        <v>2</v>
      </c>
      <c r="AM1134">
        <v>0</v>
      </c>
      <c r="AN1134">
        <v>1</v>
      </c>
      <c r="AT1134">
        <v>2</v>
      </c>
      <c r="BC1134">
        <v>0</v>
      </c>
      <c r="BD1134">
        <v>14</v>
      </c>
      <c r="BE1134">
        <v>454</v>
      </c>
      <c r="BF1134">
        <v>454</v>
      </c>
      <c r="BG1134">
        <v>732</v>
      </c>
      <c r="BJ1134">
        <v>1</v>
      </c>
      <c r="BL1134" t="s">
        <v>2394</v>
      </c>
      <c r="BM1134" s="4">
        <v>43283.213888888888</v>
      </c>
      <c r="BN1134" s="4">
        <v>43283.2421412037</v>
      </c>
      <c r="BO1134" s="4">
        <v>43283.2421412037</v>
      </c>
      <c r="BP1134" t="s">
        <v>92</v>
      </c>
      <c r="BQ1134" t="s">
        <v>93</v>
      </c>
      <c r="BR1134" t="s">
        <v>94</v>
      </c>
    </row>
    <row r="1135" spans="1:70" x14ac:dyDescent="0.3">
      <c r="A1135" t="str">
        <f>"200597C0100"</f>
        <v>200597C0100</v>
      </c>
      <c r="B1135" t="s">
        <v>2395</v>
      </c>
      <c r="C1135">
        <v>20</v>
      </c>
      <c r="D1135" t="s">
        <v>88</v>
      </c>
      <c r="E1135">
        <v>66</v>
      </c>
      <c r="F1135" t="s">
        <v>1713</v>
      </c>
      <c r="G1135">
        <v>597</v>
      </c>
      <c r="H1135">
        <v>1</v>
      </c>
      <c r="I1135" t="s">
        <v>98</v>
      </c>
      <c r="J1135">
        <v>0</v>
      </c>
      <c r="K1135">
        <v>1</v>
      </c>
      <c r="L1135">
        <v>5</v>
      </c>
      <c r="M1135">
        <v>292</v>
      </c>
      <c r="N1135">
        <v>461</v>
      </c>
      <c r="O1135">
        <v>3</v>
      </c>
      <c r="P1135">
        <v>461</v>
      </c>
      <c r="Q1135">
        <v>90</v>
      </c>
      <c r="R1135">
        <v>55</v>
      </c>
      <c r="S1135">
        <v>18</v>
      </c>
      <c r="T1135">
        <v>6</v>
      </c>
      <c r="U1135">
        <v>17</v>
      </c>
      <c r="V1135">
        <v>4</v>
      </c>
      <c r="W1135">
        <v>14</v>
      </c>
      <c r="X1135">
        <v>5</v>
      </c>
      <c r="Y1135">
        <v>196</v>
      </c>
      <c r="Z1135">
        <v>4</v>
      </c>
      <c r="AA1135">
        <v>3</v>
      </c>
      <c r="AB1135">
        <v>13</v>
      </c>
      <c r="AC1135">
        <v>3</v>
      </c>
      <c r="AD1135">
        <v>3</v>
      </c>
      <c r="AE1135">
        <v>0</v>
      </c>
      <c r="AF1135">
        <v>0</v>
      </c>
      <c r="AK1135">
        <v>5</v>
      </c>
      <c r="AL1135">
        <v>3</v>
      </c>
      <c r="AM1135">
        <v>0</v>
      </c>
      <c r="AN1135">
        <v>2</v>
      </c>
      <c r="AT1135">
        <v>2</v>
      </c>
      <c r="BC1135">
        <v>0</v>
      </c>
      <c r="BD1135">
        <v>18</v>
      </c>
      <c r="BE1135">
        <v>468</v>
      </c>
      <c r="BF1135">
        <v>461</v>
      </c>
      <c r="BG1135">
        <v>731</v>
      </c>
      <c r="BJ1135">
        <v>1</v>
      </c>
      <c r="BL1135" t="s">
        <v>2396</v>
      </c>
      <c r="BM1135" s="4">
        <v>43283.213194444441</v>
      </c>
      <c r="BN1135" s="4">
        <v>43283.234386574077</v>
      </c>
      <c r="BO1135" s="4">
        <v>43283.234386574077</v>
      </c>
      <c r="BP1135" t="s">
        <v>92</v>
      </c>
      <c r="BQ1135" t="s">
        <v>93</v>
      </c>
      <c r="BR1135" t="s">
        <v>94</v>
      </c>
    </row>
    <row r="1136" spans="1:70" x14ac:dyDescent="0.3">
      <c r="A1136" t="str">
        <f>"200598B0100"</f>
        <v>200598B0100</v>
      </c>
      <c r="B1136" t="s">
        <v>2397</v>
      </c>
      <c r="C1136">
        <v>20</v>
      </c>
      <c r="D1136" t="s">
        <v>88</v>
      </c>
      <c r="E1136">
        <v>66</v>
      </c>
      <c r="F1136" t="s">
        <v>1713</v>
      </c>
      <c r="G1136">
        <v>598</v>
      </c>
      <c r="H1136">
        <v>1</v>
      </c>
      <c r="I1136" t="s">
        <v>90</v>
      </c>
      <c r="J1136">
        <v>0</v>
      </c>
      <c r="K1136">
        <v>1</v>
      </c>
      <c r="L1136">
        <v>5</v>
      </c>
      <c r="M1136">
        <v>223</v>
      </c>
      <c r="N1136">
        <v>521</v>
      </c>
      <c r="O1136">
        <v>5</v>
      </c>
      <c r="P1136">
        <v>510</v>
      </c>
      <c r="Q1136">
        <v>89</v>
      </c>
      <c r="R1136">
        <v>92</v>
      </c>
      <c r="S1136">
        <v>16</v>
      </c>
      <c r="T1136">
        <v>7</v>
      </c>
      <c r="U1136">
        <v>17</v>
      </c>
      <c r="V1136">
        <v>10</v>
      </c>
      <c r="W1136">
        <v>7</v>
      </c>
      <c r="X1136">
        <v>13</v>
      </c>
      <c r="Y1136">
        <v>216</v>
      </c>
      <c r="Z1136">
        <v>1</v>
      </c>
      <c r="AA1136">
        <v>4</v>
      </c>
      <c r="AB1136">
        <v>11</v>
      </c>
      <c r="AC1136">
        <v>1</v>
      </c>
      <c r="AD1136">
        <v>2</v>
      </c>
      <c r="AE1136">
        <v>0</v>
      </c>
      <c r="AF1136">
        <v>0</v>
      </c>
      <c r="AK1136">
        <v>7</v>
      </c>
      <c r="AL1136">
        <v>1</v>
      </c>
      <c r="AM1136">
        <v>1</v>
      </c>
      <c r="AN1136">
        <v>4</v>
      </c>
      <c r="AT1136">
        <v>6</v>
      </c>
      <c r="BC1136">
        <v>0</v>
      </c>
      <c r="BD1136">
        <v>16</v>
      </c>
      <c r="BE1136">
        <v>521</v>
      </c>
      <c r="BF1136">
        <v>521</v>
      </c>
      <c r="BG1136">
        <v>722</v>
      </c>
      <c r="BJ1136">
        <v>1</v>
      </c>
      <c r="BL1136" t="s">
        <v>2398</v>
      </c>
      <c r="BM1136" s="4">
        <v>43283.018657407411</v>
      </c>
      <c r="BN1136" s="4">
        <v>43283.023148148146</v>
      </c>
      <c r="BO1136" s="4">
        <v>43283.023148148146</v>
      </c>
      <c r="BP1136" t="s">
        <v>339</v>
      </c>
      <c r="BQ1136" t="s">
        <v>340</v>
      </c>
      <c r="BR1136" t="s">
        <v>94</v>
      </c>
    </row>
    <row r="1137" spans="1:70" x14ac:dyDescent="0.3">
      <c r="A1137" t="str">
        <f>"200599B0100"</f>
        <v>200599B0100</v>
      </c>
      <c r="B1137" t="s">
        <v>2399</v>
      </c>
      <c r="C1137">
        <v>20</v>
      </c>
      <c r="D1137" t="s">
        <v>88</v>
      </c>
      <c r="E1137">
        <v>66</v>
      </c>
      <c r="F1137" t="s">
        <v>1713</v>
      </c>
      <c r="G1137">
        <v>599</v>
      </c>
      <c r="H1137">
        <v>1</v>
      </c>
      <c r="I1137" t="s">
        <v>90</v>
      </c>
      <c r="J1137">
        <v>0</v>
      </c>
      <c r="K1137">
        <v>1</v>
      </c>
      <c r="L1137">
        <v>5</v>
      </c>
      <c r="M1137">
        <v>119</v>
      </c>
      <c r="N1137">
        <v>285</v>
      </c>
      <c r="O1137">
        <v>5</v>
      </c>
      <c r="P1137">
        <v>283</v>
      </c>
      <c r="Q1137">
        <v>43</v>
      </c>
      <c r="R1137">
        <v>58</v>
      </c>
      <c r="S1137">
        <v>7</v>
      </c>
      <c r="T1137">
        <v>2</v>
      </c>
      <c r="U1137">
        <v>18</v>
      </c>
      <c r="V1137">
        <v>6</v>
      </c>
      <c r="W1137">
        <v>6</v>
      </c>
      <c r="X1137">
        <v>6</v>
      </c>
      <c r="Y1137">
        <v>102</v>
      </c>
      <c r="Z1137">
        <v>6</v>
      </c>
      <c r="AA1137">
        <v>4</v>
      </c>
      <c r="AB1137">
        <v>13</v>
      </c>
      <c r="AC1137">
        <v>0</v>
      </c>
      <c r="AD1137">
        <v>0</v>
      </c>
      <c r="AE1137">
        <v>0</v>
      </c>
      <c r="AF1137">
        <v>0</v>
      </c>
      <c r="AK1137">
        <v>2</v>
      </c>
      <c r="AL1137">
        <v>0</v>
      </c>
      <c r="AM1137">
        <v>0</v>
      </c>
      <c r="AN1137">
        <v>1</v>
      </c>
      <c r="AT1137">
        <v>3</v>
      </c>
      <c r="BC1137">
        <v>0</v>
      </c>
      <c r="BD1137">
        <v>6</v>
      </c>
      <c r="BE1137" t="s">
        <v>105</v>
      </c>
      <c r="BF1137">
        <v>283</v>
      </c>
      <c r="BG1137">
        <v>381</v>
      </c>
      <c r="BJ1137">
        <v>1</v>
      </c>
      <c r="BL1137" t="s">
        <v>2400</v>
      </c>
      <c r="BM1137" s="4">
        <v>43283.074999999997</v>
      </c>
      <c r="BN1137" s="4">
        <v>43283.078657407408</v>
      </c>
      <c r="BO1137" s="4">
        <v>43283.078657407408</v>
      </c>
      <c r="BP1137" t="s">
        <v>92</v>
      </c>
      <c r="BQ1137" t="s">
        <v>93</v>
      </c>
      <c r="BR1137" t="s">
        <v>94</v>
      </c>
    </row>
    <row r="1138" spans="1:70" x14ac:dyDescent="0.3">
      <c r="A1138" t="str">
        <f>"200599C0100"</f>
        <v>200599C0100</v>
      </c>
      <c r="B1138" t="s">
        <v>2401</v>
      </c>
      <c r="C1138">
        <v>20</v>
      </c>
      <c r="D1138" t="s">
        <v>88</v>
      </c>
      <c r="E1138">
        <v>66</v>
      </c>
      <c r="F1138" t="s">
        <v>1713</v>
      </c>
      <c r="G1138">
        <v>599</v>
      </c>
      <c r="H1138">
        <v>1</v>
      </c>
      <c r="I1138" t="s">
        <v>98</v>
      </c>
      <c r="J1138">
        <v>0</v>
      </c>
      <c r="K1138">
        <v>1</v>
      </c>
      <c r="L1138">
        <v>5</v>
      </c>
      <c r="M1138">
        <v>123</v>
      </c>
      <c r="N1138">
        <v>283</v>
      </c>
      <c r="O1138">
        <v>8</v>
      </c>
      <c r="P1138">
        <v>281</v>
      </c>
      <c r="Q1138">
        <v>37</v>
      </c>
      <c r="R1138">
        <v>55</v>
      </c>
      <c r="S1138">
        <v>9</v>
      </c>
      <c r="T1138">
        <v>8</v>
      </c>
      <c r="U1138">
        <v>11</v>
      </c>
      <c r="V1138">
        <v>3</v>
      </c>
      <c r="W1138">
        <v>11</v>
      </c>
      <c r="X1138">
        <v>2</v>
      </c>
      <c r="Y1138">
        <v>121</v>
      </c>
      <c r="Z1138">
        <v>4</v>
      </c>
      <c r="AA1138">
        <v>3</v>
      </c>
      <c r="AB1138">
        <v>10</v>
      </c>
      <c r="AC1138">
        <v>1</v>
      </c>
      <c r="AD1138">
        <v>0</v>
      </c>
      <c r="AE1138">
        <v>0</v>
      </c>
      <c r="AF1138">
        <v>0</v>
      </c>
      <c r="AK1138">
        <v>2</v>
      </c>
      <c r="AL1138">
        <v>0</v>
      </c>
      <c r="AM1138">
        <v>0</v>
      </c>
      <c r="AN1138">
        <v>1</v>
      </c>
      <c r="AT1138">
        <v>1</v>
      </c>
      <c r="BC1138">
        <v>0</v>
      </c>
      <c r="BD1138">
        <v>2</v>
      </c>
      <c r="BE1138">
        <v>281</v>
      </c>
      <c r="BF1138">
        <v>281</v>
      </c>
      <c r="BG1138">
        <v>381</v>
      </c>
      <c r="BJ1138">
        <v>1</v>
      </c>
      <c r="BL1138" t="s">
        <v>2402</v>
      </c>
      <c r="BM1138" s="4">
        <v>43282.939166666663</v>
      </c>
      <c r="BN1138" s="4">
        <v>43282.942118055558</v>
      </c>
      <c r="BO1138" s="4">
        <v>43282.942118055558</v>
      </c>
      <c r="BP1138" t="s">
        <v>339</v>
      </c>
      <c r="BQ1138" t="s">
        <v>340</v>
      </c>
      <c r="BR1138" t="s">
        <v>94</v>
      </c>
    </row>
    <row r="1139" spans="1:70" x14ac:dyDescent="0.3">
      <c r="A1139" t="str">
        <f>"200600B0100"</f>
        <v>200600B0100</v>
      </c>
      <c r="B1139" t="s">
        <v>2403</v>
      </c>
      <c r="C1139">
        <v>20</v>
      </c>
      <c r="D1139" t="s">
        <v>88</v>
      </c>
      <c r="E1139">
        <v>66</v>
      </c>
      <c r="F1139" t="s">
        <v>1713</v>
      </c>
      <c r="G1139">
        <v>600</v>
      </c>
      <c r="H1139">
        <v>1</v>
      </c>
      <c r="I1139" t="s">
        <v>90</v>
      </c>
      <c r="J1139">
        <v>0</v>
      </c>
      <c r="K1139">
        <v>1</v>
      </c>
      <c r="L1139">
        <v>5</v>
      </c>
      <c r="M1139">
        <v>175</v>
      </c>
      <c r="N1139">
        <v>352</v>
      </c>
      <c r="O1139">
        <v>7</v>
      </c>
      <c r="P1139">
        <v>352</v>
      </c>
      <c r="Q1139">
        <v>60</v>
      </c>
      <c r="R1139">
        <v>54</v>
      </c>
      <c r="S1139">
        <v>9</v>
      </c>
      <c r="T1139">
        <v>1</v>
      </c>
      <c r="U1139">
        <v>11</v>
      </c>
      <c r="V1139">
        <v>11</v>
      </c>
      <c r="W1139">
        <v>10</v>
      </c>
      <c r="X1139">
        <v>5</v>
      </c>
      <c r="Y1139">
        <v>144</v>
      </c>
      <c r="Z1139">
        <v>3</v>
      </c>
      <c r="AA1139">
        <v>4</v>
      </c>
      <c r="AB1139">
        <v>18</v>
      </c>
      <c r="AC1139">
        <v>1</v>
      </c>
      <c r="AD1139">
        <v>0</v>
      </c>
      <c r="AE1139">
        <v>1</v>
      </c>
      <c r="AF1139">
        <v>0</v>
      </c>
      <c r="AK1139">
        <v>3</v>
      </c>
      <c r="AL1139">
        <v>1</v>
      </c>
      <c r="AM1139">
        <v>0</v>
      </c>
      <c r="AN1139">
        <v>2</v>
      </c>
      <c r="AT1139">
        <v>5</v>
      </c>
      <c r="BC1139">
        <v>0</v>
      </c>
      <c r="BD1139">
        <v>9</v>
      </c>
      <c r="BE1139">
        <v>352</v>
      </c>
      <c r="BF1139">
        <v>352</v>
      </c>
      <c r="BG1139">
        <v>506</v>
      </c>
      <c r="BJ1139">
        <v>1</v>
      </c>
      <c r="BL1139" t="s">
        <v>2404</v>
      </c>
      <c r="BM1139" s="4">
        <v>43283.165972222225</v>
      </c>
      <c r="BN1139" s="4">
        <v>43283.180300925924</v>
      </c>
      <c r="BO1139" s="4">
        <v>43283.180300925924</v>
      </c>
      <c r="BP1139" t="s">
        <v>92</v>
      </c>
      <c r="BQ1139" t="s">
        <v>93</v>
      </c>
      <c r="BR1139" t="s">
        <v>94</v>
      </c>
    </row>
    <row r="1140" spans="1:70" x14ac:dyDescent="0.3">
      <c r="A1140" t="str">
        <f>"200600C0100"</f>
        <v>200600C0100</v>
      </c>
      <c r="B1140" t="s">
        <v>2405</v>
      </c>
      <c r="C1140">
        <v>20</v>
      </c>
      <c r="D1140" t="s">
        <v>88</v>
      </c>
      <c r="E1140">
        <v>66</v>
      </c>
      <c r="F1140" t="s">
        <v>1713</v>
      </c>
      <c r="G1140">
        <v>600</v>
      </c>
      <c r="H1140">
        <v>1</v>
      </c>
      <c r="I1140" t="s">
        <v>98</v>
      </c>
      <c r="J1140">
        <v>0</v>
      </c>
      <c r="K1140">
        <v>1</v>
      </c>
      <c r="L1140">
        <v>5</v>
      </c>
      <c r="M1140">
        <v>168</v>
      </c>
      <c r="N1140">
        <v>360</v>
      </c>
      <c r="O1140">
        <v>5</v>
      </c>
      <c r="P1140">
        <v>339</v>
      </c>
      <c r="Q1140">
        <v>41</v>
      </c>
      <c r="R1140">
        <v>62</v>
      </c>
      <c r="S1140">
        <v>11</v>
      </c>
      <c r="T1140">
        <v>6</v>
      </c>
      <c r="U1140">
        <v>13</v>
      </c>
      <c r="V1140">
        <v>14</v>
      </c>
      <c r="W1140">
        <v>6</v>
      </c>
      <c r="X1140">
        <v>2</v>
      </c>
      <c r="Y1140">
        <v>170</v>
      </c>
      <c r="Z1140">
        <v>3</v>
      </c>
      <c r="AA1140">
        <v>1</v>
      </c>
      <c r="AB1140">
        <v>13</v>
      </c>
      <c r="AC1140">
        <v>0</v>
      </c>
      <c r="AD1140">
        <v>0</v>
      </c>
      <c r="AE1140">
        <v>0</v>
      </c>
      <c r="AF1140">
        <v>0</v>
      </c>
      <c r="AK1140">
        <v>5</v>
      </c>
      <c r="AL1140">
        <v>2</v>
      </c>
      <c r="AM1140">
        <v>0</v>
      </c>
      <c r="AN1140">
        <v>0</v>
      </c>
      <c r="AT1140">
        <v>0</v>
      </c>
      <c r="BC1140">
        <v>0</v>
      </c>
      <c r="BD1140">
        <v>5</v>
      </c>
      <c r="BE1140">
        <v>360</v>
      </c>
      <c r="BF1140">
        <v>354</v>
      </c>
      <c r="BG1140">
        <v>506</v>
      </c>
      <c r="BJ1140">
        <v>1</v>
      </c>
      <c r="BL1140" t="s">
        <v>2406</v>
      </c>
      <c r="BM1140" s="4">
        <v>43283.163888888892</v>
      </c>
      <c r="BN1140" s="4">
        <v>43283.178124999999</v>
      </c>
      <c r="BO1140" s="4">
        <v>43283.178124999999</v>
      </c>
      <c r="BP1140" t="s">
        <v>92</v>
      </c>
      <c r="BQ1140" t="s">
        <v>93</v>
      </c>
      <c r="BR1140" t="s">
        <v>94</v>
      </c>
    </row>
    <row r="1141" spans="1:70" x14ac:dyDescent="0.3">
      <c r="A1141" t="str">
        <f>"200600C0200"</f>
        <v>200600C0200</v>
      </c>
      <c r="B1141" t="s">
        <v>2407</v>
      </c>
      <c r="C1141">
        <v>20</v>
      </c>
      <c r="D1141" t="s">
        <v>88</v>
      </c>
      <c r="E1141">
        <v>66</v>
      </c>
      <c r="F1141" t="s">
        <v>1713</v>
      </c>
      <c r="G1141">
        <v>600</v>
      </c>
      <c r="H1141">
        <v>2</v>
      </c>
      <c r="I1141" t="s">
        <v>98</v>
      </c>
      <c r="J1141">
        <v>0</v>
      </c>
      <c r="K1141">
        <v>1</v>
      </c>
      <c r="L1141">
        <v>5</v>
      </c>
      <c r="M1141">
        <v>197</v>
      </c>
      <c r="N1141">
        <v>330</v>
      </c>
      <c r="O1141">
        <v>4</v>
      </c>
      <c r="P1141">
        <v>332</v>
      </c>
      <c r="Q1141">
        <v>55</v>
      </c>
      <c r="R1141">
        <v>42</v>
      </c>
      <c r="S1141">
        <v>6</v>
      </c>
      <c r="T1141">
        <v>2</v>
      </c>
      <c r="U1141">
        <v>9</v>
      </c>
      <c r="V1141">
        <v>3</v>
      </c>
      <c r="W1141">
        <v>9</v>
      </c>
      <c r="X1141">
        <v>2</v>
      </c>
      <c r="Y1141">
        <v>159</v>
      </c>
      <c r="Z1141">
        <v>10</v>
      </c>
      <c r="AA1141">
        <v>1</v>
      </c>
      <c r="AB1141">
        <v>7</v>
      </c>
      <c r="AC1141">
        <v>0</v>
      </c>
      <c r="AD1141">
        <v>1</v>
      </c>
      <c r="AE1141">
        <v>1</v>
      </c>
      <c r="AF1141">
        <v>0</v>
      </c>
      <c r="AK1141">
        <v>8</v>
      </c>
      <c r="AL1141">
        <v>3</v>
      </c>
      <c r="AM1141">
        <v>0</v>
      </c>
      <c r="AN1141">
        <v>2</v>
      </c>
      <c r="AT1141">
        <v>1</v>
      </c>
      <c r="BC1141">
        <v>0</v>
      </c>
      <c r="BD1141">
        <v>11</v>
      </c>
      <c r="BE1141">
        <v>332</v>
      </c>
      <c r="BF1141">
        <v>332</v>
      </c>
      <c r="BG1141">
        <v>506</v>
      </c>
      <c r="BJ1141">
        <v>1</v>
      </c>
      <c r="BL1141" t="s">
        <v>2408</v>
      </c>
      <c r="BM1141" s="4">
        <v>43283.165277777778</v>
      </c>
      <c r="BN1141" s="4">
        <v>43283.180115740739</v>
      </c>
      <c r="BO1141" s="4">
        <v>43283.180115740739</v>
      </c>
      <c r="BP1141" t="s">
        <v>92</v>
      </c>
      <c r="BQ1141" t="s">
        <v>93</v>
      </c>
      <c r="BR1141" t="s">
        <v>94</v>
      </c>
    </row>
    <row r="1142" spans="1:70" x14ac:dyDescent="0.3">
      <c r="A1142" t="str">
        <f>"200601B0100"</f>
        <v>200601B0100</v>
      </c>
      <c r="B1142" t="s">
        <v>2409</v>
      </c>
      <c r="C1142">
        <v>20</v>
      </c>
      <c r="D1142" t="s">
        <v>88</v>
      </c>
      <c r="E1142">
        <v>66</v>
      </c>
      <c r="F1142" t="s">
        <v>1713</v>
      </c>
      <c r="G1142">
        <v>601</v>
      </c>
      <c r="H1142">
        <v>1</v>
      </c>
      <c r="I1142" t="s">
        <v>90</v>
      </c>
      <c r="J1142">
        <v>0</v>
      </c>
      <c r="K1142">
        <v>1</v>
      </c>
      <c r="L1142">
        <v>5</v>
      </c>
      <c r="M1142">
        <v>223</v>
      </c>
      <c r="N1142">
        <v>353</v>
      </c>
      <c r="O1142">
        <v>5</v>
      </c>
      <c r="P1142">
        <v>356</v>
      </c>
      <c r="Q1142">
        <v>61</v>
      </c>
      <c r="R1142">
        <v>46</v>
      </c>
      <c r="S1142">
        <v>12</v>
      </c>
      <c r="T1142">
        <v>2</v>
      </c>
      <c r="U1142">
        <v>10</v>
      </c>
      <c r="V1142">
        <v>10</v>
      </c>
      <c r="W1142">
        <v>9</v>
      </c>
      <c r="X1142">
        <v>0</v>
      </c>
      <c r="Y1142">
        <v>171</v>
      </c>
      <c r="Z1142">
        <v>2</v>
      </c>
      <c r="AA1142">
        <v>3</v>
      </c>
      <c r="AB1142">
        <v>12</v>
      </c>
      <c r="AC1142">
        <v>3</v>
      </c>
      <c r="AD1142">
        <v>0</v>
      </c>
      <c r="AE1142">
        <v>0</v>
      </c>
      <c r="AF1142">
        <v>0</v>
      </c>
      <c r="AK1142">
        <v>3</v>
      </c>
      <c r="AL1142">
        <v>0</v>
      </c>
      <c r="AM1142">
        <v>0</v>
      </c>
      <c r="AN1142">
        <v>0</v>
      </c>
      <c r="AT1142">
        <v>0</v>
      </c>
      <c r="BC1142">
        <v>2</v>
      </c>
      <c r="BD1142">
        <v>10</v>
      </c>
      <c r="BE1142">
        <v>356</v>
      </c>
      <c r="BF1142">
        <v>356</v>
      </c>
      <c r="BG1142">
        <v>558</v>
      </c>
      <c r="BJ1142">
        <v>1</v>
      </c>
      <c r="BL1142" t="s">
        <v>2410</v>
      </c>
      <c r="BM1142" s="4">
        <v>43283.008726851855</v>
      </c>
      <c r="BN1142" s="4">
        <v>43283.013252314813</v>
      </c>
      <c r="BO1142" s="4">
        <v>43283.013252314813</v>
      </c>
      <c r="BP1142" t="s">
        <v>339</v>
      </c>
      <c r="BQ1142" t="s">
        <v>340</v>
      </c>
      <c r="BR1142" t="s">
        <v>94</v>
      </c>
    </row>
    <row r="1143" spans="1:70" x14ac:dyDescent="0.3">
      <c r="A1143" t="str">
        <f>"200601C0100"</f>
        <v>200601C0100</v>
      </c>
      <c r="B1143" t="s">
        <v>2411</v>
      </c>
      <c r="C1143">
        <v>20</v>
      </c>
      <c r="D1143" t="s">
        <v>88</v>
      </c>
      <c r="E1143">
        <v>66</v>
      </c>
      <c r="F1143" t="s">
        <v>1713</v>
      </c>
      <c r="G1143">
        <v>601</v>
      </c>
      <c r="H1143">
        <v>1</v>
      </c>
      <c r="I1143" t="s">
        <v>98</v>
      </c>
      <c r="J1143">
        <v>0</v>
      </c>
      <c r="K1143">
        <v>1</v>
      </c>
      <c r="L1143">
        <v>5</v>
      </c>
      <c r="M1143">
        <v>167</v>
      </c>
      <c r="N1143" t="s">
        <v>127</v>
      </c>
      <c r="O1143">
        <v>5</v>
      </c>
      <c r="P1143">
        <v>412</v>
      </c>
      <c r="Q1143">
        <v>66</v>
      </c>
      <c r="R1143">
        <v>45</v>
      </c>
      <c r="S1143">
        <v>15</v>
      </c>
      <c r="T1143">
        <v>4</v>
      </c>
      <c r="U1143">
        <v>18</v>
      </c>
      <c r="V1143">
        <v>14</v>
      </c>
      <c r="W1143">
        <v>12</v>
      </c>
      <c r="X1143">
        <v>5</v>
      </c>
      <c r="Y1143">
        <v>196</v>
      </c>
      <c r="Z1143">
        <v>1</v>
      </c>
      <c r="AA1143">
        <v>2</v>
      </c>
      <c r="AB1143">
        <v>13</v>
      </c>
      <c r="AC1143">
        <v>2</v>
      </c>
      <c r="AD1143">
        <v>2</v>
      </c>
      <c r="AE1143">
        <v>1</v>
      </c>
      <c r="AF1143">
        <v>0</v>
      </c>
      <c r="AK1143">
        <v>6</v>
      </c>
      <c r="AL1143">
        <v>1</v>
      </c>
      <c r="AM1143">
        <v>0</v>
      </c>
      <c r="AN1143">
        <v>2</v>
      </c>
      <c r="AT1143">
        <v>1</v>
      </c>
      <c r="BC1143">
        <v>0</v>
      </c>
      <c r="BD1143">
        <v>6</v>
      </c>
      <c r="BE1143">
        <v>412</v>
      </c>
      <c r="BF1143">
        <v>412</v>
      </c>
      <c r="BG1143">
        <v>558</v>
      </c>
      <c r="BJ1143">
        <v>1</v>
      </c>
      <c r="BL1143" t="s">
        <v>2412</v>
      </c>
      <c r="BM1143" s="4">
        <v>43282.974942129629</v>
      </c>
      <c r="BN1143" s="4">
        <v>43282.977650462963</v>
      </c>
      <c r="BO1143" s="4">
        <v>43282.977650462963</v>
      </c>
      <c r="BP1143" t="s">
        <v>339</v>
      </c>
      <c r="BQ1143" t="s">
        <v>340</v>
      </c>
      <c r="BR1143" t="s">
        <v>94</v>
      </c>
    </row>
    <row r="1144" spans="1:70" x14ac:dyDescent="0.3">
      <c r="A1144" t="str">
        <f>"200602B0100"</f>
        <v>200602B0100</v>
      </c>
      <c r="B1144" t="s">
        <v>2413</v>
      </c>
      <c r="C1144">
        <v>20</v>
      </c>
      <c r="D1144" t="s">
        <v>88</v>
      </c>
      <c r="E1144">
        <v>66</v>
      </c>
      <c r="F1144" t="s">
        <v>1713</v>
      </c>
      <c r="G1144">
        <v>602</v>
      </c>
      <c r="H1144">
        <v>1</v>
      </c>
      <c r="I1144" t="s">
        <v>90</v>
      </c>
      <c r="J1144">
        <v>0</v>
      </c>
      <c r="K1144">
        <v>1</v>
      </c>
      <c r="L1144">
        <v>5</v>
      </c>
      <c r="M1144">
        <v>279</v>
      </c>
      <c r="N1144">
        <v>445</v>
      </c>
      <c r="O1144">
        <v>6</v>
      </c>
      <c r="P1144">
        <v>446</v>
      </c>
      <c r="Q1144">
        <v>61</v>
      </c>
      <c r="R1144">
        <v>59</v>
      </c>
      <c r="S1144">
        <v>11</v>
      </c>
      <c r="T1144">
        <v>1</v>
      </c>
      <c r="U1144">
        <v>17</v>
      </c>
      <c r="V1144">
        <v>11</v>
      </c>
      <c r="W1144">
        <v>5</v>
      </c>
      <c r="X1144">
        <v>8</v>
      </c>
      <c r="Y1144">
        <v>229</v>
      </c>
      <c r="Z1144">
        <v>4</v>
      </c>
      <c r="AA1144">
        <v>6</v>
      </c>
      <c r="AB1144">
        <v>10</v>
      </c>
      <c r="AC1144">
        <v>3</v>
      </c>
      <c r="AD1144">
        <v>0</v>
      </c>
      <c r="AE1144">
        <v>0</v>
      </c>
      <c r="AF1144">
        <v>0</v>
      </c>
      <c r="AK1144">
        <v>4</v>
      </c>
      <c r="AL1144">
        <v>3</v>
      </c>
      <c r="AM1144">
        <v>0</v>
      </c>
      <c r="AN1144">
        <v>0</v>
      </c>
      <c r="AT1144">
        <v>1</v>
      </c>
      <c r="BC1144">
        <v>1</v>
      </c>
      <c r="BD1144">
        <v>12</v>
      </c>
      <c r="BE1144">
        <v>446</v>
      </c>
      <c r="BF1144">
        <v>446</v>
      </c>
      <c r="BG1144">
        <v>703</v>
      </c>
      <c r="BJ1144">
        <v>1</v>
      </c>
      <c r="BL1144" t="s">
        <v>2414</v>
      </c>
      <c r="BM1144" s="4">
        <v>43283.043055555558</v>
      </c>
      <c r="BN1144" s="4">
        <v>43283.047696759262</v>
      </c>
      <c r="BO1144" s="4">
        <v>43283.047696759262</v>
      </c>
      <c r="BP1144" t="s">
        <v>92</v>
      </c>
      <c r="BQ1144" t="s">
        <v>93</v>
      </c>
      <c r="BR1144" t="s">
        <v>94</v>
      </c>
    </row>
    <row r="1145" spans="1:70" x14ac:dyDescent="0.3">
      <c r="A1145" t="str">
        <f>"200602C0100"</f>
        <v>200602C0100</v>
      </c>
      <c r="B1145" t="s">
        <v>2415</v>
      </c>
      <c r="C1145">
        <v>20</v>
      </c>
      <c r="D1145" t="s">
        <v>88</v>
      </c>
      <c r="E1145">
        <v>66</v>
      </c>
      <c r="F1145" t="s">
        <v>1713</v>
      </c>
      <c r="G1145">
        <v>602</v>
      </c>
      <c r="H1145">
        <v>1</v>
      </c>
      <c r="I1145" t="s">
        <v>98</v>
      </c>
      <c r="J1145">
        <v>0</v>
      </c>
      <c r="K1145">
        <v>1</v>
      </c>
      <c r="L1145">
        <v>5</v>
      </c>
      <c r="M1145">
        <v>229</v>
      </c>
      <c r="N1145">
        <v>496</v>
      </c>
      <c r="O1145">
        <v>10</v>
      </c>
      <c r="P1145">
        <v>496</v>
      </c>
      <c r="Q1145">
        <v>76</v>
      </c>
      <c r="R1145">
        <v>79</v>
      </c>
      <c r="S1145">
        <v>14</v>
      </c>
      <c r="T1145">
        <v>8</v>
      </c>
      <c r="U1145">
        <v>13</v>
      </c>
      <c r="V1145">
        <v>17</v>
      </c>
      <c r="W1145">
        <v>10</v>
      </c>
      <c r="X1145">
        <v>10</v>
      </c>
      <c r="Y1145">
        <v>218</v>
      </c>
      <c r="Z1145">
        <v>3</v>
      </c>
      <c r="AA1145">
        <v>13</v>
      </c>
      <c r="AB1145">
        <v>13</v>
      </c>
      <c r="AC1145">
        <v>1</v>
      </c>
      <c r="AD1145">
        <v>0</v>
      </c>
      <c r="AE1145">
        <v>0</v>
      </c>
      <c r="AF1145">
        <v>0</v>
      </c>
      <c r="AK1145">
        <v>7</v>
      </c>
      <c r="AL1145">
        <v>0</v>
      </c>
      <c r="AM1145">
        <v>0</v>
      </c>
      <c r="AN1145">
        <v>0</v>
      </c>
      <c r="AT1145">
        <v>3</v>
      </c>
      <c r="BC1145">
        <v>0</v>
      </c>
      <c r="BD1145">
        <v>11</v>
      </c>
      <c r="BE1145">
        <v>496</v>
      </c>
      <c r="BF1145">
        <v>496</v>
      </c>
      <c r="BG1145">
        <v>703</v>
      </c>
      <c r="BJ1145">
        <v>1</v>
      </c>
      <c r="BL1145" t="s">
        <v>2416</v>
      </c>
      <c r="BM1145" s="4">
        <v>43283.043749999997</v>
      </c>
      <c r="BN1145" s="4">
        <v>43283.048344907409</v>
      </c>
      <c r="BO1145" s="4">
        <v>43283.048344907409</v>
      </c>
      <c r="BP1145" t="s">
        <v>92</v>
      </c>
      <c r="BQ1145" t="s">
        <v>93</v>
      </c>
      <c r="BR1145" t="s">
        <v>94</v>
      </c>
    </row>
    <row r="1146" spans="1:70" x14ac:dyDescent="0.3">
      <c r="A1146" t="str">
        <f>"200603B0100"</f>
        <v>200603B0100</v>
      </c>
      <c r="B1146" t="s">
        <v>2417</v>
      </c>
      <c r="C1146">
        <v>20</v>
      </c>
      <c r="D1146" t="s">
        <v>88</v>
      </c>
      <c r="E1146">
        <v>66</v>
      </c>
      <c r="F1146" t="s">
        <v>1713</v>
      </c>
      <c r="G1146">
        <v>603</v>
      </c>
      <c r="H1146">
        <v>1</v>
      </c>
      <c r="I1146" t="s">
        <v>90</v>
      </c>
      <c r="J1146">
        <v>0</v>
      </c>
      <c r="K1146">
        <v>1</v>
      </c>
      <c r="L1146">
        <v>5</v>
      </c>
      <c r="M1146">
        <v>194</v>
      </c>
      <c r="N1146">
        <v>540</v>
      </c>
      <c r="O1146">
        <v>3</v>
      </c>
      <c r="P1146">
        <v>540</v>
      </c>
      <c r="Q1146">
        <v>84</v>
      </c>
      <c r="R1146">
        <v>136</v>
      </c>
      <c r="S1146">
        <v>10</v>
      </c>
      <c r="T1146">
        <v>6</v>
      </c>
      <c r="U1146">
        <v>24</v>
      </c>
      <c r="V1146">
        <v>10</v>
      </c>
      <c r="W1146">
        <v>4</v>
      </c>
      <c r="X1146">
        <v>18</v>
      </c>
      <c r="Y1146">
        <v>203</v>
      </c>
      <c r="Z1146">
        <v>8</v>
      </c>
      <c r="AA1146">
        <v>6</v>
      </c>
      <c r="AB1146">
        <v>13</v>
      </c>
      <c r="AC1146">
        <v>1</v>
      </c>
      <c r="AD1146">
        <v>2</v>
      </c>
      <c r="AE1146" t="s">
        <v>105</v>
      </c>
      <c r="AF1146" t="s">
        <v>105</v>
      </c>
      <c r="AK1146">
        <v>2</v>
      </c>
      <c r="AL1146">
        <v>1</v>
      </c>
      <c r="AM1146" t="s">
        <v>105</v>
      </c>
      <c r="AN1146" t="s">
        <v>105</v>
      </c>
      <c r="AT1146">
        <v>7</v>
      </c>
      <c r="BC1146">
        <v>1</v>
      </c>
      <c r="BD1146">
        <v>4</v>
      </c>
      <c r="BE1146">
        <v>540</v>
      </c>
      <c r="BF1146">
        <v>540</v>
      </c>
      <c r="BG1146">
        <v>712</v>
      </c>
      <c r="BI1146" t="s">
        <v>106</v>
      </c>
      <c r="BJ1146">
        <v>1</v>
      </c>
      <c r="BL1146" t="s">
        <v>2418</v>
      </c>
      <c r="BM1146" s="4">
        <v>43283.113194444442</v>
      </c>
      <c r="BN1146" s="4">
        <v>43283.119479166664</v>
      </c>
      <c r="BO1146" s="4">
        <v>43283.119479166664</v>
      </c>
      <c r="BP1146" t="s">
        <v>92</v>
      </c>
      <c r="BQ1146" t="s">
        <v>93</v>
      </c>
      <c r="BR1146" t="s">
        <v>94</v>
      </c>
    </row>
    <row r="1147" spans="1:70" x14ac:dyDescent="0.3">
      <c r="A1147" t="str">
        <f>"200604B0100"</f>
        <v>200604B0100</v>
      </c>
      <c r="B1147" t="s">
        <v>2419</v>
      </c>
      <c r="C1147">
        <v>20</v>
      </c>
      <c r="D1147" t="s">
        <v>88</v>
      </c>
      <c r="E1147">
        <v>66</v>
      </c>
      <c r="F1147" t="s">
        <v>1713</v>
      </c>
      <c r="G1147">
        <v>604</v>
      </c>
      <c r="H1147">
        <v>1</v>
      </c>
      <c r="I1147" t="s">
        <v>90</v>
      </c>
      <c r="J1147">
        <v>0</v>
      </c>
      <c r="K1147">
        <v>1</v>
      </c>
      <c r="L1147">
        <v>5</v>
      </c>
      <c r="M1147">
        <v>234</v>
      </c>
      <c r="N1147">
        <v>353</v>
      </c>
      <c r="O1147">
        <v>7</v>
      </c>
      <c r="P1147">
        <v>347</v>
      </c>
      <c r="Q1147">
        <v>49</v>
      </c>
      <c r="R1147">
        <v>78</v>
      </c>
      <c r="S1147">
        <v>9</v>
      </c>
      <c r="T1147">
        <v>5</v>
      </c>
      <c r="U1147">
        <v>10</v>
      </c>
      <c r="V1147">
        <v>4</v>
      </c>
      <c r="W1147">
        <v>7</v>
      </c>
      <c r="X1147">
        <v>9</v>
      </c>
      <c r="Y1147">
        <v>153</v>
      </c>
      <c r="Z1147">
        <v>4</v>
      </c>
      <c r="AA1147">
        <v>3</v>
      </c>
      <c r="AB1147">
        <v>7</v>
      </c>
      <c r="AC1147">
        <v>0</v>
      </c>
      <c r="AD1147">
        <v>0</v>
      </c>
      <c r="AE1147">
        <v>0</v>
      </c>
      <c r="AF1147">
        <v>0</v>
      </c>
      <c r="AK1147">
        <v>0</v>
      </c>
      <c r="AL1147">
        <v>2</v>
      </c>
      <c r="AM1147">
        <v>0</v>
      </c>
      <c r="AN1147">
        <v>2</v>
      </c>
      <c r="AT1147">
        <v>1</v>
      </c>
      <c r="BC1147">
        <v>0</v>
      </c>
      <c r="BD1147">
        <v>8</v>
      </c>
      <c r="BE1147">
        <v>351</v>
      </c>
      <c r="BF1147">
        <v>351</v>
      </c>
      <c r="BG1147">
        <v>564</v>
      </c>
      <c r="BJ1147">
        <v>1</v>
      </c>
      <c r="BL1147" t="s">
        <v>2420</v>
      </c>
      <c r="BM1147" s="4">
        <v>43282.927870370368</v>
      </c>
      <c r="BN1147" s="4">
        <v>43282.932326388887</v>
      </c>
      <c r="BO1147" s="4">
        <v>43282.932326388887</v>
      </c>
      <c r="BP1147" t="s">
        <v>339</v>
      </c>
      <c r="BQ1147" t="s">
        <v>340</v>
      </c>
      <c r="BR1147" t="s">
        <v>94</v>
      </c>
    </row>
    <row r="1148" spans="1:70" x14ac:dyDescent="0.3">
      <c r="A1148" t="str">
        <f>"200604C0100"</f>
        <v>200604C0100</v>
      </c>
      <c r="B1148" t="s">
        <v>2421</v>
      </c>
      <c r="C1148">
        <v>20</v>
      </c>
      <c r="D1148" t="s">
        <v>88</v>
      </c>
      <c r="E1148">
        <v>66</v>
      </c>
      <c r="F1148" t="s">
        <v>1713</v>
      </c>
      <c r="G1148">
        <v>604</v>
      </c>
      <c r="H1148">
        <v>1</v>
      </c>
      <c r="I1148" t="s">
        <v>98</v>
      </c>
      <c r="J1148">
        <v>0</v>
      </c>
      <c r="K1148">
        <v>1</v>
      </c>
      <c r="L1148">
        <v>5</v>
      </c>
      <c r="M1148">
        <v>188</v>
      </c>
      <c r="N1148">
        <v>397</v>
      </c>
      <c r="O1148">
        <v>6</v>
      </c>
      <c r="P1148">
        <v>398</v>
      </c>
      <c r="Q1148">
        <v>68</v>
      </c>
      <c r="R1148">
        <v>52</v>
      </c>
      <c r="S1148">
        <v>13</v>
      </c>
      <c r="T1148">
        <v>6</v>
      </c>
      <c r="U1148">
        <v>20</v>
      </c>
      <c r="V1148">
        <v>9</v>
      </c>
      <c r="W1148">
        <v>9</v>
      </c>
      <c r="X1148">
        <v>5</v>
      </c>
      <c r="Y1148">
        <v>174</v>
      </c>
      <c r="Z1148">
        <v>10</v>
      </c>
      <c r="AA1148">
        <v>4</v>
      </c>
      <c r="AB1148">
        <v>8</v>
      </c>
      <c r="AC1148">
        <v>2</v>
      </c>
      <c r="AD1148">
        <v>0</v>
      </c>
      <c r="AE1148">
        <v>0</v>
      </c>
      <c r="AF1148">
        <v>0</v>
      </c>
      <c r="AK1148">
        <v>1</v>
      </c>
      <c r="AL1148">
        <v>2</v>
      </c>
      <c r="AM1148">
        <v>0</v>
      </c>
      <c r="AN1148">
        <v>1</v>
      </c>
      <c r="AT1148">
        <v>2</v>
      </c>
      <c r="BC1148">
        <v>1</v>
      </c>
      <c r="BD1148">
        <v>11</v>
      </c>
      <c r="BE1148">
        <v>398</v>
      </c>
      <c r="BF1148">
        <v>398</v>
      </c>
      <c r="BG1148">
        <v>563</v>
      </c>
      <c r="BJ1148">
        <v>1</v>
      </c>
      <c r="BL1148" t="s">
        <v>2422</v>
      </c>
      <c r="BM1148" s="4">
        <v>43282.912800925929</v>
      </c>
      <c r="BN1148" s="4">
        <v>43282.916574074072</v>
      </c>
      <c r="BO1148" s="4">
        <v>43282.916574074072</v>
      </c>
      <c r="BP1148" t="s">
        <v>339</v>
      </c>
      <c r="BQ1148" t="s">
        <v>340</v>
      </c>
      <c r="BR1148" t="s">
        <v>94</v>
      </c>
    </row>
    <row r="1149" spans="1:70" x14ac:dyDescent="0.3">
      <c r="A1149" t="str">
        <f>"200605B0100"</f>
        <v>200605B0100</v>
      </c>
      <c r="B1149" t="s">
        <v>2423</v>
      </c>
      <c r="C1149">
        <v>20</v>
      </c>
      <c r="D1149" t="s">
        <v>88</v>
      </c>
      <c r="E1149">
        <v>66</v>
      </c>
      <c r="F1149" t="s">
        <v>1713</v>
      </c>
      <c r="G1149">
        <v>605</v>
      </c>
      <c r="H1149">
        <v>1</v>
      </c>
      <c r="I1149" t="s">
        <v>90</v>
      </c>
      <c r="J1149">
        <v>0</v>
      </c>
      <c r="K1149">
        <v>1</v>
      </c>
      <c r="L1149">
        <v>5</v>
      </c>
      <c r="M1149">
        <v>332</v>
      </c>
      <c r="N1149">
        <v>398</v>
      </c>
      <c r="O1149">
        <v>6</v>
      </c>
      <c r="P1149">
        <v>394</v>
      </c>
      <c r="Q1149">
        <v>61</v>
      </c>
      <c r="R1149">
        <v>54</v>
      </c>
      <c r="S1149">
        <v>16</v>
      </c>
      <c r="T1149">
        <v>3</v>
      </c>
      <c r="U1149">
        <v>21</v>
      </c>
      <c r="V1149">
        <v>9</v>
      </c>
      <c r="W1149">
        <v>12</v>
      </c>
      <c r="X1149">
        <v>5</v>
      </c>
      <c r="Y1149">
        <v>168</v>
      </c>
      <c r="Z1149">
        <v>9</v>
      </c>
      <c r="AA1149">
        <v>2</v>
      </c>
      <c r="AB1149">
        <v>6</v>
      </c>
      <c r="AC1149">
        <v>1</v>
      </c>
      <c r="AD1149">
        <v>1</v>
      </c>
      <c r="AE1149">
        <v>0</v>
      </c>
      <c r="AF1149">
        <v>0</v>
      </c>
      <c r="AK1149">
        <v>2</v>
      </c>
      <c r="AL1149">
        <v>0</v>
      </c>
      <c r="AM1149">
        <v>2</v>
      </c>
      <c r="AN1149">
        <v>0</v>
      </c>
      <c r="AT1149">
        <v>1</v>
      </c>
      <c r="BC1149">
        <v>0</v>
      </c>
      <c r="BD1149">
        <v>21</v>
      </c>
      <c r="BE1149">
        <v>394</v>
      </c>
      <c r="BF1149">
        <v>394</v>
      </c>
      <c r="BG1149">
        <v>706</v>
      </c>
      <c r="BJ1149">
        <v>1</v>
      </c>
      <c r="BL1149" t="s">
        <v>2424</v>
      </c>
      <c r="BM1149" s="4">
        <v>43283.214583333334</v>
      </c>
      <c r="BN1149" s="4">
        <v>43283.236238425925</v>
      </c>
      <c r="BO1149" s="4">
        <v>43283.236238425925</v>
      </c>
      <c r="BP1149" t="s">
        <v>92</v>
      </c>
      <c r="BQ1149" t="s">
        <v>93</v>
      </c>
      <c r="BR1149" t="s">
        <v>94</v>
      </c>
    </row>
    <row r="1150" spans="1:70" x14ac:dyDescent="0.3">
      <c r="A1150" t="str">
        <f>"200605C0100"</f>
        <v>200605C0100</v>
      </c>
      <c r="B1150" t="s">
        <v>2425</v>
      </c>
      <c r="C1150">
        <v>20</v>
      </c>
      <c r="D1150" t="s">
        <v>88</v>
      </c>
      <c r="E1150">
        <v>66</v>
      </c>
      <c r="F1150" t="s">
        <v>1713</v>
      </c>
      <c r="G1150">
        <v>605</v>
      </c>
      <c r="H1150">
        <v>1</v>
      </c>
      <c r="I1150" t="s">
        <v>98</v>
      </c>
      <c r="J1150">
        <v>0</v>
      </c>
      <c r="K1150">
        <v>1</v>
      </c>
      <c r="L1150">
        <v>5</v>
      </c>
      <c r="M1150">
        <v>300</v>
      </c>
      <c r="N1150">
        <v>428</v>
      </c>
      <c r="O1150">
        <v>3</v>
      </c>
      <c r="P1150">
        <v>430</v>
      </c>
      <c r="Q1150">
        <v>75</v>
      </c>
      <c r="R1150">
        <v>42</v>
      </c>
      <c r="S1150">
        <v>15</v>
      </c>
      <c r="T1150">
        <v>6</v>
      </c>
      <c r="U1150">
        <v>31</v>
      </c>
      <c r="V1150">
        <v>15</v>
      </c>
      <c r="W1150">
        <v>11</v>
      </c>
      <c r="X1150">
        <v>9</v>
      </c>
      <c r="Y1150">
        <v>177</v>
      </c>
      <c r="Z1150">
        <v>9</v>
      </c>
      <c r="AA1150">
        <v>4</v>
      </c>
      <c r="AB1150">
        <v>10</v>
      </c>
      <c r="AC1150">
        <v>6</v>
      </c>
      <c r="AD1150">
        <v>3</v>
      </c>
      <c r="AE1150">
        <v>0</v>
      </c>
      <c r="AF1150">
        <v>0</v>
      </c>
      <c r="AK1150">
        <v>5</v>
      </c>
      <c r="AL1150">
        <v>0</v>
      </c>
      <c r="AM1150">
        <v>1</v>
      </c>
      <c r="AN1150">
        <v>0</v>
      </c>
      <c r="AT1150">
        <v>0</v>
      </c>
      <c r="BC1150">
        <v>0</v>
      </c>
      <c r="BD1150">
        <v>11</v>
      </c>
      <c r="BE1150">
        <v>400</v>
      </c>
      <c r="BF1150">
        <v>430</v>
      </c>
      <c r="BG1150">
        <v>706</v>
      </c>
      <c r="BJ1150">
        <v>1</v>
      </c>
      <c r="BL1150" t="s">
        <v>2426</v>
      </c>
      <c r="BM1150" s="4">
        <v>43283.213888888888</v>
      </c>
      <c r="BN1150" s="4">
        <v>43283.235023148147</v>
      </c>
      <c r="BO1150" s="4">
        <v>43283.235023148147</v>
      </c>
      <c r="BP1150" t="s">
        <v>92</v>
      </c>
      <c r="BQ1150" t="s">
        <v>93</v>
      </c>
      <c r="BR1150" t="s">
        <v>94</v>
      </c>
    </row>
    <row r="1151" spans="1:70" x14ac:dyDescent="0.3">
      <c r="A1151" t="str">
        <f>"200606B0100"</f>
        <v>200606B0100</v>
      </c>
      <c r="B1151" t="s">
        <v>2427</v>
      </c>
      <c r="C1151">
        <v>20</v>
      </c>
      <c r="D1151" t="s">
        <v>88</v>
      </c>
      <c r="E1151">
        <v>66</v>
      </c>
      <c r="F1151" t="s">
        <v>1713</v>
      </c>
      <c r="G1151">
        <v>606</v>
      </c>
      <c r="H1151">
        <v>1</v>
      </c>
      <c r="I1151" t="s">
        <v>90</v>
      </c>
      <c r="J1151">
        <v>0</v>
      </c>
      <c r="K1151">
        <v>1</v>
      </c>
      <c r="L1151">
        <v>5</v>
      </c>
      <c r="M1151">
        <v>195</v>
      </c>
      <c r="N1151">
        <v>378</v>
      </c>
      <c r="O1151">
        <v>0</v>
      </c>
      <c r="P1151">
        <v>378</v>
      </c>
      <c r="Q1151">
        <v>44</v>
      </c>
      <c r="R1151">
        <v>70</v>
      </c>
      <c r="S1151">
        <v>14</v>
      </c>
      <c r="T1151">
        <v>8</v>
      </c>
      <c r="U1151">
        <v>15</v>
      </c>
      <c r="V1151">
        <v>7</v>
      </c>
      <c r="W1151">
        <v>6</v>
      </c>
      <c r="X1151">
        <v>7</v>
      </c>
      <c r="Y1151">
        <v>164</v>
      </c>
      <c r="Z1151">
        <v>5</v>
      </c>
      <c r="AA1151">
        <v>6</v>
      </c>
      <c r="AB1151">
        <v>7</v>
      </c>
      <c r="AC1151">
        <v>1</v>
      </c>
      <c r="AD1151">
        <v>0</v>
      </c>
      <c r="AE1151">
        <v>0</v>
      </c>
      <c r="AF1151">
        <v>0</v>
      </c>
      <c r="AK1151">
        <v>7</v>
      </c>
      <c r="AL1151">
        <v>2</v>
      </c>
      <c r="AM1151">
        <v>0</v>
      </c>
      <c r="AN1151">
        <v>4</v>
      </c>
      <c r="AT1151">
        <v>2</v>
      </c>
      <c r="BC1151">
        <v>0</v>
      </c>
      <c r="BD1151">
        <v>9</v>
      </c>
      <c r="BE1151">
        <v>378</v>
      </c>
      <c r="BF1151">
        <v>378</v>
      </c>
      <c r="BG1151">
        <v>563</v>
      </c>
      <c r="BJ1151">
        <v>1</v>
      </c>
      <c r="BL1151" t="s">
        <v>2428</v>
      </c>
      <c r="BM1151" s="4">
        <v>43283.193055555559</v>
      </c>
      <c r="BN1151" s="4">
        <v>43283.210462962961</v>
      </c>
      <c r="BO1151" s="4">
        <v>43283.210462962961</v>
      </c>
      <c r="BP1151" t="s">
        <v>92</v>
      </c>
      <c r="BQ1151" t="s">
        <v>93</v>
      </c>
      <c r="BR1151" t="s">
        <v>94</v>
      </c>
    </row>
    <row r="1152" spans="1:70" x14ac:dyDescent="0.3">
      <c r="A1152" t="str">
        <f>"200606C0100"</f>
        <v>200606C0100</v>
      </c>
      <c r="B1152" t="s">
        <v>2429</v>
      </c>
      <c r="C1152">
        <v>20</v>
      </c>
      <c r="D1152" t="s">
        <v>88</v>
      </c>
      <c r="E1152">
        <v>66</v>
      </c>
      <c r="F1152" t="s">
        <v>1713</v>
      </c>
      <c r="G1152">
        <v>606</v>
      </c>
      <c r="H1152">
        <v>1</v>
      </c>
      <c r="I1152" t="s">
        <v>98</v>
      </c>
      <c r="J1152">
        <v>0</v>
      </c>
      <c r="K1152">
        <v>1</v>
      </c>
      <c r="L1152">
        <v>5</v>
      </c>
      <c r="M1152">
        <v>233</v>
      </c>
      <c r="N1152">
        <v>351</v>
      </c>
      <c r="O1152">
        <v>1</v>
      </c>
      <c r="P1152">
        <v>362</v>
      </c>
      <c r="Q1152">
        <v>41</v>
      </c>
      <c r="R1152">
        <v>60</v>
      </c>
      <c r="S1152">
        <v>10</v>
      </c>
      <c r="T1152">
        <v>4</v>
      </c>
      <c r="U1152">
        <v>9</v>
      </c>
      <c r="V1152">
        <v>6</v>
      </c>
      <c r="W1152">
        <v>7</v>
      </c>
      <c r="X1152">
        <v>4</v>
      </c>
      <c r="Y1152">
        <v>184</v>
      </c>
      <c r="Z1152">
        <v>7</v>
      </c>
      <c r="AA1152">
        <v>2</v>
      </c>
      <c r="AB1152">
        <v>9</v>
      </c>
      <c r="AC1152">
        <v>1</v>
      </c>
      <c r="AD1152">
        <v>0</v>
      </c>
      <c r="AE1152">
        <v>0</v>
      </c>
      <c r="AF1152">
        <v>0</v>
      </c>
      <c r="AK1152">
        <v>5</v>
      </c>
      <c r="AL1152">
        <v>0</v>
      </c>
      <c r="AM1152">
        <v>0</v>
      </c>
      <c r="AN1152">
        <v>0</v>
      </c>
      <c r="AT1152">
        <v>4</v>
      </c>
      <c r="BC1152">
        <v>0</v>
      </c>
      <c r="BD1152">
        <v>9</v>
      </c>
      <c r="BE1152">
        <v>362</v>
      </c>
      <c r="BF1152">
        <v>362</v>
      </c>
      <c r="BG1152">
        <v>562</v>
      </c>
      <c r="BJ1152">
        <v>1</v>
      </c>
      <c r="BL1152" t="s">
        <v>2430</v>
      </c>
      <c r="BM1152" s="4">
        <v>43282.885972222219</v>
      </c>
      <c r="BN1152" s="4">
        <v>43282.889386574076</v>
      </c>
      <c r="BO1152" s="4">
        <v>43282.889386574076</v>
      </c>
      <c r="BP1152" t="s">
        <v>339</v>
      </c>
      <c r="BQ1152" t="s">
        <v>340</v>
      </c>
      <c r="BR1152" t="s">
        <v>94</v>
      </c>
    </row>
    <row r="1153" spans="1:70" x14ac:dyDescent="0.3">
      <c r="A1153" t="str">
        <f>"200607B0100"</f>
        <v>200607B0100</v>
      </c>
      <c r="B1153" t="s">
        <v>2431</v>
      </c>
      <c r="C1153">
        <v>20</v>
      </c>
      <c r="D1153" t="s">
        <v>88</v>
      </c>
      <c r="E1153">
        <v>66</v>
      </c>
      <c r="F1153" t="s">
        <v>1713</v>
      </c>
      <c r="G1153">
        <v>607</v>
      </c>
      <c r="H1153">
        <v>1</v>
      </c>
      <c r="I1153" t="s">
        <v>90</v>
      </c>
      <c r="J1153">
        <v>0</v>
      </c>
      <c r="K1153">
        <v>1</v>
      </c>
      <c r="L1153">
        <v>5</v>
      </c>
      <c r="BG1153">
        <v>671</v>
      </c>
      <c r="BI1153" t="s">
        <v>407</v>
      </c>
      <c r="BJ1153">
        <v>0</v>
      </c>
      <c r="BL1153" t="s">
        <v>2432</v>
      </c>
      <c r="BM1153" s="4">
        <v>43283.310416666667</v>
      </c>
      <c r="BN1153" s="4">
        <v>43283.348668981482</v>
      </c>
      <c r="BO1153" s="4">
        <v>43283.348668981482</v>
      </c>
      <c r="BP1153" t="s">
        <v>92</v>
      </c>
      <c r="BQ1153" t="s">
        <v>93</v>
      </c>
      <c r="BR1153" t="s">
        <v>94</v>
      </c>
    </row>
    <row r="1154" spans="1:70" x14ac:dyDescent="0.3">
      <c r="A1154" t="str">
        <f>"200607C0100"</f>
        <v>200607C0100</v>
      </c>
      <c r="B1154" t="s">
        <v>2433</v>
      </c>
      <c r="C1154">
        <v>20</v>
      </c>
      <c r="D1154" t="s">
        <v>88</v>
      </c>
      <c r="E1154">
        <v>66</v>
      </c>
      <c r="F1154" t="s">
        <v>1713</v>
      </c>
      <c r="G1154">
        <v>607</v>
      </c>
      <c r="H1154">
        <v>1</v>
      </c>
      <c r="I1154" t="s">
        <v>98</v>
      </c>
      <c r="J1154">
        <v>0</v>
      </c>
      <c r="K1154">
        <v>1</v>
      </c>
      <c r="L1154">
        <v>5</v>
      </c>
      <c r="M1154">
        <v>262</v>
      </c>
      <c r="N1154">
        <v>431</v>
      </c>
      <c r="O1154">
        <v>5</v>
      </c>
      <c r="P1154">
        <v>431</v>
      </c>
      <c r="Q1154">
        <v>62</v>
      </c>
      <c r="R1154">
        <v>53</v>
      </c>
      <c r="S1154">
        <v>14</v>
      </c>
      <c r="T1154">
        <v>8</v>
      </c>
      <c r="U1154">
        <v>16</v>
      </c>
      <c r="V1154">
        <v>11</v>
      </c>
      <c r="W1154">
        <v>9</v>
      </c>
      <c r="X1154">
        <v>2</v>
      </c>
      <c r="Y1154">
        <v>219</v>
      </c>
      <c r="Z1154">
        <v>9</v>
      </c>
      <c r="AA1154">
        <v>3</v>
      </c>
      <c r="AB1154">
        <v>9</v>
      </c>
      <c r="AC1154">
        <v>1</v>
      </c>
      <c r="AD1154">
        <v>0</v>
      </c>
      <c r="AE1154">
        <v>0</v>
      </c>
      <c r="AF1154">
        <v>0</v>
      </c>
      <c r="AK1154">
        <v>7</v>
      </c>
      <c r="AL1154">
        <v>1</v>
      </c>
      <c r="AM1154">
        <v>0</v>
      </c>
      <c r="AN1154">
        <v>1</v>
      </c>
      <c r="AT1154">
        <v>3</v>
      </c>
      <c r="BC1154">
        <v>0</v>
      </c>
      <c r="BD1154">
        <v>12</v>
      </c>
      <c r="BE1154">
        <v>431</v>
      </c>
      <c r="BF1154">
        <v>440</v>
      </c>
      <c r="BG1154">
        <v>671</v>
      </c>
      <c r="BJ1154">
        <v>1</v>
      </c>
      <c r="BL1154" t="s">
        <v>2434</v>
      </c>
      <c r="BM1154" s="4">
        <v>43283.11041666667</v>
      </c>
      <c r="BN1154" s="4">
        <v>43283.12909722222</v>
      </c>
      <c r="BO1154" s="4">
        <v>43283.12909722222</v>
      </c>
      <c r="BP1154" t="s">
        <v>92</v>
      </c>
      <c r="BQ1154" t="s">
        <v>93</v>
      </c>
      <c r="BR1154" t="s">
        <v>94</v>
      </c>
    </row>
    <row r="1155" spans="1:70" x14ac:dyDescent="0.3">
      <c r="A1155" t="str">
        <f>"200608B0100"</f>
        <v>200608B0100</v>
      </c>
      <c r="B1155" t="s">
        <v>2435</v>
      </c>
      <c r="C1155">
        <v>20</v>
      </c>
      <c r="D1155" t="s">
        <v>88</v>
      </c>
      <c r="E1155">
        <v>66</v>
      </c>
      <c r="F1155" t="s">
        <v>1713</v>
      </c>
      <c r="G1155">
        <v>608</v>
      </c>
      <c r="H1155">
        <v>1</v>
      </c>
      <c r="I1155" t="s">
        <v>90</v>
      </c>
      <c r="J1155">
        <v>0</v>
      </c>
      <c r="K1155">
        <v>1</v>
      </c>
      <c r="L1155">
        <v>5</v>
      </c>
      <c r="M1155">
        <v>141</v>
      </c>
      <c r="N1155">
        <v>327</v>
      </c>
      <c r="O1155">
        <v>6</v>
      </c>
      <c r="P1155">
        <v>323</v>
      </c>
      <c r="Q1155">
        <v>46</v>
      </c>
      <c r="R1155">
        <v>86</v>
      </c>
      <c r="S1155">
        <v>5</v>
      </c>
      <c r="T1155">
        <v>4</v>
      </c>
      <c r="U1155">
        <v>8</v>
      </c>
      <c r="V1155">
        <v>2</v>
      </c>
      <c r="W1155">
        <v>3</v>
      </c>
      <c r="X1155">
        <v>8</v>
      </c>
      <c r="Y1155">
        <v>118</v>
      </c>
      <c r="Z1155">
        <v>4</v>
      </c>
      <c r="AA1155">
        <v>6</v>
      </c>
      <c r="AB1155">
        <v>12</v>
      </c>
      <c r="AC1155">
        <v>4</v>
      </c>
      <c r="AD1155">
        <v>1</v>
      </c>
      <c r="AE1155">
        <v>0</v>
      </c>
      <c r="AF1155">
        <v>0</v>
      </c>
      <c r="AK1155">
        <v>1</v>
      </c>
      <c r="AL1155">
        <v>1</v>
      </c>
      <c r="AM1155">
        <v>1</v>
      </c>
      <c r="AN1155" t="s">
        <v>105</v>
      </c>
      <c r="AT1155" t="s">
        <v>105</v>
      </c>
      <c r="BC1155" t="s">
        <v>105</v>
      </c>
      <c r="BD1155">
        <v>13</v>
      </c>
      <c r="BE1155">
        <v>310</v>
      </c>
      <c r="BF1155">
        <v>323</v>
      </c>
      <c r="BG1155">
        <v>446</v>
      </c>
      <c r="BI1155" t="s">
        <v>106</v>
      </c>
      <c r="BJ1155">
        <v>1</v>
      </c>
      <c r="BL1155" t="s">
        <v>2436</v>
      </c>
      <c r="BM1155" s="4">
        <v>43283.109722222223</v>
      </c>
      <c r="BN1155" s="4">
        <v>43283.114062499997</v>
      </c>
      <c r="BO1155" s="4">
        <v>43283.114062499997</v>
      </c>
      <c r="BP1155" t="s">
        <v>92</v>
      </c>
      <c r="BQ1155" t="s">
        <v>93</v>
      </c>
      <c r="BR1155" t="s">
        <v>94</v>
      </c>
    </row>
    <row r="1156" spans="1:70" x14ac:dyDescent="0.3">
      <c r="A1156" t="str">
        <f>"200608C0100"</f>
        <v>200608C0100</v>
      </c>
      <c r="B1156" t="s">
        <v>2437</v>
      </c>
      <c r="C1156">
        <v>20</v>
      </c>
      <c r="D1156" t="s">
        <v>88</v>
      </c>
      <c r="E1156">
        <v>66</v>
      </c>
      <c r="F1156" t="s">
        <v>1713</v>
      </c>
      <c r="G1156">
        <v>608</v>
      </c>
      <c r="H1156">
        <v>1</v>
      </c>
      <c r="I1156" t="s">
        <v>98</v>
      </c>
      <c r="J1156">
        <v>0</v>
      </c>
      <c r="K1156">
        <v>1</v>
      </c>
      <c r="L1156">
        <v>5</v>
      </c>
      <c r="M1156">
        <v>137</v>
      </c>
      <c r="N1156">
        <v>336</v>
      </c>
      <c r="O1156">
        <v>4</v>
      </c>
      <c r="P1156">
        <v>331</v>
      </c>
      <c r="Q1156">
        <v>48</v>
      </c>
      <c r="R1156">
        <v>87</v>
      </c>
      <c r="S1156">
        <v>6</v>
      </c>
      <c r="T1156">
        <v>7</v>
      </c>
      <c r="U1156">
        <v>8</v>
      </c>
      <c r="V1156">
        <v>7</v>
      </c>
      <c r="W1156">
        <v>6</v>
      </c>
      <c r="X1156">
        <v>6</v>
      </c>
      <c r="Y1156">
        <v>109</v>
      </c>
      <c r="Z1156">
        <v>4</v>
      </c>
      <c r="AA1156">
        <v>3</v>
      </c>
      <c r="AB1156">
        <v>13</v>
      </c>
      <c r="AC1156">
        <v>3</v>
      </c>
      <c r="AD1156">
        <v>0</v>
      </c>
      <c r="AE1156">
        <v>0</v>
      </c>
      <c r="AF1156">
        <v>0</v>
      </c>
      <c r="AK1156">
        <v>2</v>
      </c>
      <c r="AL1156">
        <v>1</v>
      </c>
      <c r="AM1156">
        <v>0</v>
      </c>
      <c r="AN1156">
        <v>2</v>
      </c>
      <c r="AT1156">
        <v>7</v>
      </c>
      <c r="BC1156">
        <v>0</v>
      </c>
      <c r="BD1156">
        <v>12</v>
      </c>
      <c r="BE1156">
        <v>331</v>
      </c>
      <c r="BF1156">
        <v>331</v>
      </c>
      <c r="BG1156">
        <v>446</v>
      </c>
      <c r="BJ1156">
        <v>1</v>
      </c>
      <c r="BL1156" t="s">
        <v>2438</v>
      </c>
      <c r="BM1156" s="4">
        <v>43283.109027777777</v>
      </c>
      <c r="BN1156" s="4">
        <v>43283.113900462966</v>
      </c>
      <c r="BO1156" s="4">
        <v>43283.113900462966</v>
      </c>
      <c r="BP1156" t="s">
        <v>92</v>
      </c>
      <c r="BQ1156" t="s">
        <v>93</v>
      </c>
      <c r="BR1156" t="s">
        <v>94</v>
      </c>
    </row>
    <row r="1157" spans="1:70" x14ac:dyDescent="0.3">
      <c r="A1157" t="str">
        <f>"200609B0100"</f>
        <v>200609B0100</v>
      </c>
      <c r="B1157" t="s">
        <v>2439</v>
      </c>
      <c r="C1157">
        <v>20</v>
      </c>
      <c r="D1157" t="s">
        <v>88</v>
      </c>
      <c r="E1157">
        <v>66</v>
      </c>
      <c r="F1157" t="s">
        <v>1713</v>
      </c>
      <c r="G1157">
        <v>609</v>
      </c>
      <c r="H1157">
        <v>1</v>
      </c>
      <c r="I1157" t="s">
        <v>90</v>
      </c>
      <c r="J1157">
        <v>0</v>
      </c>
      <c r="K1157">
        <v>1</v>
      </c>
      <c r="L1157">
        <v>5</v>
      </c>
      <c r="M1157">
        <v>255</v>
      </c>
      <c r="N1157">
        <v>384</v>
      </c>
      <c r="O1157">
        <v>1</v>
      </c>
      <c r="P1157">
        <v>383</v>
      </c>
      <c r="Q1157">
        <v>65</v>
      </c>
      <c r="R1157">
        <v>47</v>
      </c>
      <c r="S1157">
        <v>8</v>
      </c>
      <c r="T1157">
        <v>1</v>
      </c>
      <c r="U1157">
        <v>13</v>
      </c>
      <c r="V1157">
        <v>10</v>
      </c>
      <c r="W1157">
        <v>7</v>
      </c>
      <c r="X1157">
        <v>3</v>
      </c>
      <c r="Y1157">
        <v>199</v>
      </c>
      <c r="Z1157">
        <v>2</v>
      </c>
      <c r="AA1157">
        <v>2</v>
      </c>
      <c r="AB1157">
        <v>8</v>
      </c>
      <c r="AC1157">
        <v>2</v>
      </c>
      <c r="AD1157">
        <v>3</v>
      </c>
      <c r="AE1157">
        <v>0</v>
      </c>
      <c r="AF1157">
        <v>0</v>
      </c>
      <c r="AK1157">
        <v>2</v>
      </c>
      <c r="AL1157">
        <v>3</v>
      </c>
      <c r="AM1157">
        <v>0</v>
      </c>
      <c r="AN1157">
        <v>0</v>
      </c>
      <c r="AT1157">
        <v>1</v>
      </c>
      <c r="BC1157">
        <v>0</v>
      </c>
      <c r="BD1157">
        <v>7</v>
      </c>
      <c r="BE1157">
        <v>384</v>
      </c>
      <c r="BF1157">
        <v>383</v>
      </c>
      <c r="BG1157">
        <v>616</v>
      </c>
      <c r="BJ1157">
        <v>1</v>
      </c>
      <c r="BL1157" t="s">
        <v>2440</v>
      </c>
      <c r="BM1157" s="4">
        <v>43283.03402777778</v>
      </c>
      <c r="BN1157" s="4">
        <v>43283.038298611114</v>
      </c>
      <c r="BO1157" s="4">
        <v>43283.038298611114</v>
      </c>
      <c r="BP1157" t="s">
        <v>92</v>
      </c>
      <c r="BQ1157" t="s">
        <v>93</v>
      </c>
      <c r="BR1157" t="s">
        <v>94</v>
      </c>
    </row>
    <row r="1158" spans="1:70" x14ac:dyDescent="0.3">
      <c r="A1158" t="str">
        <f>"200609C0100"</f>
        <v>200609C0100</v>
      </c>
      <c r="B1158" t="s">
        <v>2441</v>
      </c>
      <c r="C1158">
        <v>20</v>
      </c>
      <c r="D1158" t="s">
        <v>88</v>
      </c>
      <c r="E1158">
        <v>66</v>
      </c>
      <c r="F1158" t="s">
        <v>1713</v>
      </c>
      <c r="G1158">
        <v>609</v>
      </c>
      <c r="H1158">
        <v>1</v>
      </c>
      <c r="I1158" t="s">
        <v>98</v>
      </c>
      <c r="J1158">
        <v>0</v>
      </c>
      <c r="K1158">
        <v>1</v>
      </c>
      <c r="L1158">
        <v>5</v>
      </c>
      <c r="M1158">
        <v>255</v>
      </c>
      <c r="N1158" t="s">
        <v>105</v>
      </c>
      <c r="O1158">
        <v>1</v>
      </c>
      <c r="P1158">
        <v>383</v>
      </c>
      <c r="Q1158">
        <v>68</v>
      </c>
      <c r="R1158">
        <v>49</v>
      </c>
      <c r="S1158">
        <v>13</v>
      </c>
      <c r="T1158">
        <v>3</v>
      </c>
      <c r="U1158">
        <v>19</v>
      </c>
      <c r="V1158">
        <v>16</v>
      </c>
      <c r="W1158">
        <v>8</v>
      </c>
      <c r="X1158">
        <v>6</v>
      </c>
      <c r="Y1158">
        <v>159</v>
      </c>
      <c r="Z1158">
        <v>4</v>
      </c>
      <c r="AA1158">
        <v>5</v>
      </c>
      <c r="AB1158">
        <v>11</v>
      </c>
      <c r="AC1158" t="s">
        <v>105</v>
      </c>
      <c r="AD1158" t="s">
        <v>105</v>
      </c>
      <c r="AE1158" t="s">
        <v>105</v>
      </c>
      <c r="AF1158" t="s">
        <v>105</v>
      </c>
      <c r="AK1158">
        <v>3</v>
      </c>
      <c r="AL1158">
        <v>4</v>
      </c>
      <c r="AM1158" t="s">
        <v>105</v>
      </c>
      <c r="AN1158" t="s">
        <v>105</v>
      </c>
      <c r="AT1158">
        <v>2</v>
      </c>
      <c r="BC1158">
        <v>2</v>
      </c>
      <c r="BD1158">
        <v>8</v>
      </c>
      <c r="BE1158">
        <v>383</v>
      </c>
      <c r="BF1158">
        <v>380</v>
      </c>
      <c r="BG1158">
        <v>616</v>
      </c>
      <c r="BI1158" t="s">
        <v>106</v>
      </c>
      <c r="BJ1158">
        <v>1</v>
      </c>
      <c r="BL1158" t="s">
        <v>2442</v>
      </c>
      <c r="BM1158" s="4">
        <v>43283.029861111114</v>
      </c>
      <c r="BN1158" s="4">
        <v>43283.034733796296</v>
      </c>
      <c r="BO1158" s="4">
        <v>43283.034733796296</v>
      </c>
      <c r="BP1158" t="s">
        <v>92</v>
      </c>
      <c r="BQ1158" t="s">
        <v>93</v>
      </c>
      <c r="BR1158" t="s">
        <v>94</v>
      </c>
    </row>
    <row r="1159" spans="1:70" x14ac:dyDescent="0.3">
      <c r="A1159" t="str">
        <f>"200609C0200"</f>
        <v>200609C0200</v>
      </c>
      <c r="B1159" t="s">
        <v>2443</v>
      </c>
      <c r="C1159">
        <v>20</v>
      </c>
      <c r="D1159" t="s">
        <v>88</v>
      </c>
      <c r="E1159">
        <v>66</v>
      </c>
      <c r="F1159" t="s">
        <v>1713</v>
      </c>
      <c r="G1159">
        <v>609</v>
      </c>
      <c r="H1159">
        <v>2</v>
      </c>
      <c r="I1159" t="s">
        <v>98</v>
      </c>
      <c r="J1159">
        <v>0</v>
      </c>
      <c r="K1159">
        <v>1</v>
      </c>
      <c r="L1159">
        <v>5</v>
      </c>
      <c r="BG1159">
        <v>615</v>
      </c>
      <c r="BI1159" t="s">
        <v>122</v>
      </c>
      <c r="BJ1159">
        <v>0</v>
      </c>
      <c r="BL1159" t="s">
        <v>2444</v>
      </c>
      <c r="BM1159" s="4">
        <v>43283.55</v>
      </c>
      <c r="BN1159" s="4">
        <v>43283.552557870367</v>
      </c>
      <c r="BO1159" s="4">
        <v>43283.552557870367</v>
      </c>
      <c r="BP1159" t="s">
        <v>92</v>
      </c>
      <c r="BQ1159" t="s">
        <v>93</v>
      </c>
      <c r="BR1159" t="s">
        <v>94</v>
      </c>
    </row>
    <row r="1160" spans="1:70" x14ac:dyDescent="0.3">
      <c r="A1160" t="str">
        <f>"200609C0300"</f>
        <v>200609C0300</v>
      </c>
      <c r="B1160" t="s">
        <v>2445</v>
      </c>
      <c r="C1160">
        <v>20</v>
      </c>
      <c r="D1160" t="s">
        <v>88</v>
      </c>
      <c r="E1160">
        <v>66</v>
      </c>
      <c r="F1160" t="s">
        <v>1713</v>
      </c>
      <c r="G1160">
        <v>609</v>
      </c>
      <c r="H1160">
        <v>3</v>
      </c>
      <c r="I1160" t="s">
        <v>98</v>
      </c>
      <c r="J1160">
        <v>0</v>
      </c>
      <c r="K1160">
        <v>1</v>
      </c>
      <c r="L1160">
        <v>5</v>
      </c>
      <c r="M1160">
        <v>232</v>
      </c>
      <c r="N1160">
        <v>407</v>
      </c>
      <c r="O1160">
        <v>1</v>
      </c>
      <c r="P1160">
        <v>401</v>
      </c>
      <c r="Q1160">
        <v>53</v>
      </c>
      <c r="R1160">
        <v>60</v>
      </c>
      <c r="S1160">
        <v>11</v>
      </c>
      <c r="T1160">
        <v>4</v>
      </c>
      <c r="U1160">
        <v>21</v>
      </c>
      <c r="V1160">
        <v>7</v>
      </c>
      <c r="W1160">
        <v>9</v>
      </c>
      <c r="X1160">
        <v>8</v>
      </c>
      <c r="Y1160">
        <v>176</v>
      </c>
      <c r="Z1160">
        <v>5</v>
      </c>
      <c r="AA1160">
        <v>2</v>
      </c>
      <c r="AB1160">
        <v>11</v>
      </c>
      <c r="AC1160">
        <v>4</v>
      </c>
      <c r="AD1160">
        <v>0</v>
      </c>
      <c r="AE1160">
        <v>0</v>
      </c>
      <c r="AF1160">
        <v>0</v>
      </c>
      <c r="AK1160">
        <v>5</v>
      </c>
      <c r="AL1160">
        <v>4</v>
      </c>
      <c r="AM1160">
        <v>0</v>
      </c>
      <c r="AN1160">
        <v>1</v>
      </c>
      <c r="AT1160">
        <v>3</v>
      </c>
      <c r="BC1160">
        <v>0</v>
      </c>
      <c r="BD1160">
        <v>17</v>
      </c>
      <c r="BE1160">
        <v>401</v>
      </c>
      <c r="BF1160">
        <v>401</v>
      </c>
      <c r="BG1160">
        <v>615</v>
      </c>
      <c r="BJ1160">
        <v>1</v>
      </c>
      <c r="BL1160" t="s">
        <v>2446</v>
      </c>
      <c r="BM1160" s="4">
        <v>43283.032638888886</v>
      </c>
      <c r="BN1160" s="4">
        <v>43283.038449074076</v>
      </c>
      <c r="BO1160" s="4">
        <v>43283.038449074076</v>
      </c>
      <c r="BP1160" t="s">
        <v>92</v>
      </c>
      <c r="BQ1160" t="s">
        <v>93</v>
      </c>
      <c r="BR1160" t="s">
        <v>94</v>
      </c>
    </row>
    <row r="1161" spans="1:70" x14ac:dyDescent="0.3">
      <c r="A1161" t="str">
        <f>"200609C0400"</f>
        <v>200609C0400</v>
      </c>
      <c r="B1161" t="s">
        <v>2447</v>
      </c>
      <c r="C1161">
        <v>20</v>
      </c>
      <c r="D1161" t="s">
        <v>88</v>
      </c>
      <c r="E1161">
        <v>66</v>
      </c>
      <c r="F1161" t="s">
        <v>1713</v>
      </c>
      <c r="G1161">
        <v>609</v>
      </c>
      <c r="H1161">
        <v>4</v>
      </c>
      <c r="I1161" t="s">
        <v>98</v>
      </c>
      <c r="J1161">
        <v>0</v>
      </c>
      <c r="K1161">
        <v>1</v>
      </c>
      <c r="L1161">
        <v>5</v>
      </c>
      <c r="M1161">
        <v>241</v>
      </c>
      <c r="N1161">
        <v>636</v>
      </c>
      <c r="O1161">
        <v>1</v>
      </c>
      <c r="P1161">
        <v>392</v>
      </c>
      <c r="Q1161">
        <v>63</v>
      </c>
      <c r="R1161">
        <v>51</v>
      </c>
      <c r="S1161">
        <v>20</v>
      </c>
      <c r="T1161">
        <v>4</v>
      </c>
      <c r="U1161">
        <v>14</v>
      </c>
      <c r="V1161">
        <v>10</v>
      </c>
      <c r="W1161">
        <v>6</v>
      </c>
      <c r="X1161">
        <v>4</v>
      </c>
      <c r="Y1161">
        <v>201</v>
      </c>
      <c r="Z1161">
        <v>4</v>
      </c>
      <c r="AA1161">
        <v>2</v>
      </c>
      <c r="AB1161">
        <v>5</v>
      </c>
      <c r="AC1161">
        <v>1</v>
      </c>
      <c r="AD1161">
        <v>0</v>
      </c>
      <c r="AE1161">
        <v>0</v>
      </c>
      <c r="AF1161">
        <v>0</v>
      </c>
      <c r="AK1161">
        <v>1</v>
      </c>
      <c r="AL1161">
        <v>4</v>
      </c>
      <c r="AM1161">
        <v>0</v>
      </c>
      <c r="AN1161">
        <v>0</v>
      </c>
      <c r="AT1161">
        <v>1</v>
      </c>
      <c r="BC1161">
        <v>0</v>
      </c>
      <c r="BD1161">
        <v>7</v>
      </c>
      <c r="BE1161">
        <v>398</v>
      </c>
      <c r="BF1161">
        <v>398</v>
      </c>
      <c r="BG1161">
        <v>615</v>
      </c>
      <c r="BJ1161">
        <v>1</v>
      </c>
      <c r="BL1161" t="s">
        <v>2448</v>
      </c>
      <c r="BM1161" s="4">
        <v>43283.031944444447</v>
      </c>
      <c r="BN1161" s="4">
        <v>43283.036099537036</v>
      </c>
      <c r="BO1161" s="4">
        <v>43283.036099537036</v>
      </c>
      <c r="BP1161" t="s">
        <v>92</v>
      </c>
      <c r="BQ1161" t="s">
        <v>93</v>
      </c>
      <c r="BR1161" t="s">
        <v>94</v>
      </c>
    </row>
    <row r="1162" spans="1:70" x14ac:dyDescent="0.3">
      <c r="A1162" t="str">
        <f>"200610B0100"</f>
        <v>200610B0100</v>
      </c>
      <c r="B1162" t="s">
        <v>2449</v>
      </c>
      <c r="C1162">
        <v>20</v>
      </c>
      <c r="D1162" t="s">
        <v>88</v>
      </c>
      <c r="E1162">
        <v>66</v>
      </c>
      <c r="F1162" t="s">
        <v>1713</v>
      </c>
      <c r="G1162">
        <v>610</v>
      </c>
      <c r="H1162">
        <v>1</v>
      </c>
      <c r="I1162" t="s">
        <v>90</v>
      </c>
      <c r="J1162">
        <v>0</v>
      </c>
      <c r="K1162">
        <v>1</v>
      </c>
      <c r="L1162">
        <v>5</v>
      </c>
      <c r="M1162">
        <v>125</v>
      </c>
      <c r="N1162">
        <v>337</v>
      </c>
      <c r="O1162">
        <v>5</v>
      </c>
      <c r="P1162">
        <v>338</v>
      </c>
      <c r="Q1162">
        <v>46</v>
      </c>
      <c r="R1162">
        <v>76</v>
      </c>
      <c r="S1162">
        <v>8</v>
      </c>
      <c r="T1162">
        <v>5</v>
      </c>
      <c r="U1162">
        <v>11</v>
      </c>
      <c r="V1162">
        <v>5</v>
      </c>
      <c r="W1162">
        <v>3</v>
      </c>
      <c r="X1162">
        <v>3</v>
      </c>
      <c r="Y1162">
        <v>146</v>
      </c>
      <c r="Z1162">
        <v>4</v>
      </c>
      <c r="AA1162">
        <v>0</v>
      </c>
      <c r="AB1162">
        <v>11</v>
      </c>
      <c r="AC1162">
        <v>0</v>
      </c>
      <c r="AD1162">
        <v>0</v>
      </c>
      <c r="AE1162">
        <v>0</v>
      </c>
      <c r="AF1162">
        <v>0</v>
      </c>
      <c r="AK1162">
        <v>4</v>
      </c>
      <c r="AL1162">
        <v>0</v>
      </c>
      <c r="AM1162">
        <v>0</v>
      </c>
      <c r="AN1162">
        <v>1</v>
      </c>
      <c r="AT1162">
        <v>1</v>
      </c>
      <c r="BC1162">
        <v>0</v>
      </c>
      <c r="BD1162">
        <v>14</v>
      </c>
      <c r="BE1162">
        <v>338</v>
      </c>
      <c r="BF1162">
        <v>338</v>
      </c>
      <c r="BG1162">
        <v>440</v>
      </c>
      <c r="BJ1162">
        <v>1</v>
      </c>
      <c r="BL1162" t="s">
        <v>2450</v>
      </c>
      <c r="BM1162" s="4">
        <v>43283.042361111111</v>
      </c>
      <c r="BN1162" s="4">
        <v>43283.047048611108</v>
      </c>
      <c r="BO1162" s="4">
        <v>43283.047048611108</v>
      </c>
      <c r="BP1162" t="s">
        <v>92</v>
      </c>
      <c r="BQ1162" t="s">
        <v>93</v>
      </c>
      <c r="BR1162" t="s">
        <v>94</v>
      </c>
    </row>
    <row r="1163" spans="1:70" x14ac:dyDescent="0.3">
      <c r="A1163" t="str">
        <f>"200610C0100"</f>
        <v>200610C0100</v>
      </c>
      <c r="B1163" t="s">
        <v>2451</v>
      </c>
      <c r="C1163">
        <v>20</v>
      </c>
      <c r="D1163" t="s">
        <v>88</v>
      </c>
      <c r="E1163">
        <v>66</v>
      </c>
      <c r="F1163" t="s">
        <v>1713</v>
      </c>
      <c r="G1163">
        <v>610</v>
      </c>
      <c r="H1163">
        <v>1</v>
      </c>
      <c r="I1163" t="s">
        <v>98</v>
      </c>
      <c r="J1163">
        <v>0</v>
      </c>
      <c r="K1163">
        <v>1</v>
      </c>
      <c r="L1163">
        <v>5</v>
      </c>
      <c r="M1163">
        <v>138</v>
      </c>
      <c r="N1163">
        <v>323</v>
      </c>
      <c r="O1163">
        <v>5</v>
      </c>
      <c r="P1163">
        <v>320</v>
      </c>
      <c r="Q1163">
        <v>51</v>
      </c>
      <c r="R1163">
        <v>68</v>
      </c>
      <c r="S1163">
        <v>10</v>
      </c>
      <c r="T1163">
        <v>2</v>
      </c>
      <c r="U1163">
        <v>8</v>
      </c>
      <c r="V1163">
        <v>3</v>
      </c>
      <c r="W1163">
        <v>6</v>
      </c>
      <c r="X1163">
        <v>5</v>
      </c>
      <c r="Y1163">
        <v>128</v>
      </c>
      <c r="Z1163">
        <v>7</v>
      </c>
      <c r="AA1163">
        <v>2</v>
      </c>
      <c r="AB1163">
        <v>9</v>
      </c>
      <c r="AC1163">
        <v>3</v>
      </c>
      <c r="AD1163">
        <v>0</v>
      </c>
      <c r="AE1163">
        <v>0</v>
      </c>
      <c r="AF1163">
        <v>0</v>
      </c>
      <c r="AK1163">
        <v>4</v>
      </c>
      <c r="AL1163">
        <v>2</v>
      </c>
      <c r="AM1163">
        <v>0</v>
      </c>
      <c r="AN1163">
        <v>1</v>
      </c>
      <c r="AT1163">
        <v>1</v>
      </c>
      <c r="BC1163">
        <v>0</v>
      </c>
      <c r="BD1163">
        <v>10</v>
      </c>
      <c r="BE1163">
        <v>320</v>
      </c>
      <c r="BF1163">
        <v>320</v>
      </c>
      <c r="BG1163">
        <v>439</v>
      </c>
      <c r="BJ1163">
        <v>1</v>
      </c>
      <c r="BL1163" t="s">
        <v>2452</v>
      </c>
      <c r="BM1163" s="4">
        <v>43283.046527777777</v>
      </c>
      <c r="BN1163" s="4">
        <v>43283.050856481481</v>
      </c>
      <c r="BO1163" s="4">
        <v>43283.050856481481</v>
      </c>
      <c r="BP1163" t="s">
        <v>92</v>
      </c>
      <c r="BQ1163" t="s">
        <v>93</v>
      </c>
      <c r="BR1163" t="s">
        <v>94</v>
      </c>
    </row>
    <row r="1164" spans="1:70" x14ac:dyDescent="0.3">
      <c r="A1164" t="str">
        <f>"200611B0100"</f>
        <v>200611B0100</v>
      </c>
      <c r="B1164" t="s">
        <v>2453</v>
      </c>
      <c r="C1164">
        <v>20</v>
      </c>
      <c r="D1164" t="s">
        <v>88</v>
      </c>
      <c r="E1164">
        <v>66</v>
      </c>
      <c r="F1164" t="s">
        <v>1713</v>
      </c>
      <c r="G1164">
        <v>611</v>
      </c>
      <c r="H1164">
        <v>1</v>
      </c>
      <c r="I1164" t="s">
        <v>90</v>
      </c>
      <c r="J1164">
        <v>0</v>
      </c>
      <c r="K1164">
        <v>1</v>
      </c>
      <c r="L1164">
        <v>5</v>
      </c>
      <c r="M1164">
        <v>211</v>
      </c>
      <c r="N1164">
        <v>369</v>
      </c>
      <c r="O1164">
        <v>3</v>
      </c>
      <c r="P1164">
        <v>376</v>
      </c>
      <c r="Q1164">
        <v>52</v>
      </c>
      <c r="R1164">
        <v>63</v>
      </c>
      <c r="S1164">
        <v>14</v>
      </c>
      <c r="T1164">
        <v>8</v>
      </c>
      <c r="U1164">
        <v>13</v>
      </c>
      <c r="V1164">
        <v>11</v>
      </c>
      <c r="W1164">
        <v>3</v>
      </c>
      <c r="X1164">
        <v>0</v>
      </c>
      <c r="Y1164">
        <v>174</v>
      </c>
      <c r="Z1164">
        <v>8</v>
      </c>
      <c r="AA1164">
        <v>1</v>
      </c>
      <c r="AB1164">
        <v>7</v>
      </c>
      <c r="AC1164">
        <v>1</v>
      </c>
      <c r="AD1164">
        <v>1</v>
      </c>
      <c r="AE1164">
        <v>0</v>
      </c>
      <c r="AF1164">
        <v>0</v>
      </c>
      <c r="AK1164">
        <v>6</v>
      </c>
      <c r="AL1164">
        <v>2</v>
      </c>
      <c r="AM1164">
        <v>0</v>
      </c>
      <c r="AN1164">
        <v>2</v>
      </c>
      <c r="AT1164">
        <v>0</v>
      </c>
      <c r="BC1164">
        <v>0</v>
      </c>
      <c r="BD1164">
        <v>10</v>
      </c>
      <c r="BE1164">
        <v>376</v>
      </c>
      <c r="BF1164">
        <v>376</v>
      </c>
      <c r="BG1164">
        <v>558</v>
      </c>
      <c r="BJ1164">
        <v>1</v>
      </c>
      <c r="BL1164" t="s">
        <v>2454</v>
      </c>
      <c r="BM1164" s="4">
        <v>43282.980717592596</v>
      </c>
      <c r="BN1164" s="4">
        <v>43282.984189814815</v>
      </c>
      <c r="BO1164" s="4">
        <v>43282.984189814815</v>
      </c>
      <c r="BP1164" t="s">
        <v>339</v>
      </c>
      <c r="BQ1164" t="s">
        <v>340</v>
      </c>
      <c r="BR1164" t="s">
        <v>94</v>
      </c>
    </row>
    <row r="1165" spans="1:70" x14ac:dyDescent="0.3">
      <c r="A1165" t="str">
        <f>"200611C0100"</f>
        <v>200611C0100</v>
      </c>
      <c r="B1165" t="s">
        <v>2455</v>
      </c>
      <c r="C1165">
        <v>20</v>
      </c>
      <c r="D1165" t="s">
        <v>88</v>
      </c>
      <c r="E1165">
        <v>66</v>
      </c>
      <c r="F1165" t="s">
        <v>1713</v>
      </c>
      <c r="G1165">
        <v>611</v>
      </c>
      <c r="H1165">
        <v>1</v>
      </c>
      <c r="I1165" t="s">
        <v>98</v>
      </c>
      <c r="J1165">
        <v>0</v>
      </c>
      <c r="K1165">
        <v>1</v>
      </c>
      <c r="L1165">
        <v>5</v>
      </c>
      <c r="M1165">
        <v>180</v>
      </c>
      <c r="N1165">
        <v>400</v>
      </c>
      <c r="O1165">
        <v>10</v>
      </c>
      <c r="P1165">
        <v>393</v>
      </c>
      <c r="Q1165">
        <v>59</v>
      </c>
      <c r="R1165">
        <v>43</v>
      </c>
      <c r="S1165">
        <v>5</v>
      </c>
      <c r="T1165">
        <v>7</v>
      </c>
      <c r="U1165">
        <v>15</v>
      </c>
      <c r="V1165">
        <v>4</v>
      </c>
      <c r="W1165">
        <v>9</v>
      </c>
      <c r="X1165">
        <v>4</v>
      </c>
      <c r="Y1165">
        <v>203</v>
      </c>
      <c r="Z1165">
        <v>7</v>
      </c>
      <c r="AA1165">
        <v>6</v>
      </c>
      <c r="AB1165">
        <v>12</v>
      </c>
      <c r="AC1165">
        <v>1</v>
      </c>
      <c r="AD1165">
        <v>0</v>
      </c>
      <c r="AE1165">
        <v>0</v>
      </c>
      <c r="AF1165">
        <v>0</v>
      </c>
      <c r="AK1165">
        <v>6</v>
      </c>
      <c r="AL1165">
        <v>1</v>
      </c>
      <c r="AM1165">
        <v>0</v>
      </c>
      <c r="AN1165">
        <v>2</v>
      </c>
      <c r="AT1165">
        <v>0</v>
      </c>
      <c r="BC1165">
        <v>0</v>
      </c>
      <c r="BD1165">
        <v>9</v>
      </c>
      <c r="BE1165">
        <v>393</v>
      </c>
      <c r="BF1165">
        <v>393</v>
      </c>
      <c r="BG1165">
        <v>558</v>
      </c>
      <c r="BJ1165">
        <v>1</v>
      </c>
      <c r="BL1165" t="s">
        <v>2456</v>
      </c>
      <c r="BM1165" s="4">
        <v>43282.95857638889</v>
      </c>
      <c r="BN1165" s="4">
        <v>43282.963287037041</v>
      </c>
      <c r="BO1165" s="4">
        <v>43282.963287037041</v>
      </c>
      <c r="BP1165" t="s">
        <v>339</v>
      </c>
      <c r="BQ1165" t="s">
        <v>340</v>
      </c>
      <c r="BR1165" t="s">
        <v>94</v>
      </c>
    </row>
    <row r="1166" spans="1:70" x14ac:dyDescent="0.3">
      <c r="A1166" t="str">
        <f>"200612B0100"</f>
        <v>200612B0100</v>
      </c>
      <c r="B1166" t="s">
        <v>2457</v>
      </c>
      <c r="C1166">
        <v>20</v>
      </c>
      <c r="D1166" t="s">
        <v>88</v>
      </c>
      <c r="E1166">
        <v>66</v>
      </c>
      <c r="F1166" t="s">
        <v>1713</v>
      </c>
      <c r="G1166">
        <v>612</v>
      </c>
      <c r="H1166">
        <v>1</v>
      </c>
      <c r="I1166" t="s">
        <v>90</v>
      </c>
      <c r="J1166">
        <v>0</v>
      </c>
      <c r="K1166">
        <v>1</v>
      </c>
      <c r="L1166">
        <v>5</v>
      </c>
      <c r="M1166">
        <v>210</v>
      </c>
      <c r="N1166">
        <v>386</v>
      </c>
      <c r="O1166">
        <v>4</v>
      </c>
      <c r="P1166">
        <v>394</v>
      </c>
      <c r="Q1166">
        <v>57</v>
      </c>
      <c r="R1166">
        <v>49</v>
      </c>
      <c r="S1166">
        <v>17</v>
      </c>
      <c r="T1166">
        <v>5</v>
      </c>
      <c r="U1166">
        <v>18</v>
      </c>
      <c r="V1166">
        <v>5</v>
      </c>
      <c r="W1166">
        <v>6</v>
      </c>
      <c r="X1166">
        <v>8</v>
      </c>
      <c r="Y1166">
        <v>192</v>
      </c>
      <c r="Z1166">
        <v>6</v>
      </c>
      <c r="AA1166">
        <v>0</v>
      </c>
      <c r="AB1166">
        <v>11</v>
      </c>
      <c r="AC1166">
        <v>3</v>
      </c>
      <c r="AD1166">
        <v>1</v>
      </c>
      <c r="AE1166">
        <v>0</v>
      </c>
      <c r="AF1166">
        <v>0</v>
      </c>
      <c r="AK1166">
        <v>4</v>
      </c>
      <c r="AL1166">
        <v>0</v>
      </c>
      <c r="AM1166">
        <v>0</v>
      </c>
      <c r="AN1166">
        <v>0</v>
      </c>
      <c r="AT1166">
        <v>2</v>
      </c>
      <c r="BC1166">
        <v>0</v>
      </c>
      <c r="BD1166">
        <v>10</v>
      </c>
      <c r="BE1166">
        <v>394</v>
      </c>
      <c r="BF1166">
        <v>394</v>
      </c>
      <c r="BG1166">
        <v>574</v>
      </c>
      <c r="BJ1166">
        <v>1</v>
      </c>
      <c r="BL1166" t="s">
        <v>2458</v>
      </c>
      <c r="BM1166" s="4">
        <v>43282.906342592592</v>
      </c>
      <c r="BN1166" s="4">
        <v>43282.910162037035</v>
      </c>
      <c r="BO1166" s="4">
        <v>43282.910162037035</v>
      </c>
      <c r="BP1166" t="s">
        <v>339</v>
      </c>
      <c r="BQ1166" t="s">
        <v>340</v>
      </c>
      <c r="BR1166" t="s">
        <v>94</v>
      </c>
    </row>
    <row r="1167" spans="1:70" x14ac:dyDescent="0.3">
      <c r="A1167" t="str">
        <f>"200612C0100"</f>
        <v>200612C0100</v>
      </c>
      <c r="B1167" t="s">
        <v>2459</v>
      </c>
      <c r="C1167">
        <v>20</v>
      </c>
      <c r="D1167" t="s">
        <v>88</v>
      </c>
      <c r="E1167">
        <v>66</v>
      </c>
      <c r="F1167" t="s">
        <v>1713</v>
      </c>
      <c r="G1167">
        <v>612</v>
      </c>
      <c r="H1167">
        <v>1</v>
      </c>
      <c r="I1167" t="s">
        <v>98</v>
      </c>
      <c r="J1167">
        <v>0</v>
      </c>
      <c r="K1167">
        <v>1</v>
      </c>
      <c r="L1167">
        <v>5</v>
      </c>
      <c r="M1167">
        <v>213</v>
      </c>
      <c r="N1167">
        <v>379</v>
      </c>
      <c r="O1167">
        <v>0</v>
      </c>
      <c r="P1167">
        <v>372</v>
      </c>
      <c r="Q1167">
        <v>61</v>
      </c>
      <c r="R1167">
        <v>54</v>
      </c>
      <c r="S1167">
        <v>18</v>
      </c>
      <c r="T1167">
        <v>6</v>
      </c>
      <c r="U1167">
        <v>10</v>
      </c>
      <c r="V1167">
        <v>5</v>
      </c>
      <c r="W1167">
        <v>5</v>
      </c>
      <c r="X1167">
        <v>2</v>
      </c>
      <c r="Y1167">
        <v>178</v>
      </c>
      <c r="Z1167">
        <v>4</v>
      </c>
      <c r="AA1167">
        <v>3</v>
      </c>
      <c r="AB1167">
        <v>7</v>
      </c>
      <c r="AC1167">
        <v>2</v>
      </c>
      <c r="AD1167">
        <v>2</v>
      </c>
      <c r="AE1167">
        <v>0</v>
      </c>
      <c r="AF1167">
        <v>0</v>
      </c>
      <c r="AK1167">
        <v>6</v>
      </c>
      <c r="AL1167">
        <v>1</v>
      </c>
      <c r="AM1167">
        <v>0</v>
      </c>
      <c r="AN1167">
        <v>0</v>
      </c>
      <c r="AT1167">
        <v>1</v>
      </c>
      <c r="BC1167">
        <v>0</v>
      </c>
      <c r="BD1167">
        <v>7</v>
      </c>
      <c r="BE1167">
        <v>372</v>
      </c>
      <c r="BF1167">
        <v>372</v>
      </c>
      <c r="BG1167">
        <v>573</v>
      </c>
      <c r="BJ1167">
        <v>1</v>
      </c>
      <c r="BL1167" t="s">
        <v>2460</v>
      </c>
      <c r="BM1167" s="4">
        <v>43283.192361111112</v>
      </c>
      <c r="BN1167" s="4">
        <v>43283.210856481484</v>
      </c>
      <c r="BO1167" s="4">
        <v>43283.210856481484</v>
      </c>
      <c r="BP1167" t="s">
        <v>92</v>
      </c>
      <c r="BQ1167" t="s">
        <v>93</v>
      </c>
      <c r="BR1167" t="s">
        <v>94</v>
      </c>
    </row>
    <row r="1168" spans="1:70" x14ac:dyDescent="0.3">
      <c r="A1168" t="str">
        <f>"200613B0100"</f>
        <v>200613B0100</v>
      </c>
      <c r="B1168" t="s">
        <v>2461</v>
      </c>
      <c r="C1168">
        <v>20</v>
      </c>
      <c r="D1168" t="s">
        <v>88</v>
      </c>
      <c r="E1168">
        <v>66</v>
      </c>
      <c r="F1168" t="s">
        <v>1713</v>
      </c>
      <c r="G1168">
        <v>613</v>
      </c>
      <c r="H1168">
        <v>1</v>
      </c>
      <c r="I1168" t="s">
        <v>90</v>
      </c>
      <c r="J1168">
        <v>0</v>
      </c>
      <c r="K1168">
        <v>1</v>
      </c>
      <c r="L1168">
        <v>5</v>
      </c>
      <c r="M1168">
        <v>159</v>
      </c>
      <c r="N1168">
        <v>344</v>
      </c>
      <c r="O1168">
        <v>3</v>
      </c>
      <c r="P1168">
        <v>333</v>
      </c>
      <c r="Q1168">
        <v>53</v>
      </c>
      <c r="R1168">
        <v>49</v>
      </c>
      <c r="S1168">
        <v>10</v>
      </c>
      <c r="T1168">
        <v>1</v>
      </c>
      <c r="U1168">
        <v>16</v>
      </c>
      <c r="V1168">
        <v>5</v>
      </c>
      <c r="W1168">
        <v>7</v>
      </c>
      <c r="X1168">
        <v>5</v>
      </c>
      <c r="Y1168">
        <v>178</v>
      </c>
      <c r="Z1168">
        <v>3</v>
      </c>
      <c r="AA1168">
        <v>3</v>
      </c>
      <c r="AB1168">
        <v>5</v>
      </c>
      <c r="AC1168">
        <v>3</v>
      </c>
      <c r="AD1168">
        <v>0</v>
      </c>
      <c r="AE1168">
        <v>1</v>
      </c>
      <c r="AF1168">
        <v>0</v>
      </c>
      <c r="AK1168">
        <v>1</v>
      </c>
      <c r="AL1168">
        <v>0</v>
      </c>
      <c r="AM1168">
        <v>0</v>
      </c>
      <c r="AN1168">
        <v>0</v>
      </c>
      <c r="AT1168">
        <v>0</v>
      </c>
      <c r="BC1168">
        <v>0</v>
      </c>
      <c r="BD1168">
        <v>6</v>
      </c>
      <c r="BE1168">
        <v>346</v>
      </c>
      <c r="BF1168">
        <v>346</v>
      </c>
      <c r="BG1168">
        <v>482</v>
      </c>
      <c r="BJ1168">
        <v>1</v>
      </c>
      <c r="BL1168" t="s">
        <v>2462</v>
      </c>
      <c r="BM1168" s="4">
        <v>43283.07708333333</v>
      </c>
      <c r="BN1168" s="4">
        <v>43283.080937500003</v>
      </c>
      <c r="BO1168" s="4">
        <v>43283.080937500003</v>
      </c>
      <c r="BP1168" t="s">
        <v>92</v>
      </c>
      <c r="BQ1168" t="s">
        <v>93</v>
      </c>
      <c r="BR1168" t="s">
        <v>94</v>
      </c>
    </row>
    <row r="1169" spans="1:70" x14ac:dyDescent="0.3">
      <c r="A1169" t="str">
        <f>"200613C0100"</f>
        <v>200613C0100</v>
      </c>
      <c r="B1169" t="s">
        <v>2463</v>
      </c>
      <c r="C1169">
        <v>20</v>
      </c>
      <c r="D1169" t="s">
        <v>88</v>
      </c>
      <c r="E1169">
        <v>66</v>
      </c>
      <c r="F1169" t="s">
        <v>1713</v>
      </c>
      <c r="G1169">
        <v>613</v>
      </c>
      <c r="H1169">
        <v>1</v>
      </c>
      <c r="I1169" t="s">
        <v>98</v>
      </c>
      <c r="J1169">
        <v>0</v>
      </c>
      <c r="K1169">
        <v>1</v>
      </c>
      <c r="L1169">
        <v>5</v>
      </c>
      <c r="M1169">
        <v>177</v>
      </c>
      <c r="N1169">
        <v>325</v>
      </c>
      <c r="O1169">
        <v>4</v>
      </c>
      <c r="P1169">
        <v>325</v>
      </c>
      <c r="Q1169">
        <v>47</v>
      </c>
      <c r="R1169">
        <v>38</v>
      </c>
      <c r="S1169">
        <v>8</v>
      </c>
      <c r="T1169">
        <v>4</v>
      </c>
      <c r="U1169">
        <v>14</v>
      </c>
      <c r="V1169">
        <v>4</v>
      </c>
      <c r="W1169">
        <v>8</v>
      </c>
      <c r="X1169">
        <v>4</v>
      </c>
      <c r="Y1169">
        <v>164</v>
      </c>
      <c r="Z1169">
        <v>3</v>
      </c>
      <c r="AA1169">
        <v>1</v>
      </c>
      <c r="AB1169">
        <v>6</v>
      </c>
      <c r="AC1169">
        <v>1</v>
      </c>
      <c r="AD1169">
        <v>0</v>
      </c>
      <c r="AE1169">
        <v>0</v>
      </c>
      <c r="AF1169">
        <v>0</v>
      </c>
      <c r="AK1169">
        <v>3</v>
      </c>
      <c r="AL1169">
        <v>2</v>
      </c>
      <c r="AM1169">
        <v>0</v>
      </c>
      <c r="AN1169">
        <v>0</v>
      </c>
      <c r="AT1169">
        <v>1</v>
      </c>
      <c r="BC1169">
        <v>0</v>
      </c>
      <c r="BD1169">
        <v>6</v>
      </c>
      <c r="BE1169">
        <v>325</v>
      </c>
      <c r="BF1169">
        <v>314</v>
      </c>
      <c r="BG1169">
        <v>482</v>
      </c>
      <c r="BJ1169">
        <v>1</v>
      </c>
      <c r="BL1169" t="s">
        <v>2464</v>
      </c>
      <c r="BM1169" s="4">
        <v>43283.028923611113</v>
      </c>
      <c r="BN1169" s="4">
        <v>43283.033692129633</v>
      </c>
      <c r="BO1169" s="4">
        <v>43283.033692129633</v>
      </c>
      <c r="BP1169" t="s">
        <v>339</v>
      </c>
      <c r="BQ1169" t="s">
        <v>340</v>
      </c>
      <c r="BR1169" t="s">
        <v>94</v>
      </c>
    </row>
    <row r="1170" spans="1:70" x14ac:dyDescent="0.3">
      <c r="A1170" t="str">
        <f>"200614B0100"</f>
        <v>200614B0100</v>
      </c>
      <c r="B1170" t="s">
        <v>2465</v>
      </c>
      <c r="C1170">
        <v>20</v>
      </c>
      <c r="D1170" t="s">
        <v>88</v>
      </c>
      <c r="E1170">
        <v>66</v>
      </c>
      <c r="F1170" t="s">
        <v>1713</v>
      </c>
      <c r="G1170">
        <v>614</v>
      </c>
      <c r="H1170">
        <v>1</v>
      </c>
      <c r="I1170" t="s">
        <v>90</v>
      </c>
      <c r="J1170">
        <v>0</v>
      </c>
      <c r="K1170">
        <v>1</v>
      </c>
      <c r="L1170">
        <v>5</v>
      </c>
      <c r="M1170">
        <v>172</v>
      </c>
      <c r="N1170">
        <v>388</v>
      </c>
      <c r="O1170">
        <v>0</v>
      </c>
      <c r="P1170">
        <v>388</v>
      </c>
      <c r="Q1170">
        <v>49</v>
      </c>
      <c r="R1170">
        <v>44</v>
      </c>
      <c r="S1170">
        <v>11</v>
      </c>
      <c r="T1170">
        <v>6</v>
      </c>
      <c r="U1170">
        <v>22</v>
      </c>
      <c r="V1170">
        <v>8</v>
      </c>
      <c r="W1170">
        <v>10</v>
      </c>
      <c r="X1170">
        <v>13</v>
      </c>
      <c r="Y1170">
        <v>188</v>
      </c>
      <c r="Z1170">
        <v>4</v>
      </c>
      <c r="AA1170">
        <v>7</v>
      </c>
      <c r="AB1170">
        <v>13</v>
      </c>
      <c r="AC1170">
        <v>1</v>
      </c>
      <c r="AD1170">
        <v>0</v>
      </c>
      <c r="AE1170">
        <v>0</v>
      </c>
      <c r="AF1170">
        <v>0</v>
      </c>
      <c r="AK1170">
        <v>3</v>
      </c>
      <c r="AL1170">
        <v>1</v>
      </c>
      <c r="AM1170">
        <v>0</v>
      </c>
      <c r="AN1170">
        <v>1</v>
      </c>
      <c r="AT1170">
        <v>2</v>
      </c>
      <c r="BC1170">
        <v>0</v>
      </c>
      <c r="BD1170">
        <v>5</v>
      </c>
      <c r="BE1170">
        <v>388</v>
      </c>
      <c r="BF1170">
        <v>388</v>
      </c>
      <c r="BG1170">
        <v>538</v>
      </c>
      <c r="BJ1170">
        <v>1</v>
      </c>
      <c r="BL1170" t="s">
        <v>2466</v>
      </c>
      <c r="BM1170" s="4">
        <v>43282.953263888892</v>
      </c>
      <c r="BN1170" s="4">
        <v>43282.956423611111</v>
      </c>
      <c r="BO1170" s="4">
        <v>43282.956423611111</v>
      </c>
      <c r="BP1170" t="s">
        <v>339</v>
      </c>
      <c r="BQ1170" t="s">
        <v>340</v>
      </c>
      <c r="BR1170" t="s">
        <v>94</v>
      </c>
    </row>
    <row r="1171" spans="1:70" x14ac:dyDescent="0.3">
      <c r="A1171" t="str">
        <f>"200614C0100"</f>
        <v>200614C0100</v>
      </c>
      <c r="B1171" t="s">
        <v>2467</v>
      </c>
      <c r="C1171">
        <v>20</v>
      </c>
      <c r="D1171" t="s">
        <v>88</v>
      </c>
      <c r="E1171">
        <v>66</v>
      </c>
      <c r="F1171" t="s">
        <v>1713</v>
      </c>
      <c r="G1171">
        <v>614</v>
      </c>
      <c r="H1171">
        <v>1</v>
      </c>
      <c r="I1171" t="s">
        <v>98</v>
      </c>
      <c r="J1171">
        <v>0</v>
      </c>
      <c r="K1171">
        <v>1</v>
      </c>
      <c r="L1171">
        <v>5</v>
      </c>
      <c r="M1171">
        <v>186</v>
      </c>
      <c r="N1171">
        <v>373</v>
      </c>
      <c r="O1171">
        <v>3</v>
      </c>
      <c r="P1171">
        <v>373</v>
      </c>
      <c r="Q1171">
        <v>42</v>
      </c>
      <c r="R1171">
        <v>57</v>
      </c>
      <c r="S1171">
        <v>10</v>
      </c>
      <c r="T1171">
        <v>4</v>
      </c>
      <c r="U1171">
        <v>19</v>
      </c>
      <c r="V1171">
        <v>8</v>
      </c>
      <c r="W1171">
        <v>2</v>
      </c>
      <c r="X1171">
        <v>11</v>
      </c>
      <c r="Y1171">
        <v>179</v>
      </c>
      <c r="Z1171">
        <v>12</v>
      </c>
      <c r="AA1171">
        <v>0</v>
      </c>
      <c r="AB1171">
        <v>8</v>
      </c>
      <c r="AC1171">
        <v>1</v>
      </c>
      <c r="AD1171">
        <v>1</v>
      </c>
      <c r="AE1171">
        <v>0</v>
      </c>
      <c r="AF1171">
        <v>0</v>
      </c>
      <c r="AK1171">
        <v>5</v>
      </c>
      <c r="AL1171">
        <v>1</v>
      </c>
      <c r="AM1171">
        <v>0</v>
      </c>
      <c r="AN1171">
        <v>1</v>
      </c>
      <c r="AT1171">
        <v>1</v>
      </c>
      <c r="BC1171">
        <v>0</v>
      </c>
      <c r="BD1171">
        <v>11</v>
      </c>
      <c r="BE1171">
        <v>373</v>
      </c>
      <c r="BF1171">
        <v>373</v>
      </c>
      <c r="BG1171">
        <v>537</v>
      </c>
      <c r="BJ1171">
        <v>1</v>
      </c>
      <c r="BL1171" t="s">
        <v>2468</v>
      </c>
      <c r="BM1171" s="4">
        <v>43282.917141203703</v>
      </c>
      <c r="BN1171" s="4">
        <v>43282.920891203707</v>
      </c>
      <c r="BO1171" s="4">
        <v>43282.920891203707</v>
      </c>
      <c r="BP1171" t="s">
        <v>339</v>
      </c>
      <c r="BQ1171" t="s">
        <v>340</v>
      </c>
      <c r="BR1171" t="s">
        <v>94</v>
      </c>
    </row>
    <row r="1172" spans="1:70" x14ac:dyDescent="0.3">
      <c r="A1172" t="str">
        <f>"200615B0100"</f>
        <v>200615B0100</v>
      </c>
      <c r="B1172" t="s">
        <v>2469</v>
      </c>
      <c r="C1172">
        <v>20</v>
      </c>
      <c r="D1172" t="s">
        <v>88</v>
      </c>
      <c r="E1172">
        <v>66</v>
      </c>
      <c r="F1172" t="s">
        <v>1713</v>
      </c>
      <c r="G1172">
        <v>615</v>
      </c>
      <c r="H1172">
        <v>1</v>
      </c>
      <c r="I1172" t="s">
        <v>90</v>
      </c>
      <c r="J1172">
        <v>0</v>
      </c>
      <c r="K1172">
        <v>1</v>
      </c>
      <c r="L1172">
        <v>5</v>
      </c>
      <c r="M1172">
        <v>238</v>
      </c>
      <c r="N1172">
        <v>397</v>
      </c>
      <c r="O1172">
        <v>3</v>
      </c>
      <c r="P1172" t="s">
        <v>105</v>
      </c>
      <c r="Q1172">
        <v>50</v>
      </c>
      <c r="R1172">
        <v>47</v>
      </c>
      <c r="S1172">
        <v>11</v>
      </c>
      <c r="T1172">
        <v>4</v>
      </c>
      <c r="U1172">
        <v>16</v>
      </c>
      <c r="V1172">
        <v>10</v>
      </c>
      <c r="W1172">
        <v>6</v>
      </c>
      <c r="X1172">
        <v>5</v>
      </c>
      <c r="Y1172">
        <v>211</v>
      </c>
      <c r="Z1172">
        <v>5</v>
      </c>
      <c r="AA1172">
        <v>2</v>
      </c>
      <c r="AB1172">
        <v>5</v>
      </c>
      <c r="AC1172">
        <v>1</v>
      </c>
      <c r="AD1172" t="s">
        <v>105</v>
      </c>
      <c r="AE1172" t="s">
        <v>105</v>
      </c>
      <c r="AF1172" t="s">
        <v>105</v>
      </c>
      <c r="AK1172">
        <v>6</v>
      </c>
      <c r="AL1172">
        <v>6</v>
      </c>
      <c r="AM1172">
        <v>1</v>
      </c>
      <c r="AN1172" t="s">
        <v>105</v>
      </c>
      <c r="AT1172">
        <v>1</v>
      </c>
      <c r="BC1172" t="s">
        <v>105</v>
      </c>
      <c r="BD1172">
        <v>10</v>
      </c>
      <c r="BE1172">
        <v>397</v>
      </c>
      <c r="BF1172">
        <v>397</v>
      </c>
      <c r="BG1172">
        <v>613</v>
      </c>
      <c r="BI1172" t="s">
        <v>106</v>
      </c>
      <c r="BJ1172">
        <v>1</v>
      </c>
      <c r="BL1172" t="s">
        <v>2470</v>
      </c>
      <c r="BM1172" s="4">
        <v>43283.003622685188</v>
      </c>
      <c r="BN1172" s="4">
        <v>43283.007708333331</v>
      </c>
      <c r="BO1172" s="4">
        <v>43283.007708333331</v>
      </c>
      <c r="BP1172" t="s">
        <v>339</v>
      </c>
      <c r="BQ1172" t="s">
        <v>340</v>
      </c>
      <c r="BR1172" t="s">
        <v>94</v>
      </c>
    </row>
    <row r="1173" spans="1:70" x14ac:dyDescent="0.3">
      <c r="A1173" t="str">
        <f>"200615C0100"</f>
        <v>200615C0100</v>
      </c>
      <c r="B1173" t="s">
        <v>2471</v>
      </c>
      <c r="C1173">
        <v>20</v>
      </c>
      <c r="D1173" t="s">
        <v>88</v>
      </c>
      <c r="E1173">
        <v>66</v>
      </c>
      <c r="F1173" t="s">
        <v>1713</v>
      </c>
      <c r="G1173">
        <v>615</v>
      </c>
      <c r="H1173">
        <v>1</v>
      </c>
      <c r="I1173" t="s">
        <v>98</v>
      </c>
      <c r="J1173">
        <v>0</v>
      </c>
      <c r="K1173">
        <v>1</v>
      </c>
      <c r="L1173">
        <v>5</v>
      </c>
      <c r="M1173">
        <v>256</v>
      </c>
      <c r="N1173">
        <v>378</v>
      </c>
      <c r="O1173">
        <v>6</v>
      </c>
      <c r="P1173">
        <v>378</v>
      </c>
      <c r="Q1173">
        <v>68</v>
      </c>
      <c r="R1173">
        <v>54</v>
      </c>
      <c r="S1173">
        <v>13</v>
      </c>
      <c r="T1173">
        <v>1</v>
      </c>
      <c r="U1173">
        <v>23</v>
      </c>
      <c r="V1173">
        <v>9</v>
      </c>
      <c r="W1173">
        <v>4</v>
      </c>
      <c r="X1173">
        <v>2</v>
      </c>
      <c r="Y1173">
        <v>165</v>
      </c>
      <c r="Z1173">
        <v>5</v>
      </c>
      <c r="AA1173">
        <v>4</v>
      </c>
      <c r="AB1173">
        <v>11</v>
      </c>
      <c r="AC1173">
        <v>2</v>
      </c>
      <c r="AD1173">
        <v>1</v>
      </c>
      <c r="AE1173">
        <v>0</v>
      </c>
      <c r="AF1173">
        <v>0</v>
      </c>
      <c r="AK1173">
        <v>2</v>
      </c>
      <c r="AL1173">
        <v>3</v>
      </c>
      <c r="AM1173">
        <v>0</v>
      </c>
      <c r="AN1173">
        <v>0</v>
      </c>
      <c r="AT1173">
        <v>1</v>
      </c>
      <c r="BC1173">
        <v>0</v>
      </c>
      <c r="BD1173">
        <v>10</v>
      </c>
      <c r="BE1173">
        <v>378</v>
      </c>
      <c r="BF1173">
        <v>378</v>
      </c>
      <c r="BG1173">
        <v>612</v>
      </c>
      <c r="BJ1173">
        <v>1</v>
      </c>
      <c r="BL1173" t="s">
        <v>2472</v>
      </c>
      <c r="BM1173" s="4">
        <v>43283.005995370368</v>
      </c>
      <c r="BN1173" s="4">
        <v>43283.010682870372</v>
      </c>
      <c r="BO1173" s="4">
        <v>43283.010682870372</v>
      </c>
      <c r="BP1173" t="s">
        <v>339</v>
      </c>
      <c r="BQ1173" t="s">
        <v>340</v>
      </c>
      <c r="BR1173" t="s">
        <v>94</v>
      </c>
    </row>
    <row r="1174" spans="1:70" x14ac:dyDescent="0.3">
      <c r="A1174" t="str">
        <f>"200616B0100"</f>
        <v>200616B0100</v>
      </c>
      <c r="B1174" t="s">
        <v>2473</v>
      </c>
      <c r="C1174">
        <v>20</v>
      </c>
      <c r="D1174" t="s">
        <v>88</v>
      </c>
      <c r="E1174">
        <v>66</v>
      </c>
      <c r="F1174" t="s">
        <v>1713</v>
      </c>
      <c r="G1174">
        <v>616</v>
      </c>
      <c r="H1174">
        <v>1</v>
      </c>
      <c r="I1174" t="s">
        <v>90</v>
      </c>
      <c r="J1174">
        <v>0</v>
      </c>
      <c r="K1174">
        <v>1</v>
      </c>
      <c r="L1174">
        <v>5</v>
      </c>
      <c r="M1174" t="s">
        <v>127</v>
      </c>
      <c r="N1174">
        <v>377</v>
      </c>
      <c r="O1174">
        <v>4</v>
      </c>
      <c r="P1174">
        <v>376</v>
      </c>
      <c r="Q1174">
        <v>64</v>
      </c>
      <c r="R1174">
        <v>53</v>
      </c>
      <c r="S1174">
        <v>13</v>
      </c>
      <c r="T1174">
        <v>8</v>
      </c>
      <c r="U1174">
        <v>19</v>
      </c>
      <c r="V1174">
        <v>7</v>
      </c>
      <c r="W1174">
        <v>2</v>
      </c>
      <c r="X1174">
        <v>3</v>
      </c>
      <c r="Y1174">
        <v>170</v>
      </c>
      <c r="Z1174">
        <v>4</v>
      </c>
      <c r="AA1174">
        <v>6</v>
      </c>
      <c r="AB1174">
        <v>10</v>
      </c>
      <c r="AC1174">
        <v>2</v>
      </c>
      <c r="AD1174">
        <v>0</v>
      </c>
      <c r="AE1174">
        <v>0</v>
      </c>
      <c r="AF1174">
        <v>0</v>
      </c>
      <c r="AK1174">
        <v>3</v>
      </c>
      <c r="AL1174">
        <v>1</v>
      </c>
      <c r="AM1174">
        <v>0</v>
      </c>
      <c r="AN1174">
        <v>0</v>
      </c>
      <c r="AT1174">
        <v>2</v>
      </c>
      <c r="BC1174">
        <v>0</v>
      </c>
      <c r="BD1174">
        <v>9</v>
      </c>
      <c r="BE1174">
        <v>376</v>
      </c>
      <c r="BF1174">
        <v>376</v>
      </c>
      <c r="BG1174">
        <v>636</v>
      </c>
      <c r="BJ1174">
        <v>1</v>
      </c>
      <c r="BL1174" t="s">
        <v>2474</v>
      </c>
      <c r="BM1174" s="4">
        <v>43283.204861111109</v>
      </c>
      <c r="BN1174" s="4">
        <v>43283.221608796295</v>
      </c>
      <c r="BO1174" s="4">
        <v>43283.221608796295</v>
      </c>
      <c r="BP1174" t="s">
        <v>92</v>
      </c>
      <c r="BQ1174" t="s">
        <v>93</v>
      </c>
      <c r="BR1174" t="s">
        <v>94</v>
      </c>
    </row>
    <row r="1175" spans="1:70" x14ac:dyDescent="0.3">
      <c r="A1175" t="str">
        <f>"200616C0100"</f>
        <v>200616C0100</v>
      </c>
      <c r="B1175" t="s">
        <v>2475</v>
      </c>
      <c r="C1175">
        <v>20</v>
      </c>
      <c r="D1175" t="s">
        <v>88</v>
      </c>
      <c r="E1175">
        <v>66</v>
      </c>
      <c r="F1175" t="s">
        <v>1713</v>
      </c>
      <c r="G1175">
        <v>616</v>
      </c>
      <c r="H1175">
        <v>1</v>
      </c>
      <c r="I1175" t="s">
        <v>98</v>
      </c>
      <c r="J1175">
        <v>0</v>
      </c>
      <c r="K1175">
        <v>1</v>
      </c>
      <c r="L1175">
        <v>5</v>
      </c>
      <c r="M1175">
        <v>250</v>
      </c>
      <c r="N1175">
        <v>407</v>
      </c>
      <c r="O1175">
        <v>2</v>
      </c>
      <c r="P1175">
        <v>407</v>
      </c>
      <c r="Q1175">
        <v>89</v>
      </c>
      <c r="R1175">
        <v>39</v>
      </c>
      <c r="S1175">
        <v>8</v>
      </c>
      <c r="T1175">
        <v>5</v>
      </c>
      <c r="U1175">
        <v>14</v>
      </c>
      <c r="V1175">
        <v>5</v>
      </c>
      <c r="W1175">
        <v>7</v>
      </c>
      <c r="X1175">
        <v>4</v>
      </c>
      <c r="Y1175">
        <v>207</v>
      </c>
      <c r="Z1175">
        <v>3</v>
      </c>
      <c r="AA1175">
        <v>5</v>
      </c>
      <c r="AB1175">
        <v>4</v>
      </c>
      <c r="AC1175">
        <v>3</v>
      </c>
      <c r="AD1175">
        <v>0</v>
      </c>
      <c r="AE1175">
        <v>0</v>
      </c>
      <c r="AF1175">
        <v>0</v>
      </c>
      <c r="AK1175">
        <v>4</v>
      </c>
      <c r="AL1175">
        <v>0</v>
      </c>
      <c r="AM1175">
        <v>0</v>
      </c>
      <c r="AN1175">
        <v>0</v>
      </c>
      <c r="AT1175">
        <v>1</v>
      </c>
      <c r="BC1175">
        <v>0</v>
      </c>
      <c r="BD1175">
        <v>9</v>
      </c>
      <c r="BE1175">
        <v>407</v>
      </c>
      <c r="BF1175">
        <v>407</v>
      </c>
      <c r="BG1175">
        <v>635</v>
      </c>
      <c r="BJ1175">
        <v>1</v>
      </c>
      <c r="BL1175" t="s">
        <v>2476</v>
      </c>
      <c r="BM1175" s="4">
        <v>43283.200694444444</v>
      </c>
      <c r="BN1175" s="4">
        <v>43283.215879629628</v>
      </c>
      <c r="BO1175" s="4">
        <v>43283.215879629628</v>
      </c>
      <c r="BP1175" t="s">
        <v>92</v>
      </c>
      <c r="BQ1175" t="s">
        <v>93</v>
      </c>
      <c r="BR1175" t="s">
        <v>94</v>
      </c>
    </row>
    <row r="1176" spans="1:70" x14ac:dyDescent="0.3">
      <c r="A1176" t="str">
        <f>"200616C0200"</f>
        <v>200616C0200</v>
      </c>
      <c r="B1176" t="s">
        <v>2477</v>
      </c>
      <c r="C1176">
        <v>20</v>
      </c>
      <c r="D1176" t="s">
        <v>88</v>
      </c>
      <c r="E1176">
        <v>66</v>
      </c>
      <c r="F1176" t="s">
        <v>1713</v>
      </c>
      <c r="G1176">
        <v>616</v>
      </c>
      <c r="H1176">
        <v>2</v>
      </c>
      <c r="I1176" t="s">
        <v>98</v>
      </c>
      <c r="J1176">
        <v>0</v>
      </c>
      <c r="K1176">
        <v>1</v>
      </c>
      <c r="L1176">
        <v>5</v>
      </c>
      <c r="M1176" t="s">
        <v>105</v>
      </c>
      <c r="N1176" t="s">
        <v>105</v>
      </c>
      <c r="O1176" t="s">
        <v>105</v>
      </c>
      <c r="P1176" t="s">
        <v>105</v>
      </c>
      <c r="Q1176">
        <v>93</v>
      </c>
      <c r="R1176">
        <v>40</v>
      </c>
      <c r="S1176">
        <v>13</v>
      </c>
      <c r="T1176">
        <v>5</v>
      </c>
      <c r="U1176">
        <v>24</v>
      </c>
      <c r="V1176">
        <v>6</v>
      </c>
      <c r="W1176">
        <v>3</v>
      </c>
      <c r="X1176">
        <v>1</v>
      </c>
      <c r="Y1176">
        <v>182</v>
      </c>
      <c r="Z1176">
        <v>5</v>
      </c>
      <c r="AA1176">
        <v>1</v>
      </c>
      <c r="AB1176">
        <v>7</v>
      </c>
      <c r="AC1176">
        <v>1</v>
      </c>
      <c r="AD1176">
        <v>0</v>
      </c>
      <c r="AE1176">
        <v>0</v>
      </c>
      <c r="AF1176">
        <v>0</v>
      </c>
      <c r="AK1176">
        <v>2</v>
      </c>
      <c r="AL1176">
        <v>3</v>
      </c>
      <c r="AM1176">
        <v>2</v>
      </c>
      <c r="AN1176">
        <v>1</v>
      </c>
      <c r="AT1176">
        <v>1</v>
      </c>
      <c r="BC1176">
        <v>0</v>
      </c>
      <c r="BD1176">
        <v>12</v>
      </c>
      <c r="BE1176">
        <v>269</v>
      </c>
      <c r="BF1176">
        <v>402</v>
      </c>
      <c r="BG1176">
        <v>635</v>
      </c>
      <c r="BJ1176">
        <v>1</v>
      </c>
      <c r="BL1176" t="s">
        <v>2478</v>
      </c>
      <c r="BM1176" s="4">
        <v>43283.204861111109</v>
      </c>
      <c r="BN1176" s="4">
        <v>43283.223078703704</v>
      </c>
      <c r="BO1176" s="4">
        <v>43283.223078703704</v>
      </c>
      <c r="BP1176" t="s">
        <v>92</v>
      </c>
      <c r="BQ1176" t="s">
        <v>93</v>
      </c>
      <c r="BR1176" t="s">
        <v>94</v>
      </c>
    </row>
    <row r="1177" spans="1:70" x14ac:dyDescent="0.3">
      <c r="A1177" t="str">
        <f>"200616C0300"</f>
        <v>200616C0300</v>
      </c>
      <c r="B1177" t="s">
        <v>2479</v>
      </c>
      <c r="C1177">
        <v>20</v>
      </c>
      <c r="D1177" t="s">
        <v>88</v>
      </c>
      <c r="E1177">
        <v>66</v>
      </c>
      <c r="F1177" t="s">
        <v>1713</v>
      </c>
      <c r="G1177">
        <v>616</v>
      </c>
      <c r="H1177">
        <v>3</v>
      </c>
      <c r="I1177" t="s">
        <v>98</v>
      </c>
      <c r="J1177">
        <v>0</v>
      </c>
      <c r="K1177">
        <v>1</v>
      </c>
      <c r="L1177">
        <v>5</v>
      </c>
      <c r="M1177">
        <v>270</v>
      </c>
      <c r="N1177">
        <v>385</v>
      </c>
      <c r="O1177">
        <v>3</v>
      </c>
      <c r="P1177">
        <v>366</v>
      </c>
      <c r="Q1177">
        <v>79</v>
      </c>
      <c r="R1177">
        <v>44</v>
      </c>
      <c r="S1177">
        <v>13</v>
      </c>
      <c r="T1177">
        <v>12</v>
      </c>
      <c r="U1177">
        <v>20</v>
      </c>
      <c r="V1177">
        <v>5</v>
      </c>
      <c r="W1177">
        <v>4</v>
      </c>
      <c r="X1177">
        <v>1</v>
      </c>
      <c r="Y1177">
        <v>160</v>
      </c>
      <c r="Z1177">
        <v>4</v>
      </c>
      <c r="AA1177">
        <v>2</v>
      </c>
      <c r="AB1177">
        <v>4</v>
      </c>
      <c r="AC1177">
        <v>3</v>
      </c>
      <c r="AD1177">
        <v>1</v>
      </c>
      <c r="AE1177">
        <v>0</v>
      </c>
      <c r="AF1177">
        <v>1</v>
      </c>
      <c r="AK1177">
        <v>4</v>
      </c>
      <c r="AL1177">
        <v>2</v>
      </c>
      <c r="AM1177">
        <v>0</v>
      </c>
      <c r="AN1177">
        <v>2</v>
      </c>
      <c r="AT1177">
        <v>1</v>
      </c>
      <c r="BC1177">
        <v>0</v>
      </c>
      <c r="BD1177">
        <v>4</v>
      </c>
      <c r="BE1177">
        <v>366</v>
      </c>
      <c r="BF1177">
        <v>366</v>
      </c>
      <c r="BG1177">
        <v>635</v>
      </c>
      <c r="BJ1177">
        <v>1</v>
      </c>
      <c r="BL1177" t="s">
        <v>2480</v>
      </c>
      <c r="BM1177" s="4">
        <v>43283.202777777777</v>
      </c>
      <c r="BN1177" s="4">
        <v>43283.219097222223</v>
      </c>
      <c r="BO1177" s="4">
        <v>43283.219097222223</v>
      </c>
      <c r="BP1177" t="s">
        <v>92</v>
      </c>
      <c r="BQ1177" t="s">
        <v>93</v>
      </c>
      <c r="BR1177" t="s">
        <v>94</v>
      </c>
    </row>
    <row r="1178" spans="1:70" x14ac:dyDescent="0.3">
      <c r="A1178" t="str">
        <f>"200616C0400"</f>
        <v>200616C0400</v>
      </c>
      <c r="B1178" t="s">
        <v>2481</v>
      </c>
      <c r="C1178">
        <v>20</v>
      </c>
      <c r="D1178" t="s">
        <v>88</v>
      </c>
      <c r="E1178">
        <v>66</v>
      </c>
      <c r="F1178" t="s">
        <v>1713</v>
      </c>
      <c r="G1178">
        <v>616</v>
      </c>
      <c r="H1178">
        <v>4</v>
      </c>
      <c r="I1178" t="s">
        <v>98</v>
      </c>
      <c r="J1178">
        <v>0</v>
      </c>
      <c r="K1178">
        <v>1</v>
      </c>
      <c r="L1178">
        <v>5</v>
      </c>
      <c r="M1178">
        <v>267</v>
      </c>
      <c r="N1178">
        <v>390</v>
      </c>
      <c r="O1178">
        <v>3</v>
      </c>
      <c r="P1178">
        <v>390</v>
      </c>
      <c r="Q1178">
        <v>59</v>
      </c>
      <c r="R1178">
        <v>49</v>
      </c>
      <c r="S1178">
        <v>13</v>
      </c>
      <c r="T1178">
        <v>11</v>
      </c>
      <c r="U1178">
        <v>19</v>
      </c>
      <c r="V1178">
        <v>8</v>
      </c>
      <c r="W1178">
        <v>5</v>
      </c>
      <c r="X1178">
        <v>6</v>
      </c>
      <c r="Y1178">
        <v>184</v>
      </c>
      <c r="Z1178">
        <v>12</v>
      </c>
      <c r="AA1178">
        <v>1</v>
      </c>
      <c r="AB1178">
        <v>6</v>
      </c>
      <c r="AC1178">
        <v>0</v>
      </c>
      <c r="AD1178">
        <v>1</v>
      </c>
      <c r="AE1178">
        <v>0</v>
      </c>
      <c r="AF1178">
        <v>0</v>
      </c>
      <c r="AK1178">
        <v>9</v>
      </c>
      <c r="AL1178">
        <v>1</v>
      </c>
      <c r="AM1178">
        <v>0</v>
      </c>
      <c r="AN1178">
        <v>1</v>
      </c>
      <c r="AT1178">
        <v>0</v>
      </c>
      <c r="BC1178" t="s">
        <v>105</v>
      </c>
      <c r="BD1178">
        <v>9</v>
      </c>
      <c r="BE1178" t="s">
        <v>105</v>
      </c>
      <c r="BF1178">
        <v>394</v>
      </c>
      <c r="BG1178">
        <v>635</v>
      </c>
      <c r="BI1178" t="s">
        <v>106</v>
      </c>
      <c r="BJ1178">
        <v>1</v>
      </c>
      <c r="BL1178" t="s">
        <v>2482</v>
      </c>
      <c r="BM1178" s="4">
        <v>43283.203472222223</v>
      </c>
      <c r="BN1178" s="4">
        <v>43283.220925925925</v>
      </c>
      <c r="BO1178" s="4">
        <v>43283.220925925925</v>
      </c>
      <c r="BP1178" t="s">
        <v>92</v>
      </c>
      <c r="BQ1178" t="s">
        <v>93</v>
      </c>
      <c r="BR1178" t="s">
        <v>94</v>
      </c>
    </row>
    <row r="1179" spans="1:70" x14ac:dyDescent="0.3">
      <c r="A1179" t="str">
        <f>"200616C0500"</f>
        <v>200616C0500</v>
      </c>
      <c r="B1179" t="s">
        <v>2483</v>
      </c>
      <c r="C1179">
        <v>20</v>
      </c>
      <c r="D1179" t="s">
        <v>88</v>
      </c>
      <c r="E1179">
        <v>66</v>
      </c>
      <c r="F1179" t="s">
        <v>1713</v>
      </c>
      <c r="G1179">
        <v>616</v>
      </c>
      <c r="H1179">
        <v>5</v>
      </c>
      <c r="I1179" t="s">
        <v>98</v>
      </c>
      <c r="J1179">
        <v>0</v>
      </c>
      <c r="K1179">
        <v>1</v>
      </c>
      <c r="L1179">
        <v>5</v>
      </c>
      <c r="M1179">
        <v>283</v>
      </c>
      <c r="N1179">
        <v>374</v>
      </c>
      <c r="O1179">
        <v>4</v>
      </c>
      <c r="P1179">
        <v>375</v>
      </c>
      <c r="Q1179">
        <v>66</v>
      </c>
      <c r="R1179">
        <v>43</v>
      </c>
      <c r="S1179">
        <v>10</v>
      </c>
      <c r="T1179">
        <v>4</v>
      </c>
      <c r="U1179">
        <v>36</v>
      </c>
      <c r="V1179">
        <v>10</v>
      </c>
      <c r="W1179">
        <v>4</v>
      </c>
      <c r="X1179">
        <v>0</v>
      </c>
      <c r="Y1179">
        <v>168</v>
      </c>
      <c r="Z1179">
        <v>7</v>
      </c>
      <c r="AA1179">
        <v>2</v>
      </c>
      <c r="AB1179">
        <v>2</v>
      </c>
      <c r="AC1179">
        <v>2</v>
      </c>
      <c r="AD1179">
        <v>0</v>
      </c>
      <c r="AE1179">
        <v>0</v>
      </c>
      <c r="AF1179">
        <v>1</v>
      </c>
      <c r="AK1179">
        <v>10</v>
      </c>
      <c r="AL1179">
        <v>2</v>
      </c>
      <c r="AM1179">
        <v>0</v>
      </c>
      <c r="AN1179">
        <v>0</v>
      </c>
      <c r="AT1179">
        <v>0</v>
      </c>
      <c r="BC1179">
        <v>0</v>
      </c>
      <c r="BD1179">
        <v>9</v>
      </c>
      <c r="BE1179">
        <v>376</v>
      </c>
      <c r="BF1179">
        <v>376</v>
      </c>
      <c r="BG1179">
        <v>635</v>
      </c>
      <c r="BJ1179">
        <v>1</v>
      </c>
      <c r="BL1179" t="s">
        <v>2484</v>
      </c>
      <c r="BM1179" s="4">
        <v>43283.039583333331</v>
      </c>
      <c r="BN1179" s="4">
        <v>43283.338148148148</v>
      </c>
      <c r="BO1179" s="4">
        <v>43283.338148148148</v>
      </c>
      <c r="BP1179" t="s">
        <v>92</v>
      </c>
      <c r="BQ1179" t="s">
        <v>93</v>
      </c>
      <c r="BR1179" t="s">
        <v>94</v>
      </c>
    </row>
    <row r="1180" spans="1:70" x14ac:dyDescent="0.3">
      <c r="A1180" t="str">
        <f>"202454B0100"</f>
        <v>202454B0100</v>
      </c>
      <c r="B1180" t="s">
        <v>2485</v>
      </c>
      <c r="C1180">
        <v>20</v>
      </c>
      <c r="D1180" t="s">
        <v>88</v>
      </c>
      <c r="E1180">
        <v>66</v>
      </c>
      <c r="F1180" t="s">
        <v>1713</v>
      </c>
      <c r="G1180">
        <v>2454</v>
      </c>
      <c r="H1180">
        <v>1</v>
      </c>
      <c r="I1180" t="s">
        <v>90</v>
      </c>
      <c r="J1180">
        <v>0</v>
      </c>
      <c r="K1180">
        <v>1</v>
      </c>
      <c r="L1180">
        <v>5</v>
      </c>
      <c r="M1180">
        <v>76</v>
      </c>
      <c r="N1180">
        <v>155</v>
      </c>
      <c r="O1180">
        <v>6</v>
      </c>
      <c r="P1180">
        <v>155</v>
      </c>
      <c r="Q1180">
        <v>21</v>
      </c>
      <c r="R1180">
        <v>19</v>
      </c>
      <c r="S1180">
        <v>3</v>
      </c>
      <c r="T1180">
        <v>2</v>
      </c>
      <c r="U1180">
        <v>6</v>
      </c>
      <c r="V1180">
        <v>4</v>
      </c>
      <c r="W1180">
        <v>2</v>
      </c>
      <c r="X1180">
        <v>5</v>
      </c>
      <c r="Y1180">
        <v>75</v>
      </c>
      <c r="Z1180">
        <v>1</v>
      </c>
      <c r="AA1180">
        <v>1</v>
      </c>
      <c r="AB1180">
        <v>6</v>
      </c>
      <c r="AC1180">
        <v>0</v>
      </c>
      <c r="AD1180">
        <v>0</v>
      </c>
      <c r="AE1180">
        <v>0</v>
      </c>
      <c r="AF1180">
        <v>0</v>
      </c>
      <c r="AK1180">
        <v>4</v>
      </c>
      <c r="AL1180">
        <v>2</v>
      </c>
      <c r="AM1180">
        <v>0</v>
      </c>
      <c r="AN1180">
        <v>0</v>
      </c>
      <c r="AT1180">
        <v>0</v>
      </c>
      <c r="BC1180">
        <v>1</v>
      </c>
      <c r="BD1180">
        <v>3</v>
      </c>
      <c r="BE1180">
        <v>155</v>
      </c>
      <c r="BF1180">
        <v>155</v>
      </c>
      <c r="BG1180">
        <v>209</v>
      </c>
      <c r="BJ1180">
        <v>1</v>
      </c>
      <c r="BL1180" t="s">
        <v>2486</v>
      </c>
      <c r="BM1180" s="4">
        <v>43283.125694444447</v>
      </c>
      <c r="BN1180" s="4">
        <v>43283.129733796297</v>
      </c>
      <c r="BO1180" s="4">
        <v>43283.129733796297</v>
      </c>
      <c r="BP1180" t="s">
        <v>92</v>
      </c>
      <c r="BQ1180" t="s">
        <v>93</v>
      </c>
      <c r="BR1180" t="s">
        <v>94</v>
      </c>
    </row>
    <row r="1181" spans="1:70" x14ac:dyDescent="0.3">
      <c r="A1181" t="str">
        <f>"200617B0100"</f>
        <v>200617B0100</v>
      </c>
      <c r="B1181" t="s">
        <v>2487</v>
      </c>
      <c r="C1181">
        <v>20</v>
      </c>
      <c r="D1181" t="s">
        <v>88</v>
      </c>
      <c r="E1181">
        <v>67</v>
      </c>
      <c r="F1181" t="s">
        <v>2488</v>
      </c>
      <c r="G1181">
        <v>617</v>
      </c>
      <c r="H1181">
        <v>1</v>
      </c>
      <c r="I1181" t="s">
        <v>90</v>
      </c>
      <c r="J1181">
        <v>0</v>
      </c>
      <c r="K1181">
        <v>2</v>
      </c>
      <c r="L1181">
        <v>5</v>
      </c>
      <c r="M1181">
        <v>206</v>
      </c>
      <c r="N1181">
        <v>564</v>
      </c>
      <c r="O1181">
        <v>3</v>
      </c>
      <c r="P1181">
        <v>564</v>
      </c>
      <c r="Q1181">
        <v>4</v>
      </c>
      <c r="R1181">
        <v>45</v>
      </c>
      <c r="S1181">
        <v>7</v>
      </c>
      <c r="T1181">
        <v>0</v>
      </c>
      <c r="U1181">
        <v>9</v>
      </c>
      <c r="V1181">
        <v>9</v>
      </c>
      <c r="X1181">
        <v>4</v>
      </c>
      <c r="Y1181">
        <v>253</v>
      </c>
      <c r="Z1181">
        <v>5</v>
      </c>
      <c r="AB1181">
        <v>66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1</v>
      </c>
      <c r="AI1181">
        <v>0</v>
      </c>
      <c r="AJ1181">
        <v>0</v>
      </c>
      <c r="AK1181">
        <v>2</v>
      </c>
      <c r="AL1181">
        <v>1</v>
      </c>
      <c r="AM1181">
        <v>1</v>
      </c>
      <c r="AN1181">
        <v>2</v>
      </c>
      <c r="AZ1181">
        <v>136</v>
      </c>
      <c r="BC1181">
        <v>0</v>
      </c>
      <c r="BD1181">
        <v>19</v>
      </c>
      <c r="BE1181">
        <v>564</v>
      </c>
      <c r="BF1181">
        <v>564</v>
      </c>
      <c r="BG1181">
        <v>748</v>
      </c>
      <c r="BJ1181">
        <v>1</v>
      </c>
      <c r="BL1181" t="s">
        <v>2489</v>
      </c>
      <c r="BM1181" s="4">
        <v>43283.200694444444</v>
      </c>
      <c r="BN1181" s="4">
        <v>43283.219143518516</v>
      </c>
      <c r="BO1181" s="4">
        <v>43283.219143518516</v>
      </c>
      <c r="BP1181" t="s">
        <v>92</v>
      </c>
      <c r="BQ1181" t="s">
        <v>93</v>
      </c>
      <c r="BR1181" t="s">
        <v>94</v>
      </c>
    </row>
    <row r="1182" spans="1:70" x14ac:dyDescent="0.3">
      <c r="A1182" t="str">
        <f>"200617C0100"</f>
        <v>200617C0100</v>
      </c>
      <c r="B1182" t="s">
        <v>2490</v>
      </c>
      <c r="C1182">
        <v>20</v>
      </c>
      <c r="D1182" t="s">
        <v>88</v>
      </c>
      <c r="E1182">
        <v>67</v>
      </c>
      <c r="F1182" t="s">
        <v>2488</v>
      </c>
      <c r="G1182">
        <v>617</v>
      </c>
      <c r="H1182">
        <v>1</v>
      </c>
      <c r="I1182" t="s">
        <v>98</v>
      </c>
      <c r="J1182">
        <v>0</v>
      </c>
      <c r="K1182">
        <v>2</v>
      </c>
      <c r="L1182">
        <v>5</v>
      </c>
      <c r="M1182">
        <v>249</v>
      </c>
      <c r="N1182">
        <v>528</v>
      </c>
      <c r="O1182">
        <v>6</v>
      </c>
      <c r="P1182">
        <v>520</v>
      </c>
      <c r="Q1182">
        <v>6</v>
      </c>
      <c r="R1182">
        <v>44</v>
      </c>
      <c r="S1182">
        <v>10</v>
      </c>
      <c r="T1182">
        <v>0</v>
      </c>
      <c r="U1182">
        <v>7</v>
      </c>
      <c r="V1182">
        <v>6</v>
      </c>
      <c r="X1182">
        <v>6</v>
      </c>
      <c r="Y1182">
        <v>220</v>
      </c>
      <c r="Z1182">
        <v>4</v>
      </c>
      <c r="AB1182">
        <v>56</v>
      </c>
      <c r="AC1182">
        <v>0</v>
      </c>
      <c r="AD1182">
        <v>0</v>
      </c>
      <c r="AE1182">
        <v>0</v>
      </c>
      <c r="AF1182">
        <v>0</v>
      </c>
      <c r="AG1182">
        <v>1</v>
      </c>
      <c r="AH1182">
        <v>1</v>
      </c>
      <c r="AI1182">
        <v>0</v>
      </c>
      <c r="AJ1182">
        <v>0</v>
      </c>
      <c r="AK1182">
        <v>3</v>
      </c>
      <c r="AL1182">
        <v>1</v>
      </c>
      <c r="AM1182">
        <v>0</v>
      </c>
      <c r="AN1182">
        <v>2</v>
      </c>
      <c r="AZ1182">
        <v>132</v>
      </c>
      <c r="BC1182">
        <v>0</v>
      </c>
      <c r="BD1182">
        <v>21</v>
      </c>
      <c r="BE1182">
        <v>520</v>
      </c>
      <c r="BF1182">
        <v>520</v>
      </c>
      <c r="BG1182">
        <v>748</v>
      </c>
      <c r="BJ1182">
        <v>1</v>
      </c>
      <c r="BL1182" t="s">
        <v>2491</v>
      </c>
      <c r="BM1182" s="4">
        <v>43283.215277777781</v>
      </c>
      <c r="BN1182" s="4">
        <v>43283.237974537034</v>
      </c>
      <c r="BO1182" s="4">
        <v>43283.237974537034</v>
      </c>
      <c r="BP1182" t="s">
        <v>92</v>
      </c>
      <c r="BQ1182" t="s">
        <v>93</v>
      </c>
      <c r="BR1182" t="s">
        <v>94</v>
      </c>
    </row>
    <row r="1183" spans="1:70" x14ac:dyDescent="0.3">
      <c r="A1183" t="str">
        <f>"200617S0100"</f>
        <v>200617S0100</v>
      </c>
      <c r="B1183" t="s">
        <v>2492</v>
      </c>
      <c r="C1183">
        <v>20</v>
      </c>
      <c r="D1183" t="s">
        <v>88</v>
      </c>
      <c r="E1183">
        <v>67</v>
      </c>
      <c r="F1183" t="s">
        <v>2488</v>
      </c>
      <c r="G1183">
        <v>617</v>
      </c>
      <c r="H1183">
        <v>1</v>
      </c>
      <c r="I1183" t="s">
        <v>113</v>
      </c>
      <c r="J1183">
        <v>0</v>
      </c>
      <c r="K1183">
        <v>2</v>
      </c>
      <c r="L1183">
        <v>6</v>
      </c>
      <c r="M1183">
        <v>758</v>
      </c>
      <c r="N1183">
        <v>15</v>
      </c>
      <c r="O1183">
        <v>0</v>
      </c>
      <c r="P1183">
        <v>15</v>
      </c>
      <c r="Q1183">
        <v>1</v>
      </c>
      <c r="R1183">
        <v>1</v>
      </c>
      <c r="S1183">
        <v>0</v>
      </c>
      <c r="T1183">
        <v>0</v>
      </c>
      <c r="U1183">
        <v>0</v>
      </c>
      <c r="V1183">
        <v>1</v>
      </c>
      <c r="X1183">
        <v>0</v>
      </c>
      <c r="Y1183">
        <v>7</v>
      </c>
      <c r="Z1183">
        <v>0</v>
      </c>
      <c r="AB1183">
        <v>2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Z1183">
        <v>0</v>
      </c>
      <c r="BC1183">
        <v>0</v>
      </c>
      <c r="BD1183">
        <v>2</v>
      </c>
      <c r="BE1183">
        <v>14</v>
      </c>
      <c r="BF1183">
        <v>14</v>
      </c>
      <c r="BG1183">
        <v>0</v>
      </c>
      <c r="BJ1183">
        <v>1</v>
      </c>
      <c r="BL1183" t="s">
        <v>2493</v>
      </c>
      <c r="BM1183" s="4">
        <v>43283.21875</v>
      </c>
      <c r="BN1183" s="4">
        <v>43283.240914351853</v>
      </c>
      <c r="BO1183" s="4">
        <v>43283.240914351853</v>
      </c>
      <c r="BP1183" t="s">
        <v>92</v>
      </c>
      <c r="BQ1183" t="s">
        <v>93</v>
      </c>
      <c r="BR1183" t="s">
        <v>94</v>
      </c>
    </row>
    <row r="1184" spans="1:70" x14ac:dyDescent="0.3">
      <c r="A1184" t="str">
        <f>"200618B0100"</f>
        <v>200618B0100</v>
      </c>
      <c r="B1184" t="s">
        <v>2494</v>
      </c>
      <c r="C1184">
        <v>20</v>
      </c>
      <c r="D1184" t="s">
        <v>88</v>
      </c>
      <c r="E1184">
        <v>67</v>
      </c>
      <c r="F1184" t="s">
        <v>2488</v>
      </c>
      <c r="G1184">
        <v>618</v>
      </c>
      <c r="H1184">
        <v>1</v>
      </c>
      <c r="I1184" t="s">
        <v>90</v>
      </c>
      <c r="J1184">
        <v>0</v>
      </c>
      <c r="K1184">
        <v>2</v>
      </c>
      <c r="L1184">
        <v>5</v>
      </c>
      <c r="M1184">
        <v>161</v>
      </c>
      <c r="N1184">
        <v>417</v>
      </c>
      <c r="O1184">
        <v>6</v>
      </c>
      <c r="P1184">
        <v>417</v>
      </c>
      <c r="Q1184">
        <v>5</v>
      </c>
      <c r="R1184">
        <v>21</v>
      </c>
      <c r="S1184">
        <v>66</v>
      </c>
      <c r="T1184">
        <v>2</v>
      </c>
      <c r="U1184">
        <v>11</v>
      </c>
      <c r="V1184">
        <v>12</v>
      </c>
      <c r="X1184">
        <v>4</v>
      </c>
      <c r="Y1184">
        <v>116</v>
      </c>
      <c r="Z1184">
        <v>4</v>
      </c>
      <c r="AB1184">
        <v>60</v>
      </c>
      <c r="AC1184">
        <v>0</v>
      </c>
      <c r="AD1184">
        <v>1</v>
      </c>
      <c r="AE1184">
        <v>0</v>
      </c>
      <c r="AF1184">
        <v>2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1</v>
      </c>
      <c r="AM1184">
        <v>0</v>
      </c>
      <c r="AN1184">
        <v>0</v>
      </c>
      <c r="AZ1184">
        <v>155</v>
      </c>
      <c r="BC1184">
        <v>0</v>
      </c>
      <c r="BD1184">
        <v>17</v>
      </c>
      <c r="BE1184">
        <v>477</v>
      </c>
      <c r="BF1184">
        <v>477</v>
      </c>
      <c r="BG1184">
        <v>555</v>
      </c>
      <c r="BJ1184">
        <v>1</v>
      </c>
      <c r="BL1184" t="s">
        <v>2495</v>
      </c>
      <c r="BM1184" s="4">
        <v>43283.222222222219</v>
      </c>
      <c r="BN1184" s="4">
        <v>43283.245844907404</v>
      </c>
      <c r="BO1184" s="4">
        <v>43283.245844907404</v>
      </c>
      <c r="BP1184" t="s">
        <v>92</v>
      </c>
      <c r="BQ1184" t="s">
        <v>93</v>
      </c>
      <c r="BR1184" t="s">
        <v>94</v>
      </c>
    </row>
    <row r="1185" spans="1:70" x14ac:dyDescent="0.3">
      <c r="A1185" t="str">
        <f>"200618C0100"</f>
        <v>200618C0100</v>
      </c>
      <c r="B1185" t="s">
        <v>2496</v>
      </c>
      <c r="C1185">
        <v>20</v>
      </c>
      <c r="D1185" t="s">
        <v>88</v>
      </c>
      <c r="E1185">
        <v>67</v>
      </c>
      <c r="F1185" t="s">
        <v>2488</v>
      </c>
      <c r="G1185">
        <v>618</v>
      </c>
      <c r="H1185">
        <v>1</v>
      </c>
      <c r="I1185" t="s">
        <v>98</v>
      </c>
      <c r="J1185">
        <v>0</v>
      </c>
      <c r="K1185">
        <v>2</v>
      </c>
      <c r="L1185">
        <v>5</v>
      </c>
      <c r="M1185">
        <v>157</v>
      </c>
      <c r="N1185">
        <v>419</v>
      </c>
      <c r="O1185">
        <v>6</v>
      </c>
      <c r="P1185">
        <v>417</v>
      </c>
      <c r="Q1185">
        <v>11</v>
      </c>
      <c r="R1185">
        <v>26</v>
      </c>
      <c r="S1185">
        <v>13</v>
      </c>
      <c r="T1185">
        <v>4</v>
      </c>
      <c r="U1185">
        <v>9</v>
      </c>
      <c r="V1185">
        <v>11</v>
      </c>
      <c r="X1185">
        <v>1</v>
      </c>
      <c r="Y1185">
        <v>134</v>
      </c>
      <c r="Z1185">
        <v>2</v>
      </c>
      <c r="AB1185">
        <v>1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1</v>
      </c>
      <c r="AI1185">
        <v>1</v>
      </c>
      <c r="AJ1185">
        <v>0</v>
      </c>
      <c r="AK1185">
        <v>0</v>
      </c>
      <c r="AL1185">
        <v>2</v>
      </c>
      <c r="AM1185">
        <v>1</v>
      </c>
      <c r="AN1185">
        <v>0</v>
      </c>
      <c r="AZ1185">
        <v>8</v>
      </c>
      <c r="BC1185">
        <v>0</v>
      </c>
      <c r="BD1185">
        <v>12</v>
      </c>
      <c r="BE1185">
        <v>417</v>
      </c>
      <c r="BF1185">
        <v>237</v>
      </c>
      <c r="BG1185">
        <v>554</v>
      </c>
      <c r="BJ1185">
        <v>1</v>
      </c>
      <c r="BL1185" t="s">
        <v>2497</v>
      </c>
      <c r="BM1185" s="4">
        <v>43283.229166666664</v>
      </c>
      <c r="BN1185" s="4">
        <v>43283.253437500003</v>
      </c>
      <c r="BO1185" s="4">
        <v>43283.253437500003</v>
      </c>
      <c r="BP1185" t="s">
        <v>92</v>
      </c>
      <c r="BQ1185" t="s">
        <v>93</v>
      </c>
      <c r="BR1185" t="s">
        <v>94</v>
      </c>
    </row>
    <row r="1186" spans="1:70" x14ac:dyDescent="0.3">
      <c r="A1186" t="str">
        <f>"200618C0200"</f>
        <v>200618C0200</v>
      </c>
      <c r="B1186" t="s">
        <v>2498</v>
      </c>
      <c r="C1186">
        <v>20</v>
      </c>
      <c r="D1186" t="s">
        <v>88</v>
      </c>
      <c r="E1186">
        <v>67</v>
      </c>
      <c r="F1186" t="s">
        <v>2488</v>
      </c>
      <c r="G1186">
        <v>618</v>
      </c>
      <c r="H1186">
        <v>2</v>
      </c>
      <c r="I1186" t="s">
        <v>98</v>
      </c>
      <c r="J1186">
        <v>0</v>
      </c>
      <c r="K1186">
        <v>2</v>
      </c>
      <c r="L1186">
        <v>5</v>
      </c>
      <c r="M1186">
        <v>174</v>
      </c>
      <c r="N1186">
        <v>402</v>
      </c>
      <c r="O1186" t="s">
        <v>105</v>
      </c>
      <c r="P1186">
        <v>402</v>
      </c>
      <c r="Q1186">
        <v>6</v>
      </c>
      <c r="R1186">
        <v>31</v>
      </c>
      <c r="S1186">
        <v>12</v>
      </c>
      <c r="T1186">
        <v>2</v>
      </c>
      <c r="U1186">
        <v>4</v>
      </c>
      <c r="V1186">
        <v>11</v>
      </c>
      <c r="X1186">
        <v>3</v>
      </c>
      <c r="Y1186">
        <v>130</v>
      </c>
      <c r="Z1186">
        <v>2</v>
      </c>
      <c r="AB1186">
        <v>52</v>
      </c>
      <c r="AC1186">
        <v>1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2</v>
      </c>
      <c r="AL1186">
        <v>1</v>
      </c>
      <c r="AM1186">
        <v>1</v>
      </c>
      <c r="AN1186">
        <v>0</v>
      </c>
      <c r="AZ1186">
        <v>130</v>
      </c>
      <c r="BC1186">
        <v>0</v>
      </c>
      <c r="BD1186">
        <v>14</v>
      </c>
      <c r="BE1186">
        <v>402</v>
      </c>
      <c r="BF1186">
        <v>402</v>
      </c>
      <c r="BG1186">
        <v>554</v>
      </c>
      <c r="BJ1186">
        <v>1</v>
      </c>
      <c r="BL1186" t="s">
        <v>2499</v>
      </c>
      <c r="BM1186" s="4">
        <v>43283.224999999999</v>
      </c>
      <c r="BN1186" s="4">
        <v>43283.250937500001</v>
      </c>
      <c r="BO1186" s="4">
        <v>43283.250937500001</v>
      </c>
      <c r="BP1186" t="s">
        <v>92</v>
      </c>
      <c r="BQ1186" t="s">
        <v>93</v>
      </c>
      <c r="BR1186" t="s">
        <v>94</v>
      </c>
    </row>
    <row r="1187" spans="1:70" x14ac:dyDescent="0.3">
      <c r="A1187" t="str">
        <f>"200619B0100"</f>
        <v>200619B0100</v>
      </c>
      <c r="B1187" t="s">
        <v>2500</v>
      </c>
      <c r="C1187">
        <v>20</v>
      </c>
      <c r="D1187" t="s">
        <v>88</v>
      </c>
      <c r="E1187">
        <v>67</v>
      </c>
      <c r="F1187" t="s">
        <v>2488</v>
      </c>
      <c r="G1187">
        <v>619</v>
      </c>
      <c r="H1187">
        <v>1</v>
      </c>
      <c r="I1187" t="s">
        <v>90</v>
      </c>
      <c r="J1187">
        <v>0</v>
      </c>
      <c r="K1187">
        <v>2</v>
      </c>
      <c r="L1187">
        <v>5</v>
      </c>
      <c r="M1187">
        <v>213</v>
      </c>
      <c r="N1187">
        <v>487</v>
      </c>
      <c r="O1187">
        <v>6</v>
      </c>
      <c r="P1187">
        <v>487</v>
      </c>
      <c r="Q1187">
        <v>7</v>
      </c>
      <c r="R1187">
        <v>21</v>
      </c>
      <c r="S1187">
        <v>16</v>
      </c>
      <c r="T1187">
        <v>1</v>
      </c>
      <c r="U1187">
        <v>10</v>
      </c>
      <c r="V1187">
        <v>6</v>
      </c>
      <c r="X1187">
        <v>3</v>
      </c>
      <c r="Y1187">
        <v>187</v>
      </c>
      <c r="Z1187">
        <v>3</v>
      </c>
      <c r="AB1187">
        <v>74</v>
      </c>
      <c r="AC1187" t="s">
        <v>105</v>
      </c>
      <c r="AD1187" t="s">
        <v>105</v>
      </c>
      <c r="AE1187" t="s">
        <v>105</v>
      </c>
      <c r="AF1187" t="s">
        <v>105</v>
      </c>
      <c r="AG1187">
        <v>1</v>
      </c>
      <c r="AH1187" t="s">
        <v>105</v>
      </c>
      <c r="AI1187" t="s">
        <v>105</v>
      </c>
      <c r="AJ1187" t="s">
        <v>105</v>
      </c>
      <c r="AK1187">
        <v>10</v>
      </c>
      <c r="AL1187" t="s">
        <v>105</v>
      </c>
      <c r="AM1187" t="s">
        <v>105</v>
      </c>
      <c r="AN1187" t="s">
        <v>105</v>
      </c>
      <c r="AZ1187">
        <v>129</v>
      </c>
      <c r="BC1187">
        <v>1</v>
      </c>
      <c r="BD1187">
        <v>18</v>
      </c>
      <c r="BE1187">
        <v>487</v>
      </c>
      <c r="BF1187">
        <v>487</v>
      </c>
      <c r="BG1187">
        <v>677</v>
      </c>
      <c r="BI1187" t="s">
        <v>106</v>
      </c>
      <c r="BJ1187">
        <v>1</v>
      </c>
      <c r="BL1187" t="s">
        <v>2501</v>
      </c>
      <c r="BM1187" s="4">
        <v>43283.15902777778</v>
      </c>
      <c r="BN1187" s="4">
        <v>43283.170034722221</v>
      </c>
      <c r="BO1187" s="4">
        <v>43283.170034722221</v>
      </c>
      <c r="BP1187" t="s">
        <v>92</v>
      </c>
      <c r="BQ1187" t="s">
        <v>93</v>
      </c>
      <c r="BR1187" t="s">
        <v>94</v>
      </c>
    </row>
    <row r="1188" spans="1:70" x14ac:dyDescent="0.3">
      <c r="A1188" t="str">
        <f>"200619C0100"</f>
        <v>200619C0100</v>
      </c>
      <c r="B1188" t="s">
        <v>2502</v>
      </c>
      <c r="C1188">
        <v>20</v>
      </c>
      <c r="D1188" t="s">
        <v>88</v>
      </c>
      <c r="E1188">
        <v>67</v>
      </c>
      <c r="F1188" t="s">
        <v>2488</v>
      </c>
      <c r="G1188">
        <v>619</v>
      </c>
      <c r="H1188">
        <v>1</v>
      </c>
      <c r="I1188" t="s">
        <v>98</v>
      </c>
      <c r="J1188">
        <v>0</v>
      </c>
      <c r="K1188">
        <v>2</v>
      </c>
      <c r="L1188">
        <v>5</v>
      </c>
      <c r="M1188">
        <v>215</v>
      </c>
      <c r="N1188">
        <v>483</v>
      </c>
      <c r="O1188">
        <v>3</v>
      </c>
      <c r="P1188">
        <v>483</v>
      </c>
      <c r="Q1188">
        <v>10</v>
      </c>
      <c r="R1188">
        <v>42</v>
      </c>
      <c r="S1188">
        <v>7</v>
      </c>
      <c r="T1188">
        <v>1</v>
      </c>
      <c r="U1188">
        <v>6</v>
      </c>
      <c r="V1188">
        <v>5</v>
      </c>
      <c r="X1188">
        <v>1</v>
      </c>
      <c r="Y1188">
        <v>196</v>
      </c>
      <c r="Z1188">
        <v>6</v>
      </c>
      <c r="AB1188">
        <v>61</v>
      </c>
      <c r="AC1188">
        <v>0</v>
      </c>
      <c r="AD1188">
        <v>1</v>
      </c>
      <c r="AE1188">
        <v>0</v>
      </c>
      <c r="AF1188">
        <v>0</v>
      </c>
      <c r="AG1188">
        <v>2</v>
      </c>
      <c r="AH1188">
        <v>0</v>
      </c>
      <c r="AI1188">
        <v>1</v>
      </c>
      <c r="AJ1188">
        <v>0</v>
      </c>
      <c r="AK1188">
        <v>0</v>
      </c>
      <c r="AL1188">
        <v>0</v>
      </c>
      <c r="AM1188">
        <v>1</v>
      </c>
      <c r="AN1188">
        <v>0</v>
      </c>
      <c r="AZ1188">
        <v>126</v>
      </c>
      <c r="BC1188">
        <v>0</v>
      </c>
      <c r="BD1188">
        <v>17</v>
      </c>
      <c r="BE1188">
        <v>483</v>
      </c>
      <c r="BF1188">
        <v>483</v>
      </c>
      <c r="BG1188">
        <v>677</v>
      </c>
      <c r="BJ1188">
        <v>1</v>
      </c>
      <c r="BL1188" t="s">
        <v>2503</v>
      </c>
      <c r="BM1188" s="4">
        <v>43283.161805555559</v>
      </c>
      <c r="BN1188" s="4">
        <v>43283.175578703704</v>
      </c>
      <c r="BO1188" s="4">
        <v>43283.175578703704</v>
      </c>
      <c r="BP1188" t="s">
        <v>92</v>
      </c>
      <c r="BQ1188" t="s">
        <v>93</v>
      </c>
      <c r="BR1188" t="s">
        <v>94</v>
      </c>
    </row>
    <row r="1189" spans="1:70" x14ac:dyDescent="0.3">
      <c r="A1189" t="str">
        <f>"200619C0200"</f>
        <v>200619C0200</v>
      </c>
      <c r="B1189" t="s">
        <v>2504</v>
      </c>
      <c r="C1189">
        <v>20</v>
      </c>
      <c r="D1189" t="s">
        <v>88</v>
      </c>
      <c r="E1189">
        <v>67</v>
      </c>
      <c r="F1189" t="s">
        <v>2488</v>
      </c>
      <c r="G1189">
        <v>619</v>
      </c>
      <c r="H1189">
        <v>2</v>
      </c>
      <c r="I1189" t="s">
        <v>98</v>
      </c>
      <c r="J1189">
        <v>0</v>
      </c>
      <c r="K1189">
        <v>2</v>
      </c>
      <c r="L1189">
        <v>5</v>
      </c>
      <c r="M1189">
        <v>187</v>
      </c>
      <c r="N1189">
        <v>513</v>
      </c>
      <c r="O1189">
        <v>5</v>
      </c>
      <c r="P1189">
        <v>513</v>
      </c>
      <c r="Q1189">
        <v>5</v>
      </c>
      <c r="R1189">
        <v>39</v>
      </c>
      <c r="S1189">
        <v>19</v>
      </c>
      <c r="T1189">
        <v>2</v>
      </c>
      <c r="U1189">
        <v>6</v>
      </c>
      <c r="V1189">
        <v>8</v>
      </c>
      <c r="X1189">
        <v>1</v>
      </c>
      <c r="Y1189">
        <v>185</v>
      </c>
      <c r="Z1189">
        <v>4</v>
      </c>
      <c r="AB1189">
        <v>63</v>
      </c>
      <c r="AC1189">
        <v>3</v>
      </c>
      <c r="AD1189">
        <v>1</v>
      </c>
      <c r="AE1189">
        <v>0</v>
      </c>
      <c r="AF1189">
        <v>3</v>
      </c>
      <c r="AG1189">
        <v>1</v>
      </c>
      <c r="AH1189">
        <v>1</v>
      </c>
      <c r="AI1189">
        <v>1</v>
      </c>
      <c r="AJ1189">
        <v>0</v>
      </c>
      <c r="AK1189">
        <v>0</v>
      </c>
      <c r="AL1189">
        <v>2</v>
      </c>
      <c r="AM1189">
        <v>2</v>
      </c>
      <c r="AN1189">
        <v>1</v>
      </c>
      <c r="AZ1189">
        <v>143</v>
      </c>
      <c r="BC1189">
        <v>0</v>
      </c>
      <c r="BD1189">
        <v>21</v>
      </c>
      <c r="BE1189">
        <v>513</v>
      </c>
      <c r="BF1189">
        <v>511</v>
      </c>
      <c r="BG1189">
        <v>677</v>
      </c>
      <c r="BJ1189">
        <v>1</v>
      </c>
      <c r="BL1189" t="s">
        <v>2505</v>
      </c>
      <c r="BM1189" s="4">
        <v>43283.167361111111</v>
      </c>
      <c r="BN1189" s="4">
        <v>43283.180289351854</v>
      </c>
      <c r="BO1189" s="4">
        <v>43283.180289351854</v>
      </c>
      <c r="BP1189" t="s">
        <v>92</v>
      </c>
      <c r="BQ1189" t="s">
        <v>93</v>
      </c>
      <c r="BR1189" t="s">
        <v>94</v>
      </c>
    </row>
    <row r="1190" spans="1:70" x14ac:dyDescent="0.3">
      <c r="A1190" t="str">
        <f>"200620B0100"</f>
        <v>200620B0100</v>
      </c>
      <c r="B1190" t="s">
        <v>2506</v>
      </c>
      <c r="C1190">
        <v>20</v>
      </c>
      <c r="D1190" t="s">
        <v>88</v>
      </c>
      <c r="E1190">
        <v>67</v>
      </c>
      <c r="F1190" t="s">
        <v>2488</v>
      </c>
      <c r="G1190">
        <v>620</v>
      </c>
      <c r="H1190">
        <v>1</v>
      </c>
      <c r="I1190" t="s">
        <v>90</v>
      </c>
      <c r="J1190">
        <v>0</v>
      </c>
      <c r="K1190">
        <v>1</v>
      </c>
      <c r="L1190">
        <v>5</v>
      </c>
      <c r="M1190">
        <v>184</v>
      </c>
      <c r="N1190">
        <v>506</v>
      </c>
      <c r="O1190">
        <v>4</v>
      </c>
      <c r="P1190">
        <v>506</v>
      </c>
      <c r="Q1190">
        <v>10</v>
      </c>
      <c r="R1190">
        <v>30</v>
      </c>
      <c r="S1190">
        <v>12</v>
      </c>
      <c r="T1190">
        <v>2</v>
      </c>
      <c r="U1190">
        <v>13</v>
      </c>
      <c r="V1190">
        <v>6</v>
      </c>
      <c r="X1190">
        <v>1</v>
      </c>
      <c r="Y1190">
        <v>184</v>
      </c>
      <c r="Z1190">
        <v>7</v>
      </c>
      <c r="AB1190">
        <v>85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3</v>
      </c>
      <c r="AL1190">
        <v>2</v>
      </c>
      <c r="AM1190">
        <v>0</v>
      </c>
      <c r="AN1190">
        <v>3</v>
      </c>
      <c r="AZ1190">
        <v>135</v>
      </c>
      <c r="BC1190">
        <v>0</v>
      </c>
      <c r="BD1190">
        <v>13</v>
      </c>
      <c r="BE1190">
        <v>506</v>
      </c>
      <c r="BF1190">
        <v>506</v>
      </c>
      <c r="BG1190">
        <v>667</v>
      </c>
      <c r="BJ1190">
        <v>1</v>
      </c>
      <c r="BL1190" t="s">
        <v>2507</v>
      </c>
      <c r="BM1190" s="4">
        <v>43283.136805555558</v>
      </c>
      <c r="BN1190" s="4">
        <v>43283.141979166663</v>
      </c>
      <c r="BO1190" s="4">
        <v>43283.141979166663</v>
      </c>
      <c r="BP1190" t="s">
        <v>92</v>
      </c>
      <c r="BQ1190" t="s">
        <v>93</v>
      </c>
      <c r="BR1190" t="s">
        <v>94</v>
      </c>
    </row>
    <row r="1191" spans="1:70" x14ac:dyDescent="0.3">
      <c r="A1191" t="str">
        <f>"200620C0100"</f>
        <v>200620C0100</v>
      </c>
      <c r="B1191" t="s">
        <v>2508</v>
      </c>
      <c r="C1191">
        <v>20</v>
      </c>
      <c r="D1191" t="s">
        <v>88</v>
      </c>
      <c r="E1191">
        <v>67</v>
      </c>
      <c r="F1191" t="s">
        <v>2488</v>
      </c>
      <c r="G1191">
        <v>620</v>
      </c>
      <c r="H1191">
        <v>1</v>
      </c>
      <c r="I1191" t="s">
        <v>98</v>
      </c>
      <c r="J1191">
        <v>0</v>
      </c>
      <c r="K1191">
        <v>1</v>
      </c>
      <c r="L1191">
        <v>5</v>
      </c>
      <c r="M1191">
        <v>194</v>
      </c>
      <c r="N1191">
        <v>493</v>
      </c>
      <c r="O1191">
        <v>2</v>
      </c>
      <c r="P1191">
        <v>493</v>
      </c>
      <c r="Q1191">
        <v>5</v>
      </c>
      <c r="R1191">
        <v>22</v>
      </c>
      <c r="S1191">
        <v>8</v>
      </c>
      <c r="T1191">
        <v>4</v>
      </c>
      <c r="U1191">
        <v>16</v>
      </c>
      <c r="V1191">
        <v>8</v>
      </c>
      <c r="X1191">
        <v>2</v>
      </c>
      <c r="Y1191">
        <v>185</v>
      </c>
      <c r="Z1191">
        <v>4</v>
      </c>
      <c r="AB1191">
        <v>71</v>
      </c>
      <c r="AC1191">
        <v>1</v>
      </c>
      <c r="AD1191">
        <v>0</v>
      </c>
      <c r="AE1191">
        <v>0</v>
      </c>
      <c r="AF1191">
        <v>1</v>
      </c>
      <c r="AG1191">
        <v>0</v>
      </c>
      <c r="AH1191">
        <v>2</v>
      </c>
      <c r="AI1191">
        <v>0</v>
      </c>
      <c r="AJ1191">
        <v>0</v>
      </c>
      <c r="AK1191">
        <v>5</v>
      </c>
      <c r="AL1191">
        <v>1</v>
      </c>
      <c r="AM1191">
        <v>0</v>
      </c>
      <c r="AN1191">
        <v>0</v>
      </c>
      <c r="AZ1191">
        <v>146</v>
      </c>
      <c r="BC1191">
        <v>0</v>
      </c>
      <c r="BD1191">
        <v>12</v>
      </c>
      <c r="BE1191">
        <v>493</v>
      </c>
      <c r="BF1191">
        <v>493</v>
      </c>
      <c r="BG1191">
        <v>666</v>
      </c>
      <c r="BJ1191">
        <v>1</v>
      </c>
      <c r="BL1191" t="s">
        <v>2509</v>
      </c>
      <c r="BM1191" s="4">
        <v>43283.192361111112</v>
      </c>
      <c r="BN1191" s="4">
        <v>43283.20989583333</v>
      </c>
      <c r="BO1191" s="4">
        <v>43283.20989583333</v>
      </c>
      <c r="BP1191" t="s">
        <v>92</v>
      </c>
      <c r="BQ1191" t="s">
        <v>93</v>
      </c>
      <c r="BR1191" t="s">
        <v>94</v>
      </c>
    </row>
    <row r="1192" spans="1:70" x14ac:dyDescent="0.3">
      <c r="A1192" t="str">
        <f>"200620C0200"</f>
        <v>200620C0200</v>
      </c>
      <c r="B1192" t="s">
        <v>2510</v>
      </c>
      <c r="C1192">
        <v>20</v>
      </c>
      <c r="D1192" t="s">
        <v>88</v>
      </c>
      <c r="E1192">
        <v>67</v>
      </c>
      <c r="F1192" t="s">
        <v>2488</v>
      </c>
      <c r="G1192">
        <v>620</v>
      </c>
      <c r="H1192">
        <v>2</v>
      </c>
      <c r="I1192" t="s">
        <v>98</v>
      </c>
      <c r="J1192">
        <v>0</v>
      </c>
      <c r="K1192">
        <v>1</v>
      </c>
      <c r="L1192">
        <v>5</v>
      </c>
      <c r="M1192">
        <v>210</v>
      </c>
      <c r="N1192">
        <v>479</v>
      </c>
      <c r="O1192">
        <v>4</v>
      </c>
      <c r="P1192">
        <v>452</v>
      </c>
      <c r="Q1192">
        <v>3</v>
      </c>
      <c r="R1192">
        <v>36</v>
      </c>
      <c r="S1192">
        <v>11</v>
      </c>
      <c r="T1192">
        <v>1</v>
      </c>
      <c r="U1192">
        <v>12</v>
      </c>
      <c r="V1192">
        <v>4</v>
      </c>
      <c r="X1192">
        <v>3</v>
      </c>
      <c r="Y1192">
        <v>157</v>
      </c>
      <c r="Z1192">
        <v>6</v>
      </c>
      <c r="AB1192">
        <v>60</v>
      </c>
      <c r="AC1192">
        <v>3</v>
      </c>
      <c r="AD1192">
        <v>0</v>
      </c>
      <c r="AE1192">
        <v>0</v>
      </c>
      <c r="AF1192">
        <v>0</v>
      </c>
      <c r="AG1192">
        <v>2</v>
      </c>
      <c r="AH1192">
        <v>0</v>
      </c>
      <c r="AI1192">
        <v>0</v>
      </c>
      <c r="AJ1192">
        <v>0</v>
      </c>
      <c r="AK1192">
        <v>3</v>
      </c>
      <c r="AL1192">
        <v>0</v>
      </c>
      <c r="AM1192">
        <v>0</v>
      </c>
      <c r="AN1192">
        <v>2</v>
      </c>
      <c r="AZ1192">
        <v>155</v>
      </c>
      <c r="BC1192">
        <v>1</v>
      </c>
      <c r="BD1192">
        <v>20</v>
      </c>
      <c r="BE1192">
        <v>479</v>
      </c>
      <c r="BF1192">
        <v>479</v>
      </c>
      <c r="BG1192">
        <v>666</v>
      </c>
      <c r="BJ1192">
        <v>1</v>
      </c>
      <c r="BL1192" t="s">
        <v>2511</v>
      </c>
      <c r="BM1192" s="4">
        <v>43283.196527777778</v>
      </c>
      <c r="BN1192" s="4">
        <v>43283.21398148148</v>
      </c>
      <c r="BO1192" s="4">
        <v>43283.21398148148</v>
      </c>
      <c r="BP1192" t="s">
        <v>92</v>
      </c>
      <c r="BQ1192" t="s">
        <v>93</v>
      </c>
      <c r="BR1192" t="s">
        <v>94</v>
      </c>
    </row>
    <row r="1193" spans="1:70" x14ac:dyDescent="0.3">
      <c r="A1193" t="str">
        <f>"200620C0300"</f>
        <v>200620C0300</v>
      </c>
      <c r="B1193" t="s">
        <v>2512</v>
      </c>
      <c r="C1193">
        <v>20</v>
      </c>
      <c r="D1193" t="s">
        <v>88</v>
      </c>
      <c r="E1193">
        <v>67</v>
      </c>
      <c r="F1193" t="s">
        <v>2488</v>
      </c>
      <c r="G1193">
        <v>620</v>
      </c>
      <c r="H1193">
        <v>3</v>
      </c>
      <c r="I1193" t="s">
        <v>98</v>
      </c>
      <c r="J1193">
        <v>0</v>
      </c>
      <c r="K1193">
        <v>1</v>
      </c>
      <c r="L1193">
        <v>5</v>
      </c>
      <c r="M1193">
        <v>190</v>
      </c>
      <c r="N1193">
        <v>500</v>
      </c>
      <c r="O1193">
        <v>4</v>
      </c>
      <c r="P1193">
        <v>500</v>
      </c>
      <c r="Q1193">
        <v>9</v>
      </c>
      <c r="R1193">
        <v>40</v>
      </c>
      <c r="S1193">
        <v>11</v>
      </c>
      <c r="T1193">
        <v>2</v>
      </c>
      <c r="U1193">
        <v>10</v>
      </c>
      <c r="V1193">
        <v>2</v>
      </c>
      <c r="X1193">
        <v>3</v>
      </c>
      <c r="Y1193">
        <v>168</v>
      </c>
      <c r="Z1193">
        <v>3</v>
      </c>
      <c r="AB1193">
        <v>87</v>
      </c>
      <c r="AC1193">
        <v>0</v>
      </c>
      <c r="AD1193">
        <v>1</v>
      </c>
      <c r="AE1193">
        <v>0</v>
      </c>
      <c r="AF1193">
        <v>1</v>
      </c>
      <c r="AG1193">
        <v>2</v>
      </c>
      <c r="AH1193">
        <v>1</v>
      </c>
      <c r="AI1193">
        <v>1</v>
      </c>
      <c r="AJ1193">
        <v>0</v>
      </c>
      <c r="AK1193">
        <v>1</v>
      </c>
      <c r="AL1193">
        <v>3</v>
      </c>
      <c r="AM1193">
        <v>0</v>
      </c>
      <c r="AN1193">
        <v>0</v>
      </c>
      <c r="AZ1193">
        <v>132</v>
      </c>
      <c r="BC1193">
        <v>0</v>
      </c>
      <c r="BD1193">
        <v>22</v>
      </c>
      <c r="BE1193">
        <v>499</v>
      </c>
      <c r="BF1193">
        <v>499</v>
      </c>
      <c r="BG1193">
        <v>666</v>
      </c>
      <c r="BJ1193">
        <v>1</v>
      </c>
      <c r="BL1193" t="s">
        <v>2513</v>
      </c>
      <c r="BM1193" s="4">
        <v>43283.144444444442</v>
      </c>
      <c r="BN1193" s="4">
        <v>43283.161307870374</v>
      </c>
      <c r="BO1193" s="4">
        <v>43283.161307870374</v>
      </c>
      <c r="BP1193" t="s">
        <v>92</v>
      </c>
      <c r="BQ1193" t="s">
        <v>93</v>
      </c>
      <c r="BR1193" t="s">
        <v>254</v>
      </c>
    </row>
    <row r="1194" spans="1:70" x14ac:dyDescent="0.3">
      <c r="A1194" t="str">
        <f>"200621B0100"</f>
        <v>200621B0100</v>
      </c>
      <c r="B1194" t="s">
        <v>2514</v>
      </c>
      <c r="C1194">
        <v>20</v>
      </c>
      <c r="D1194" t="s">
        <v>88</v>
      </c>
      <c r="E1194">
        <v>67</v>
      </c>
      <c r="F1194" t="s">
        <v>2488</v>
      </c>
      <c r="G1194">
        <v>621</v>
      </c>
      <c r="H1194">
        <v>1</v>
      </c>
      <c r="I1194" t="s">
        <v>90</v>
      </c>
      <c r="J1194">
        <v>0</v>
      </c>
      <c r="K1194">
        <v>1</v>
      </c>
      <c r="L1194">
        <v>5</v>
      </c>
      <c r="M1194">
        <v>148</v>
      </c>
      <c r="N1194">
        <v>385</v>
      </c>
      <c r="O1194">
        <v>0</v>
      </c>
      <c r="P1194" t="s">
        <v>105</v>
      </c>
      <c r="Q1194">
        <v>8</v>
      </c>
      <c r="R1194">
        <v>14</v>
      </c>
      <c r="S1194">
        <v>6</v>
      </c>
      <c r="T1194">
        <v>0</v>
      </c>
      <c r="U1194">
        <v>12</v>
      </c>
      <c r="V1194">
        <v>3</v>
      </c>
      <c r="X1194">
        <v>2</v>
      </c>
      <c r="Y1194">
        <v>158</v>
      </c>
      <c r="Z1194">
        <v>1</v>
      </c>
      <c r="AB1194">
        <v>43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3</v>
      </c>
      <c r="AL1194">
        <v>2</v>
      </c>
      <c r="AM1194">
        <v>0</v>
      </c>
      <c r="AN1194">
        <v>0</v>
      </c>
      <c r="AZ1194">
        <v>111</v>
      </c>
      <c r="BC1194" t="s">
        <v>105</v>
      </c>
      <c r="BD1194">
        <v>16</v>
      </c>
      <c r="BE1194" t="s">
        <v>105</v>
      </c>
      <c r="BF1194">
        <v>379</v>
      </c>
      <c r="BG1194">
        <v>510</v>
      </c>
      <c r="BI1194" t="s">
        <v>106</v>
      </c>
      <c r="BJ1194">
        <v>1</v>
      </c>
      <c r="BL1194" t="s">
        <v>2515</v>
      </c>
      <c r="BM1194" s="4">
        <v>43283.17083333333</v>
      </c>
      <c r="BN1194" s="4">
        <v>43283.18959490741</v>
      </c>
      <c r="BO1194" s="4">
        <v>43283.18959490741</v>
      </c>
      <c r="BP1194" t="s">
        <v>92</v>
      </c>
      <c r="BQ1194" t="s">
        <v>93</v>
      </c>
      <c r="BR1194" t="s">
        <v>94</v>
      </c>
    </row>
    <row r="1195" spans="1:70" x14ac:dyDescent="0.3">
      <c r="A1195" t="str">
        <f>"200621C0100"</f>
        <v>200621C0100</v>
      </c>
      <c r="B1195" t="s">
        <v>2516</v>
      </c>
      <c r="C1195">
        <v>20</v>
      </c>
      <c r="D1195" t="s">
        <v>88</v>
      </c>
      <c r="E1195">
        <v>67</v>
      </c>
      <c r="F1195" t="s">
        <v>2488</v>
      </c>
      <c r="G1195">
        <v>621</v>
      </c>
      <c r="H1195">
        <v>1</v>
      </c>
      <c r="I1195" t="s">
        <v>98</v>
      </c>
      <c r="J1195">
        <v>0</v>
      </c>
      <c r="K1195">
        <v>1</v>
      </c>
      <c r="L1195">
        <v>5</v>
      </c>
      <c r="M1195">
        <v>169</v>
      </c>
      <c r="N1195">
        <v>364</v>
      </c>
      <c r="O1195">
        <v>0</v>
      </c>
      <c r="P1195">
        <v>364</v>
      </c>
      <c r="Q1195">
        <v>9</v>
      </c>
      <c r="R1195">
        <v>19</v>
      </c>
      <c r="S1195">
        <v>5</v>
      </c>
      <c r="T1195">
        <v>0</v>
      </c>
      <c r="U1195">
        <v>29</v>
      </c>
      <c r="V1195">
        <v>3</v>
      </c>
      <c r="X1195">
        <v>1</v>
      </c>
      <c r="Y1195">
        <v>153</v>
      </c>
      <c r="Z1195">
        <v>3</v>
      </c>
      <c r="AB1195">
        <v>27</v>
      </c>
      <c r="AC1195">
        <v>0</v>
      </c>
      <c r="AD1195">
        <v>0</v>
      </c>
      <c r="AE1195">
        <v>0</v>
      </c>
      <c r="AF1195">
        <v>0</v>
      </c>
      <c r="AG1195">
        <v>4</v>
      </c>
      <c r="AH1195">
        <v>0</v>
      </c>
      <c r="AI1195">
        <v>0</v>
      </c>
      <c r="AJ1195">
        <v>0</v>
      </c>
      <c r="AK1195">
        <v>3</v>
      </c>
      <c r="AL1195">
        <v>2</v>
      </c>
      <c r="AM1195">
        <v>0</v>
      </c>
      <c r="AN1195">
        <v>4</v>
      </c>
      <c r="AZ1195">
        <v>107</v>
      </c>
      <c r="BC1195">
        <v>0</v>
      </c>
      <c r="BD1195">
        <v>13</v>
      </c>
      <c r="BE1195">
        <v>363</v>
      </c>
      <c r="BF1195">
        <v>382</v>
      </c>
      <c r="BG1195">
        <v>510</v>
      </c>
      <c r="BJ1195">
        <v>1</v>
      </c>
      <c r="BL1195" t="s">
        <v>2517</v>
      </c>
      <c r="BM1195" s="4">
        <v>43283.17291666667</v>
      </c>
      <c r="BN1195" s="4">
        <v>43283.191932870373</v>
      </c>
      <c r="BO1195" s="4">
        <v>43283.191932870373</v>
      </c>
      <c r="BP1195" t="s">
        <v>92</v>
      </c>
      <c r="BQ1195" t="s">
        <v>93</v>
      </c>
      <c r="BR1195" t="s">
        <v>94</v>
      </c>
    </row>
    <row r="1196" spans="1:70" x14ac:dyDescent="0.3">
      <c r="A1196" t="str">
        <f>"200621C0200"</f>
        <v>200621C0200</v>
      </c>
      <c r="B1196" t="s">
        <v>2518</v>
      </c>
      <c r="C1196">
        <v>20</v>
      </c>
      <c r="D1196" t="s">
        <v>88</v>
      </c>
      <c r="E1196">
        <v>67</v>
      </c>
      <c r="F1196" t="s">
        <v>2488</v>
      </c>
      <c r="G1196">
        <v>621</v>
      </c>
      <c r="H1196">
        <v>2</v>
      </c>
      <c r="I1196" t="s">
        <v>98</v>
      </c>
      <c r="J1196">
        <v>0</v>
      </c>
      <c r="K1196">
        <v>1</v>
      </c>
      <c r="L1196">
        <v>5</v>
      </c>
      <c r="M1196">
        <v>173</v>
      </c>
      <c r="N1196">
        <v>358</v>
      </c>
      <c r="O1196">
        <v>2</v>
      </c>
      <c r="P1196">
        <v>358</v>
      </c>
      <c r="Q1196">
        <v>4</v>
      </c>
      <c r="R1196">
        <v>16</v>
      </c>
      <c r="S1196">
        <v>16</v>
      </c>
      <c r="T1196">
        <v>0</v>
      </c>
      <c r="U1196">
        <v>5</v>
      </c>
      <c r="V1196">
        <v>3</v>
      </c>
      <c r="X1196">
        <v>1</v>
      </c>
      <c r="Y1196">
        <v>153</v>
      </c>
      <c r="Z1196">
        <v>1</v>
      </c>
      <c r="AB1196">
        <v>55</v>
      </c>
      <c r="AC1196">
        <v>0</v>
      </c>
      <c r="AD1196">
        <v>0</v>
      </c>
      <c r="AE1196">
        <v>0</v>
      </c>
      <c r="AF1196">
        <v>0</v>
      </c>
      <c r="AG1196">
        <v>1</v>
      </c>
      <c r="AH1196">
        <v>1</v>
      </c>
      <c r="AI1196">
        <v>0</v>
      </c>
      <c r="AJ1196">
        <v>0</v>
      </c>
      <c r="AK1196">
        <v>5</v>
      </c>
      <c r="AL1196">
        <v>2</v>
      </c>
      <c r="AM1196">
        <v>0</v>
      </c>
      <c r="AN1196">
        <v>1</v>
      </c>
      <c r="AZ1196">
        <v>89</v>
      </c>
      <c r="BC1196">
        <v>0</v>
      </c>
      <c r="BD1196">
        <v>8</v>
      </c>
      <c r="BE1196">
        <v>361</v>
      </c>
      <c r="BF1196">
        <v>361</v>
      </c>
      <c r="BG1196">
        <v>510</v>
      </c>
      <c r="BJ1196">
        <v>1</v>
      </c>
      <c r="BL1196" t="s">
        <v>2519</v>
      </c>
      <c r="BM1196" s="4">
        <v>43283.177083333336</v>
      </c>
      <c r="BN1196" s="4">
        <v>43283.192488425928</v>
      </c>
      <c r="BO1196" s="4">
        <v>43283.192488425928</v>
      </c>
      <c r="BP1196" t="s">
        <v>92</v>
      </c>
      <c r="BQ1196" t="s">
        <v>93</v>
      </c>
      <c r="BR1196" t="s">
        <v>94</v>
      </c>
    </row>
    <row r="1197" spans="1:70" x14ac:dyDescent="0.3">
      <c r="A1197" t="str">
        <f>"200622B0100"</f>
        <v>200622B0100</v>
      </c>
      <c r="B1197" t="s">
        <v>2520</v>
      </c>
      <c r="C1197">
        <v>20</v>
      </c>
      <c r="D1197" t="s">
        <v>88</v>
      </c>
      <c r="E1197">
        <v>67</v>
      </c>
      <c r="F1197" t="s">
        <v>2488</v>
      </c>
      <c r="G1197">
        <v>622</v>
      </c>
      <c r="H1197">
        <v>1</v>
      </c>
      <c r="I1197" t="s">
        <v>90</v>
      </c>
      <c r="J1197">
        <v>0</v>
      </c>
      <c r="K1197">
        <v>1</v>
      </c>
      <c r="L1197">
        <v>5</v>
      </c>
      <c r="M1197">
        <v>175</v>
      </c>
      <c r="N1197">
        <v>519</v>
      </c>
      <c r="O1197">
        <v>2</v>
      </c>
      <c r="P1197">
        <v>519</v>
      </c>
      <c r="Q1197">
        <v>3</v>
      </c>
      <c r="R1197">
        <v>60</v>
      </c>
      <c r="S1197">
        <v>17</v>
      </c>
      <c r="T1197">
        <v>4</v>
      </c>
      <c r="U1197">
        <v>9</v>
      </c>
      <c r="V1197">
        <v>1</v>
      </c>
      <c r="X1197">
        <v>4</v>
      </c>
      <c r="Y1197">
        <v>216</v>
      </c>
      <c r="Z1197">
        <v>4</v>
      </c>
      <c r="AB1197">
        <v>63</v>
      </c>
      <c r="AC1197">
        <v>1</v>
      </c>
      <c r="AD1197">
        <v>0</v>
      </c>
      <c r="AE1197">
        <v>0</v>
      </c>
      <c r="AF1197">
        <v>0</v>
      </c>
      <c r="AG1197">
        <v>1</v>
      </c>
      <c r="AH1197">
        <v>0</v>
      </c>
      <c r="AI1197">
        <v>1</v>
      </c>
      <c r="AJ1197">
        <v>0</v>
      </c>
      <c r="AK1197">
        <v>2</v>
      </c>
      <c r="AL1197">
        <v>0</v>
      </c>
      <c r="AM1197">
        <v>0</v>
      </c>
      <c r="AN1197">
        <v>1</v>
      </c>
      <c r="AZ1197">
        <v>121</v>
      </c>
      <c r="BC1197">
        <v>0</v>
      </c>
      <c r="BD1197">
        <v>11</v>
      </c>
      <c r="BE1197">
        <v>519</v>
      </c>
      <c r="BF1197">
        <v>519</v>
      </c>
      <c r="BG1197">
        <v>671</v>
      </c>
      <c r="BJ1197">
        <v>1</v>
      </c>
      <c r="BL1197" t="s">
        <v>2521</v>
      </c>
      <c r="BM1197" s="4">
        <v>43283.122916666667</v>
      </c>
      <c r="BN1197" s="4">
        <v>43283.127465277779</v>
      </c>
      <c r="BO1197" s="4">
        <v>43283.127465277779</v>
      </c>
      <c r="BP1197" t="s">
        <v>92</v>
      </c>
      <c r="BQ1197" t="s">
        <v>93</v>
      </c>
      <c r="BR1197" t="s">
        <v>94</v>
      </c>
    </row>
    <row r="1198" spans="1:70" x14ac:dyDescent="0.3">
      <c r="A1198" t="str">
        <f>"200622C0100"</f>
        <v>200622C0100</v>
      </c>
      <c r="B1198" t="s">
        <v>2522</v>
      </c>
      <c r="C1198">
        <v>20</v>
      </c>
      <c r="D1198" t="s">
        <v>88</v>
      </c>
      <c r="E1198">
        <v>67</v>
      </c>
      <c r="F1198" t="s">
        <v>2488</v>
      </c>
      <c r="G1198">
        <v>622</v>
      </c>
      <c r="H1198">
        <v>1</v>
      </c>
      <c r="I1198" t="s">
        <v>98</v>
      </c>
      <c r="J1198">
        <v>0</v>
      </c>
      <c r="K1198">
        <v>1</v>
      </c>
      <c r="L1198">
        <v>5</v>
      </c>
      <c r="M1198">
        <v>183</v>
      </c>
      <c r="N1198">
        <v>511</v>
      </c>
      <c r="O1198">
        <v>1</v>
      </c>
      <c r="P1198">
        <v>511</v>
      </c>
      <c r="Q1198">
        <v>6</v>
      </c>
      <c r="R1198">
        <v>35</v>
      </c>
      <c r="S1198">
        <v>20</v>
      </c>
      <c r="T1198">
        <v>3</v>
      </c>
      <c r="U1198">
        <v>11</v>
      </c>
      <c r="V1198">
        <v>3</v>
      </c>
      <c r="X1198">
        <v>5</v>
      </c>
      <c r="Y1198">
        <v>198</v>
      </c>
      <c r="Z1198">
        <v>7</v>
      </c>
      <c r="AB1198">
        <v>69</v>
      </c>
      <c r="AC1198">
        <v>0</v>
      </c>
      <c r="AD1198">
        <v>0</v>
      </c>
      <c r="AE1198">
        <v>0</v>
      </c>
      <c r="AF1198">
        <v>1</v>
      </c>
      <c r="AG1198">
        <v>1</v>
      </c>
      <c r="AH1198">
        <v>0</v>
      </c>
      <c r="AI1198">
        <v>0</v>
      </c>
      <c r="AJ1198">
        <v>0</v>
      </c>
      <c r="AK1198">
        <v>2</v>
      </c>
      <c r="AL1198">
        <v>1</v>
      </c>
      <c r="AM1198">
        <v>0</v>
      </c>
      <c r="AN1198">
        <v>1</v>
      </c>
      <c r="AZ1198">
        <v>138</v>
      </c>
      <c r="BC1198">
        <v>0</v>
      </c>
      <c r="BD1198">
        <v>10</v>
      </c>
      <c r="BE1198">
        <v>511</v>
      </c>
      <c r="BF1198">
        <v>511</v>
      </c>
      <c r="BG1198">
        <v>671</v>
      </c>
      <c r="BJ1198">
        <v>1</v>
      </c>
      <c r="BL1198" t="s">
        <v>2523</v>
      </c>
      <c r="BM1198" s="4">
        <v>43283.118750000001</v>
      </c>
      <c r="BN1198" s="4">
        <v>43283.124826388892</v>
      </c>
      <c r="BO1198" s="4">
        <v>43283.124826388892</v>
      </c>
      <c r="BP1198" t="s">
        <v>92</v>
      </c>
      <c r="BQ1198" t="s">
        <v>93</v>
      </c>
      <c r="BR1198" t="s">
        <v>94</v>
      </c>
    </row>
    <row r="1199" spans="1:70" x14ac:dyDescent="0.3">
      <c r="A1199" t="str">
        <f>"200622C0200"</f>
        <v>200622C0200</v>
      </c>
      <c r="B1199" t="s">
        <v>2524</v>
      </c>
      <c r="C1199">
        <v>20</v>
      </c>
      <c r="D1199" t="s">
        <v>88</v>
      </c>
      <c r="E1199">
        <v>67</v>
      </c>
      <c r="F1199" t="s">
        <v>2488</v>
      </c>
      <c r="G1199">
        <v>622</v>
      </c>
      <c r="H1199">
        <v>2</v>
      </c>
      <c r="I1199" t="s">
        <v>98</v>
      </c>
      <c r="J1199">
        <v>0</v>
      </c>
      <c r="K1199">
        <v>1</v>
      </c>
      <c r="L1199">
        <v>5</v>
      </c>
      <c r="M1199">
        <v>206</v>
      </c>
      <c r="N1199" t="s">
        <v>105</v>
      </c>
      <c r="O1199">
        <v>1</v>
      </c>
      <c r="P1199">
        <v>486</v>
      </c>
      <c r="Q1199">
        <v>7</v>
      </c>
      <c r="R1199">
        <v>44</v>
      </c>
      <c r="S1199">
        <v>16</v>
      </c>
      <c r="T1199">
        <v>3</v>
      </c>
      <c r="U1199">
        <v>3</v>
      </c>
      <c r="V1199">
        <v>5</v>
      </c>
      <c r="X1199">
        <v>3</v>
      </c>
      <c r="Y1199">
        <v>171</v>
      </c>
      <c r="Z1199">
        <v>1</v>
      </c>
      <c r="AB1199">
        <v>83</v>
      </c>
      <c r="AC1199">
        <v>0</v>
      </c>
      <c r="AD1199">
        <v>1</v>
      </c>
      <c r="AE1199">
        <v>0</v>
      </c>
      <c r="AF1199">
        <v>0</v>
      </c>
      <c r="AG1199">
        <v>0</v>
      </c>
      <c r="AH1199">
        <v>0</v>
      </c>
      <c r="AI1199">
        <v>1</v>
      </c>
      <c r="AJ1199">
        <v>0</v>
      </c>
      <c r="AK1199">
        <v>2</v>
      </c>
      <c r="AL1199">
        <v>1</v>
      </c>
      <c r="AM1199">
        <v>0</v>
      </c>
      <c r="AN1199">
        <v>1</v>
      </c>
      <c r="AZ1199">
        <v>122</v>
      </c>
      <c r="BC1199">
        <v>0</v>
      </c>
      <c r="BD1199">
        <v>22</v>
      </c>
      <c r="BE1199">
        <v>486</v>
      </c>
      <c r="BF1199">
        <v>486</v>
      </c>
      <c r="BG1199">
        <v>670</v>
      </c>
      <c r="BJ1199">
        <v>1</v>
      </c>
      <c r="BL1199" t="s">
        <v>2525</v>
      </c>
      <c r="BM1199" s="4">
        <v>43283.127083333333</v>
      </c>
      <c r="BN1199" s="4">
        <v>43283.129895833335</v>
      </c>
      <c r="BO1199" s="4">
        <v>43283.129895833335</v>
      </c>
      <c r="BP1199" t="s">
        <v>92</v>
      </c>
      <c r="BQ1199" t="s">
        <v>93</v>
      </c>
      <c r="BR1199" t="s">
        <v>94</v>
      </c>
    </row>
    <row r="1200" spans="1:70" x14ac:dyDescent="0.3">
      <c r="A1200" t="str">
        <f>"200623B0100"</f>
        <v>200623B0100</v>
      </c>
      <c r="B1200" t="s">
        <v>2526</v>
      </c>
      <c r="C1200">
        <v>20</v>
      </c>
      <c r="D1200" t="s">
        <v>88</v>
      </c>
      <c r="E1200">
        <v>67</v>
      </c>
      <c r="F1200" t="s">
        <v>2488</v>
      </c>
      <c r="G1200">
        <v>623</v>
      </c>
      <c r="H1200">
        <v>1</v>
      </c>
      <c r="I1200" t="s">
        <v>90</v>
      </c>
      <c r="J1200">
        <v>0</v>
      </c>
      <c r="K1200">
        <v>2</v>
      </c>
      <c r="L1200">
        <v>5</v>
      </c>
      <c r="M1200">
        <v>110</v>
      </c>
      <c r="N1200">
        <v>358</v>
      </c>
      <c r="O1200">
        <v>5</v>
      </c>
      <c r="P1200">
        <v>358</v>
      </c>
      <c r="Q1200">
        <v>4</v>
      </c>
      <c r="R1200">
        <v>6</v>
      </c>
      <c r="S1200">
        <v>6</v>
      </c>
      <c r="T1200">
        <v>0</v>
      </c>
      <c r="U1200">
        <v>3</v>
      </c>
      <c r="V1200">
        <v>4</v>
      </c>
      <c r="X1200">
        <v>2</v>
      </c>
      <c r="Y1200">
        <v>133</v>
      </c>
      <c r="Z1200">
        <v>2</v>
      </c>
      <c r="AB1200">
        <v>75</v>
      </c>
      <c r="AC1200">
        <v>2</v>
      </c>
      <c r="AD1200">
        <v>0</v>
      </c>
      <c r="AE1200">
        <v>0</v>
      </c>
      <c r="AF1200">
        <v>0</v>
      </c>
      <c r="AG1200">
        <v>1</v>
      </c>
      <c r="AH1200">
        <v>0</v>
      </c>
      <c r="AI1200">
        <v>0</v>
      </c>
      <c r="AJ1200">
        <v>0</v>
      </c>
      <c r="AK1200">
        <v>4</v>
      </c>
      <c r="AL1200">
        <v>1</v>
      </c>
      <c r="AM1200">
        <v>0</v>
      </c>
      <c r="AN1200">
        <v>1</v>
      </c>
      <c r="AZ1200">
        <v>100</v>
      </c>
      <c r="BC1200">
        <v>0</v>
      </c>
      <c r="BD1200">
        <v>13</v>
      </c>
      <c r="BE1200">
        <v>358</v>
      </c>
      <c r="BF1200">
        <v>357</v>
      </c>
      <c r="BG1200">
        <v>442</v>
      </c>
      <c r="BJ1200">
        <v>1</v>
      </c>
      <c r="BL1200" t="s">
        <v>2527</v>
      </c>
      <c r="BM1200" s="4">
        <v>43283.129861111112</v>
      </c>
      <c r="BN1200" s="4">
        <v>43283.133946759262</v>
      </c>
      <c r="BO1200" s="4">
        <v>43283.133946759262</v>
      </c>
      <c r="BP1200" t="s">
        <v>92</v>
      </c>
      <c r="BQ1200" t="s">
        <v>93</v>
      </c>
      <c r="BR1200" t="s">
        <v>94</v>
      </c>
    </row>
    <row r="1201" spans="1:70" x14ac:dyDescent="0.3">
      <c r="A1201" t="str">
        <f>"200623C0100"</f>
        <v>200623C0100</v>
      </c>
      <c r="B1201" t="s">
        <v>2528</v>
      </c>
      <c r="C1201">
        <v>20</v>
      </c>
      <c r="D1201" t="s">
        <v>88</v>
      </c>
      <c r="E1201">
        <v>67</v>
      </c>
      <c r="F1201" t="s">
        <v>2488</v>
      </c>
      <c r="G1201">
        <v>623</v>
      </c>
      <c r="H1201">
        <v>1</v>
      </c>
      <c r="I1201" t="s">
        <v>98</v>
      </c>
      <c r="J1201">
        <v>0</v>
      </c>
      <c r="K1201">
        <v>2</v>
      </c>
      <c r="L1201">
        <v>5</v>
      </c>
      <c r="M1201">
        <v>119</v>
      </c>
      <c r="N1201">
        <v>346</v>
      </c>
      <c r="O1201">
        <v>1</v>
      </c>
      <c r="P1201">
        <v>346</v>
      </c>
      <c r="Q1201">
        <v>4</v>
      </c>
      <c r="R1201">
        <v>6</v>
      </c>
      <c r="S1201">
        <v>4</v>
      </c>
      <c r="T1201">
        <v>1</v>
      </c>
      <c r="U1201">
        <v>6</v>
      </c>
      <c r="V1201">
        <v>1</v>
      </c>
      <c r="X1201">
        <v>0</v>
      </c>
      <c r="Y1201">
        <v>120</v>
      </c>
      <c r="Z1201">
        <v>2</v>
      </c>
      <c r="AB1201">
        <v>47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4</v>
      </c>
      <c r="AL1201">
        <v>3</v>
      </c>
      <c r="AM1201">
        <v>1</v>
      </c>
      <c r="AN1201">
        <v>0</v>
      </c>
      <c r="AZ1201">
        <v>134</v>
      </c>
      <c r="BC1201" t="s">
        <v>105</v>
      </c>
      <c r="BD1201">
        <v>14</v>
      </c>
      <c r="BE1201">
        <v>347</v>
      </c>
      <c r="BF1201">
        <v>347</v>
      </c>
      <c r="BG1201">
        <v>442</v>
      </c>
      <c r="BI1201" t="s">
        <v>106</v>
      </c>
      <c r="BJ1201">
        <v>1</v>
      </c>
      <c r="BL1201" t="s">
        <v>2529</v>
      </c>
      <c r="BM1201" s="4">
        <v>43283.151388888888</v>
      </c>
      <c r="BN1201" s="4">
        <v>43283.160717592589</v>
      </c>
      <c r="BO1201" s="4">
        <v>43283.160717592589</v>
      </c>
      <c r="BP1201" t="s">
        <v>92</v>
      </c>
      <c r="BQ1201" t="s">
        <v>93</v>
      </c>
      <c r="BR1201" t="s">
        <v>94</v>
      </c>
    </row>
    <row r="1202" spans="1:70" x14ac:dyDescent="0.3">
      <c r="A1202" t="str">
        <f>"200624B0100"</f>
        <v>200624B0100</v>
      </c>
      <c r="B1202" t="s">
        <v>2530</v>
      </c>
      <c r="C1202">
        <v>20</v>
      </c>
      <c r="D1202" t="s">
        <v>88</v>
      </c>
      <c r="E1202">
        <v>67</v>
      </c>
      <c r="F1202" t="s">
        <v>2488</v>
      </c>
      <c r="G1202">
        <v>624</v>
      </c>
      <c r="H1202">
        <v>1</v>
      </c>
      <c r="I1202" t="s">
        <v>90</v>
      </c>
      <c r="J1202">
        <v>0</v>
      </c>
      <c r="K1202">
        <v>2</v>
      </c>
      <c r="L1202">
        <v>5</v>
      </c>
      <c r="M1202">
        <v>222</v>
      </c>
      <c r="N1202">
        <v>477</v>
      </c>
      <c r="O1202">
        <v>1</v>
      </c>
      <c r="P1202">
        <v>477</v>
      </c>
      <c r="Q1202">
        <v>3</v>
      </c>
      <c r="R1202">
        <v>16</v>
      </c>
      <c r="S1202">
        <v>7</v>
      </c>
      <c r="T1202">
        <v>6</v>
      </c>
      <c r="U1202">
        <v>12</v>
      </c>
      <c r="V1202">
        <v>4</v>
      </c>
      <c r="X1202">
        <v>3</v>
      </c>
      <c r="Y1202">
        <v>126</v>
      </c>
      <c r="Z1202">
        <v>7</v>
      </c>
      <c r="AB1202">
        <v>90</v>
      </c>
      <c r="AC1202">
        <v>0</v>
      </c>
      <c r="AD1202">
        <v>0</v>
      </c>
      <c r="AE1202">
        <v>0</v>
      </c>
      <c r="AF1202">
        <v>0</v>
      </c>
      <c r="AG1202">
        <v>1</v>
      </c>
      <c r="AH1202">
        <v>1</v>
      </c>
      <c r="AI1202">
        <v>0</v>
      </c>
      <c r="AJ1202">
        <v>0</v>
      </c>
      <c r="AK1202">
        <v>1</v>
      </c>
      <c r="AL1202">
        <v>1</v>
      </c>
      <c r="AM1202">
        <v>1</v>
      </c>
      <c r="AN1202">
        <v>0</v>
      </c>
      <c r="AZ1202">
        <v>175</v>
      </c>
      <c r="BC1202">
        <v>0</v>
      </c>
      <c r="BD1202">
        <v>23</v>
      </c>
      <c r="BE1202">
        <v>477</v>
      </c>
      <c r="BF1202">
        <v>477</v>
      </c>
      <c r="BG1202">
        <v>676</v>
      </c>
      <c r="BJ1202">
        <v>1</v>
      </c>
      <c r="BL1202" t="s">
        <v>2531</v>
      </c>
      <c r="BM1202" s="4">
        <v>43283.32916666667</v>
      </c>
      <c r="BN1202" s="4">
        <v>43283.368206018517</v>
      </c>
      <c r="BO1202" s="4">
        <v>43283.368206018517</v>
      </c>
      <c r="BP1202" t="s">
        <v>92</v>
      </c>
      <c r="BQ1202" t="s">
        <v>93</v>
      </c>
      <c r="BR1202" t="s">
        <v>94</v>
      </c>
    </row>
    <row r="1203" spans="1:70" x14ac:dyDescent="0.3">
      <c r="A1203" t="str">
        <f>"200625B0100"</f>
        <v>200625B0100</v>
      </c>
      <c r="B1203" t="s">
        <v>2532</v>
      </c>
      <c r="C1203">
        <v>20</v>
      </c>
      <c r="D1203" t="s">
        <v>88</v>
      </c>
      <c r="E1203">
        <v>67</v>
      </c>
      <c r="F1203" t="s">
        <v>2488</v>
      </c>
      <c r="G1203">
        <v>625</v>
      </c>
      <c r="H1203">
        <v>1</v>
      </c>
      <c r="I1203" t="s">
        <v>90</v>
      </c>
      <c r="J1203">
        <v>0</v>
      </c>
      <c r="K1203">
        <v>2</v>
      </c>
      <c r="L1203">
        <v>5</v>
      </c>
      <c r="M1203">
        <v>114</v>
      </c>
      <c r="N1203">
        <v>388</v>
      </c>
      <c r="O1203">
        <v>2</v>
      </c>
      <c r="P1203">
        <v>388</v>
      </c>
      <c r="Q1203">
        <v>6</v>
      </c>
      <c r="R1203">
        <v>14</v>
      </c>
      <c r="S1203">
        <v>7</v>
      </c>
      <c r="T1203">
        <v>4</v>
      </c>
      <c r="U1203">
        <v>8</v>
      </c>
      <c r="V1203">
        <v>22</v>
      </c>
      <c r="X1203">
        <v>5</v>
      </c>
      <c r="Y1203">
        <v>91</v>
      </c>
      <c r="Z1203">
        <v>4</v>
      </c>
      <c r="AB1203">
        <v>35</v>
      </c>
      <c r="AC1203">
        <v>0</v>
      </c>
      <c r="AD1203">
        <v>0</v>
      </c>
      <c r="AE1203">
        <v>0</v>
      </c>
      <c r="AF1203">
        <v>0</v>
      </c>
      <c r="AG1203">
        <v>1</v>
      </c>
      <c r="AH1203">
        <v>0</v>
      </c>
      <c r="AI1203">
        <v>0</v>
      </c>
      <c r="AJ1203">
        <v>0</v>
      </c>
      <c r="AK1203">
        <v>1</v>
      </c>
      <c r="AL1203">
        <v>0</v>
      </c>
      <c r="AM1203">
        <v>0</v>
      </c>
      <c r="AN1203">
        <v>0</v>
      </c>
      <c r="AZ1203">
        <v>167</v>
      </c>
      <c r="BC1203">
        <v>0</v>
      </c>
      <c r="BD1203">
        <v>23</v>
      </c>
      <c r="BE1203">
        <v>388</v>
      </c>
      <c r="BF1203">
        <v>388</v>
      </c>
      <c r="BG1203">
        <v>479</v>
      </c>
      <c r="BJ1203">
        <v>1</v>
      </c>
      <c r="BL1203" t="s">
        <v>2533</v>
      </c>
      <c r="BM1203" s="4">
        <v>43283.104166666664</v>
      </c>
      <c r="BN1203" s="4">
        <v>43283.109768518516</v>
      </c>
      <c r="BO1203" s="4">
        <v>43283.109768518516</v>
      </c>
      <c r="BP1203" t="s">
        <v>92</v>
      </c>
      <c r="BQ1203" t="s">
        <v>93</v>
      </c>
      <c r="BR1203" t="s">
        <v>94</v>
      </c>
    </row>
    <row r="1204" spans="1:70" x14ac:dyDescent="0.3">
      <c r="A1204" t="str">
        <f>"200626B0100"</f>
        <v>200626B0100</v>
      </c>
      <c r="B1204" t="s">
        <v>2534</v>
      </c>
      <c r="C1204">
        <v>20</v>
      </c>
      <c r="D1204" t="s">
        <v>88</v>
      </c>
      <c r="E1204">
        <v>67</v>
      </c>
      <c r="F1204" t="s">
        <v>2488</v>
      </c>
      <c r="G1204">
        <v>626</v>
      </c>
      <c r="H1204">
        <v>1</v>
      </c>
      <c r="I1204" t="s">
        <v>90</v>
      </c>
      <c r="J1204">
        <v>0</v>
      </c>
      <c r="K1204">
        <v>2</v>
      </c>
      <c r="L1204">
        <v>5</v>
      </c>
      <c r="M1204">
        <v>154</v>
      </c>
      <c r="N1204">
        <v>296</v>
      </c>
      <c r="O1204">
        <v>1</v>
      </c>
      <c r="P1204">
        <v>296</v>
      </c>
      <c r="Q1204">
        <v>2</v>
      </c>
      <c r="R1204">
        <v>10</v>
      </c>
      <c r="S1204">
        <v>7</v>
      </c>
      <c r="T1204">
        <v>0</v>
      </c>
      <c r="U1204">
        <v>6</v>
      </c>
      <c r="V1204">
        <v>4</v>
      </c>
      <c r="X1204">
        <v>2</v>
      </c>
      <c r="Y1204">
        <v>121</v>
      </c>
      <c r="Z1204">
        <v>1</v>
      </c>
      <c r="AB1204">
        <v>43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3</v>
      </c>
      <c r="AL1204">
        <v>0</v>
      </c>
      <c r="AM1204">
        <v>0</v>
      </c>
      <c r="AN1204">
        <v>1</v>
      </c>
      <c r="AZ1204">
        <v>82</v>
      </c>
      <c r="BC1204">
        <v>0</v>
      </c>
      <c r="BD1204">
        <v>15</v>
      </c>
      <c r="BE1204">
        <v>296</v>
      </c>
      <c r="BF1204">
        <v>297</v>
      </c>
      <c r="BG1204">
        <v>427</v>
      </c>
      <c r="BJ1204">
        <v>1</v>
      </c>
      <c r="BL1204" t="s">
        <v>2535</v>
      </c>
      <c r="BM1204" s="4">
        <v>43283.189583333333</v>
      </c>
      <c r="BN1204" s="4">
        <v>43283.208472222221</v>
      </c>
      <c r="BO1204" s="4">
        <v>43283.208472222221</v>
      </c>
      <c r="BP1204" t="s">
        <v>92</v>
      </c>
      <c r="BQ1204" t="s">
        <v>93</v>
      </c>
      <c r="BR1204" t="s">
        <v>94</v>
      </c>
    </row>
    <row r="1205" spans="1:70" x14ac:dyDescent="0.3">
      <c r="A1205" t="str">
        <f>"200627B0100"</f>
        <v>200627B0100</v>
      </c>
      <c r="B1205" t="s">
        <v>2536</v>
      </c>
      <c r="C1205">
        <v>20</v>
      </c>
      <c r="D1205" t="s">
        <v>88</v>
      </c>
      <c r="E1205">
        <v>67</v>
      </c>
      <c r="F1205" t="s">
        <v>2488</v>
      </c>
      <c r="G1205">
        <v>627</v>
      </c>
      <c r="H1205">
        <v>1</v>
      </c>
      <c r="I1205" t="s">
        <v>90</v>
      </c>
      <c r="J1205">
        <v>0</v>
      </c>
      <c r="K1205">
        <v>2</v>
      </c>
      <c r="L1205">
        <v>5</v>
      </c>
      <c r="M1205">
        <v>55</v>
      </c>
      <c r="N1205">
        <v>170</v>
      </c>
      <c r="O1205">
        <v>2</v>
      </c>
      <c r="P1205">
        <v>170</v>
      </c>
      <c r="Q1205">
        <v>0</v>
      </c>
      <c r="R1205">
        <v>7</v>
      </c>
      <c r="S1205">
        <v>2</v>
      </c>
      <c r="T1205">
        <v>0</v>
      </c>
      <c r="U1205">
        <v>5</v>
      </c>
      <c r="V1205">
        <v>1</v>
      </c>
      <c r="X1205">
        <v>1</v>
      </c>
      <c r="Y1205">
        <v>37</v>
      </c>
      <c r="Z1205">
        <v>0</v>
      </c>
      <c r="AB1205">
        <v>32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2</v>
      </c>
      <c r="AM1205">
        <v>0</v>
      </c>
      <c r="AN1205">
        <v>0</v>
      </c>
      <c r="AZ1205">
        <v>80</v>
      </c>
      <c r="BC1205">
        <v>0</v>
      </c>
      <c r="BD1205">
        <v>3</v>
      </c>
      <c r="BE1205">
        <v>170</v>
      </c>
      <c r="BF1205">
        <v>170</v>
      </c>
      <c r="BG1205">
        <v>202</v>
      </c>
      <c r="BJ1205">
        <v>1</v>
      </c>
      <c r="BL1205" t="s">
        <v>2537</v>
      </c>
      <c r="BM1205" s="4">
        <v>43283.185416666667</v>
      </c>
      <c r="BN1205" s="4">
        <v>43283.203217592592</v>
      </c>
      <c r="BO1205" s="4">
        <v>43283.203217592592</v>
      </c>
      <c r="BP1205" t="s">
        <v>92</v>
      </c>
      <c r="BQ1205" t="s">
        <v>93</v>
      </c>
      <c r="BR1205" t="s">
        <v>94</v>
      </c>
    </row>
    <row r="1206" spans="1:70" x14ac:dyDescent="0.3">
      <c r="A1206" t="str">
        <f>"200628B0100"</f>
        <v>200628B0100</v>
      </c>
      <c r="B1206" t="s">
        <v>2538</v>
      </c>
      <c r="C1206">
        <v>20</v>
      </c>
      <c r="D1206" t="s">
        <v>88</v>
      </c>
      <c r="E1206">
        <v>67</v>
      </c>
      <c r="F1206" t="s">
        <v>2488</v>
      </c>
      <c r="G1206">
        <v>628</v>
      </c>
      <c r="H1206">
        <v>1</v>
      </c>
      <c r="I1206" t="s">
        <v>90</v>
      </c>
      <c r="J1206">
        <v>0</v>
      </c>
      <c r="K1206">
        <v>2</v>
      </c>
      <c r="L1206">
        <v>5</v>
      </c>
      <c r="M1206">
        <v>249</v>
      </c>
      <c r="N1206" t="s">
        <v>127</v>
      </c>
      <c r="O1206">
        <v>2</v>
      </c>
      <c r="P1206" t="s">
        <v>127</v>
      </c>
      <c r="Q1206">
        <v>12</v>
      </c>
      <c r="R1206">
        <v>17</v>
      </c>
      <c r="S1206">
        <v>20</v>
      </c>
      <c r="T1206">
        <v>0</v>
      </c>
      <c r="U1206">
        <v>9</v>
      </c>
      <c r="V1206">
        <v>8</v>
      </c>
      <c r="X1206">
        <v>7</v>
      </c>
      <c r="Y1206">
        <v>83</v>
      </c>
      <c r="Z1206">
        <v>3</v>
      </c>
      <c r="AB1206">
        <v>80</v>
      </c>
      <c r="AC1206" t="s">
        <v>105</v>
      </c>
      <c r="AD1206" t="s">
        <v>105</v>
      </c>
      <c r="AE1206" t="s">
        <v>105</v>
      </c>
      <c r="AF1206" t="s">
        <v>105</v>
      </c>
      <c r="AG1206" t="s">
        <v>105</v>
      </c>
      <c r="AH1206" t="s">
        <v>105</v>
      </c>
      <c r="AI1206">
        <v>1</v>
      </c>
      <c r="AJ1206" t="s">
        <v>105</v>
      </c>
      <c r="AK1206" t="s">
        <v>105</v>
      </c>
      <c r="AL1206">
        <v>1</v>
      </c>
      <c r="AM1206" t="s">
        <v>105</v>
      </c>
      <c r="AN1206" t="s">
        <v>105</v>
      </c>
      <c r="AZ1206">
        <v>84</v>
      </c>
      <c r="BC1206" t="s">
        <v>105</v>
      </c>
      <c r="BD1206">
        <v>39</v>
      </c>
      <c r="BE1206" t="s">
        <v>105</v>
      </c>
      <c r="BF1206">
        <v>364</v>
      </c>
      <c r="BG1206">
        <v>590</v>
      </c>
      <c r="BI1206" t="s">
        <v>106</v>
      </c>
      <c r="BJ1206">
        <v>1</v>
      </c>
      <c r="BL1206" t="s">
        <v>2539</v>
      </c>
      <c r="BM1206" s="4">
        <v>43283.238888888889</v>
      </c>
      <c r="BN1206" s="4">
        <v>43283.282199074078</v>
      </c>
      <c r="BO1206" s="4">
        <v>43283.282199074078</v>
      </c>
      <c r="BP1206" t="s">
        <v>92</v>
      </c>
      <c r="BQ1206" t="s">
        <v>93</v>
      </c>
      <c r="BR1206" t="s">
        <v>94</v>
      </c>
    </row>
    <row r="1207" spans="1:70" x14ac:dyDescent="0.3">
      <c r="A1207" t="str">
        <f>"200629B0100"</f>
        <v>200629B0100</v>
      </c>
      <c r="B1207" t="s">
        <v>2540</v>
      </c>
      <c r="C1207">
        <v>20</v>
      </c>
      <c r="D1207" t="s">
        <v>88</v>
      </c>
      <c r="E1207">
        <v>67</v>
      </c>
      <c r="F1207" t="s">
        <v>2488</v>
      </c>
      <c r="G1207">
        <v>629</v>
      </c>
      <c r="H1207">
        <v>1</v>
      </c>
      <c r="I1207" t="s">
        <v>90</v>
      </c>
      <c r="J1207">
        <v>0</v>
      </c>
      <c r="K1207">
        <v>2</v>
      </c>
      <c r="L1207">
        <v>5</v>
      </c>
      <c r="M1207">
        <v>61</v>
      </c>
      <c r="N1207">
        <v>157</v>
      </c>
      <c r="O1207">
        <v>1</v>
      </c>
      <c r="P1207">
        <v>157</v>
      </c>
      <c r="Q1207">
        <v>3</v>
      </c>
      <c r="R1207">
        <v>3</v>
      </c>
      <c r="S1207">
        <v>6</v>
      </c>
      <c r="T1207">
        <v>1</v>
      </c>
      <c r="U1207">
        <v>4</v>
      </c>
      <c r="V1207">
        <v>0</v>
      </c>
      <c r="X1207">
        <v>6</v>
      </c>
      <c r="Y1207">
        <v>31</v>
      </c>
      <c r="Z1207">
        <v>0</v>
      </c>
      <c r="AB1207">
        <v>34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4</v>
      </c>
      <c r="AL1207">
        <v>0</v>
      </c>
      <c r="AM1207">
        <v>0</v>
      </c>
      <c r="AN1207">
        <v>0</v>
      </c>
      <c r="AZ1207">
        <v>60</v>
      </c>
      <c r="BC1207">
        <v>0</v>
      </c>
      <c r="BD1207">
        <v>5</v>
      </c>
      <c r="BE1207">
        <v>157</v>
      </c>
      <c r="BF1207">
        <v>157</v>
      </c>
      <c r="BG1207">
        <v>195</v>
      </c>
      <c r="BJ1207">
        <v>1</v>
      </c>
      <c r="BL1207" t="s">
        <v>2541</v>
      </c>
      <c r="BM1207" s="4">
        <v>43283.258333333331</v>
      </c>
      <c r="BN1207" s="4">
        <v>43283.283622685187</v>
      </c>
      <c r="BO1207" s="4">
        <v>43283.283622685187</v>
      </c>
      <c r="BP1207" t="s">
        <v>92</v>
      </c>
      <c r="BQ1207" t="s">
        <v>93</v>
      </c>
      <c r="BR1207" t="s">
        <v>254</v>
      </c>
    </row>
    <row r="1208" spans="1:70" x14ac:dyDescent="0.3">
      <c r="A1208" t="str">
        <f>"200630B0100"</f>
        <v>200630B0100</v>
      </c>
      <c r="B1208" t="s">
        <v>2542</v>
      </c>
      <c r="C1208">
        <v>20</v>
      </c>
      <c r="D1208" t="s">
        <v>88</v>
      </c>
      <c r="E1208">
        <v>67</v>
      </c>
      <c r="F1208" t="s">
        <v>2488</v>
      </c>
      <c r="G1208">
        <v>630</v>
      </c>
      <c r="H1208">
        <v>1</v>
      </c>
      <c r="I1208" t="s">
        <v>90</v>
      </c>
      <c r="J1208">
        <v>0</v>
      </c>
      <c r="K1208">
        <v>2</v>
      </c>
      <c r="L1208">
        <v>5</v>
      </c>
      <c r="M1208">
        <v>168</v>
      </c>
      <c r="N1208">
        <v>360</v>
      </c>
      <c r="O1208">
        <v>2</v>
      </c>
      <c r="P1208">
        <v>360</v>
      </c>
      <c r="Q1208">
        <v>3</v>
      </c>
      <c r="R1208">
        <v>21</v>
      </c>
      <c r="S1208">
        <v>7</v>
      </c>
      <c r="T1208">
        <v>6</v>
      </c>
      <c r="U1208">
        <v>5</v>
      </c>
      <c r="V1208">
        <v>3</v>
      </c>
      <c r="X1208">
        <v>5</v>
      </c>
      <c r="Y1208">
        <v>40</v>
      </c>
      <c r="Z1208">
        <v>6</v>
      </c>
      <c r="AB1208">
        <v>98</v>
      </c>
      <c r="AC1208" t="s">
        <v>105</v>
      </c>
      <c r="AD1208" t="s">
        <v>105</v>
      </c>
      <c r="AE1208" t="s">
        <v>105</v>
      </c>
      <c r="AF1208" t="s">
        <v>105</v>
      </c>
      <c r="AG1208" t="s">
        <v>105</v>
      </c>
      <c r="AH1208">
        <v>2</v>
      </c>
      <c r="AI1208" t="s">
        <v>105</v>
      </c>
      <c r="AJ1208" t="s">
        <v>105</v>
      </c>
      <c r="AK1208" t="s">
        <v>105</v>
      </c>
      <c r="AL1208" t="s">
        <v>105</v>
      </c>
      <c r="AM1208" t="s">
        <v>105</v>
      </c>
      <c r="AN1208" t="s">
        <v>105</v>
      </c>
      <c r="AZ1208">
        <v>149</v>
      </c>
      <c r="BC1208" t="s">
        <v>105</v>
      </c>
      <c r="BD1208" t="s">
        <v>105</v>
      </c>
      <c r="BE1208">
        <v>15</v>
      </c>
      <c r="BF1208">
        <v>345</v>
      </c>
      <c r="BG1208">
        <v>505</v>
      </c>
      <c r="BI1208" t="s">
        <v>106</v>
      </c>
      <c r="BJ1208">
        <v>1</v>
      </c>
      <c r="BL1208" t="s">
        <v>2543</v>
      </c>
      <c r="BM1208" s="4">
        <v>43283.182638888888</v>
      </c>
      <c r="BN1208" s="4">
        <v>43283.20076388889</v>
      </c>
      <c r="BO1208" s="4">
        <v>43283.20076388889</v>
      </c>
      <c r="BP1208" t="s">
        <v>92</v>
      </c>
      <c r="BQ1208" t="s">
        <v>93</v>
      </c>
      <c r="BR1208" t="s">
        <v>94</v>
      </c>
    </row>
    <row r="1209" spans="1:70" x14ac:dyDescent="0.3">
      <c r="A1209" t="str">
        <f>"200630C0100"</f>
        <v>200630C0100</v>
      </c>
      <c r="B1209" t="s">
        <v>2544</v>
      </c>
      <c r="C1209">
        <v>20</v>
      </c>
      <c r="D1209" t="s">
        <v>88</v>
      </c>
      <c r="E1209">
        <v>67</v>
      </c>
      <c r="F1209" t="s">
        <v>2488</v>
      </c>
      <c r="G1209">
        <v>630</v>
      </c>
      <c r="H1209">
        <v>1</v>
      </c>
      <c r="I1209" t="s">
        <v>98</v>
      </c>
      <c r="J1209">
        <v>0</v>
      </c>
      <c r="K1209">
        <v>2</v>
      </c>
      <c r="L1209">
        <v>5</v>
      </c>
      <c r="M1209">
        <v>166</v>
      </c>
      <c r="N1209">
        <v>357</v>
      </c>
      <c r="O1209">
        <v>2</v>
      </c>
      <c r="P1209">
        <v>361</v>
      </c>
      <c r="Q1209">
        <v>9</v>
      </c>
      <c r="R1209">
        <v>22</v>
      </c>
      <c r="S1209">
        <v>7</v>
      </c>
      <c r="T1209">
        <v>4</v>
      </c>
      <c r="U1209">
        <v>6</v>
      </c>
      <c r="V1209">
        <v>9</v>
      </c>
      <c r="X1209">
        <v>1</v>
      </c>
      <c r="Y1209">
        <v>38</v>
      </c>
      <c r="Z1209">
        <v>3</v>
      </c>
      <c r="AB1209">
        <v>101</v>
      </c>
      <c r="AC1209" t="s">
        <v>105</v>
      </c>
      <c r="AD1209" t="s">
        <v>105</v>
      </c>
      <c r="AE1209" t="s">
        <v>105</v>
      </c>
      <c r="AF1209" t="s">
        <v>105</v>
      </c>
      <c r="AG1209" t="s">
        <v>105</v>
      </c>
      <c r="AH1209" t="s">
        <v>105</v>
      </c>
      <c r="AI1209" t="s">
        <v>105</v>
      </c>
      <c r="AJ1209" t="s">
        <v>105</v>
      </c>
      <c r="AK1209" t="s">
        <v>105</v>
      </c>
      <c r="AL1209" t="s">
        <v>105</v>
      </c>
      <c r="AM1209" t="s">
        <v>105</v>
      </c>
      <c r="AN1209" t="s">
        <v>105</v>
      </c>
      <c r="AZ1209">
        <v>137</v>
      </c>
      <c r="BC1209" t="s">
        <v>105</v>
      </c>
      <c r="BD1209">
        <v>24</v>
      </c>
      <c r="BE1209">
        <v>361</v>
      </c>
      <c r="BF1209">
        <v>361</v>
      </c>
      <c r="BG1209">
        <v>505</v>
      </c>
      <c r="BI1209" t="s">
        <v>106</v>
      </c>
      <c r="BJ1209">
        <v>1</v>
      </c>
      <c r="BL1209" t="s">
        <v>2545</v>
      </c>
      <c r="BM1209" s="4">
        <v>43283.179861111108</v>
      </c>
      <c r="BN1209" s="4">
        <v>43283.197141203702</v>
      </c>
      <c r="BO1209" s="4">
        <v>43283.197141203702</v>
      </c>
      <c r="BP1209" t="s">
        <v>92</v>
      </c>
      <c r="BQ1209" t="s">
        <v>93</v>
      </c>
      <c r="BR1209" t="s">
        <v>94</v>
      </c>
    </row>
    <row r="1210" spans="1:70" x14ac:dyDescent="0.3">
      <c r="A1210" t="str">
        <f>"200631B0100"</f>
        <v>200631B0100</v>
      </c>
      <c r="B1210" t="s">
        <v>2546</v>
      </c>
      <c r="C1210">
        <v>20</v>
      </c>
      <c r="D1210" t="s">
        <v>88</v>
      </c>
      <c r="E1210">
        <v>67</v>
      </c>
      <c r="F1210" t="s">
        <v>2488</v>
      </c>
      <c r="G1210">
        <v>631</v>
      </c>
      <c r="H1210">
        <v>1</v>
      </c>
      <c r="I1210" t="s">
        <v>90</v>
      </c>
      <c r="J1210">
        <v>0</v>
      </c>
      <c r="K1210">
        <v>2</v>
      </c>
      <c r="L1210">
        <v>5</v>
      </c>
      <c r="M1210">
        <v>128</v>
      </c>
      <c r="N1210">
        <v>254</v>
      </c>
      <c r="O1210">
        <v>3</v>
      </c>
      <c r="P1210">
        <v>245</v>
      </c>
      <c r="Q1210">
        <v>1</v>
      </c>
      <c r="R1210">
        <v>7</v>
      </c>
      <c r="S1210">
        <v>9</v>
      </c>
      <c r="T1210">
        <v>2</v>
      </c>
      <c r="U1210">
        <v>2</v>
      </c>
      <c r="V1210">
        <v>1</v>
      </c>
      <c r="X1210">
        <v>2</v>
      </c>
      <c r="Y1210">
        <v>74</v>
      </c>
      <c r="Z1210">
        <v>32</v>
      </c>
      <c r="AB1210">
        <v>16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3</v>
      </c>
      <c r="AM1210">
        <v>0</v>
      </c>
      <c r="AN1210">
        <v>1</v>
      </c>
      <c r="AZ1210">
        <v>71</v>
      </c>
      <c r="BC1210">
        <v>0</v>
      </c>
      <c r="BD1210">
        <v>24</v>
      </c>
      <c r="BE1210">
        <v>245</v>
      </c>
      <c r="BF1210">
        <v>245</v>
      </c>
      <c r="BG1210">
        <v>359</v>
      </c>
      <c r="BJ1210">
        <v>1</v>
      </c>
      <c r="BL1210" t="s">
        <v>2547</v>
      </c>
      <c r="BM1210" s="4">
        <v>43283.23333333333</v>
      </c>
      <c r="BN1210" s="4">
        <v>43283.269247685188</v>
      </c>
      <c r="BO1210" s="4">
        <v>43283.269247685188</v>
      </c>
      <c r="BP1210" t="s">
        <v>92</v>
      </c>
      <c r="BQ1210" t="s">
        <v>93</v>
      </c>
      <c r="BR1210" t="s">
        <v>94</v>
      </c>
    </row>
    <row r="1211" spans="1:70" x14ac:dyDescent="0.3">
      <c r="A1211" t="str">
        <f>"200633B0100"</f>
        <v>200633B0100</v>
      </c>
      <c r="B1211" t="s">
        <v>2548</v>
      </c>
      <c r="C1211">
        <v>20</v>
      </c>
      <c r="D1211" t="s">
        <v>88</v>
      </c>
      <c r="E1211">
        <v>69</v>
      </c>
      <c r="F1211" t="s">
        <v>2549</v>
      </c>
      <c r="G1211">
        <v>633</v>
      </c>
      <c r="H1211">
        <v>1</v>
      </c>
      <c r="I1211" t="s">
        <v>90</v>
      </c>
      <c r="J1211">
        <v>0</v>
      </c>
      <c r="K1211">
        <v>1</v>
      </c>
      <c r="L1211">
        <v>5</v>
      </c>
      <c r="M1211">
        <v>145</v>
      </c>
      <c r="N1211">
        <v>447</v>
      </c>
      <c r="O1211">
        <v>0</v>
      </c>
      <c r="P1211">
        <v>447</v>
      </c>
      <c r="Q1211">
        <v>0</v>
      </c>
      <c r="R1211">
        <v>170</v>
      </c>
      <c r="S1211">
        <v>139</v>
      </c>
      <c r="T1211">
        <v>0</v>
      </c>
      <c r="U1211">
        <v>2</v>
      </c>
      <c r="V1211">
        <v>1</v>
      </c>
      <c r="X1211">
        <v>23</v>
      </c>
      <c r="Y1211">
        <v>81</v>
      </c>
      <c r="Z1211">
        <v>1</v>
      </c>
      <c r="AB1211">
        <v>14</v>
      </c>
      <c r="AC1211">
        <v>0</v>
      </c>
      <c r="AD1211">
        <v>0</v>
      </c>
      <c r="AE1211">
        <v>0</v>
      </c>
      <c r="AF1211">
        <v>1</v>
      </c>
      <c r="AK1211">
        <v>0</v>
      </c>
      <c r="AL1211">
        <v>0</v>
      </c>
      <c r="AM1211">
        <v>0</v>
      </c>
      <c r="AN1211">
        <v>1</v>
      </c>
      <c r="AV1211">
        <v>0</v>
      </c>
      <c r="BC1211">
        <v>0</v>
      </c>
      <c r="BD1211">
        <v>14</v>
      </c>
      <c r="BE1211">
        <v>447</v>
      </c>
      <c r="BF1211">
        <v>447</v>
      </c>
      <c r="BG1211">
        <v>570</v>
      </c>
      <c r="BJ1211">
        <v>1</v>
      </c>
      <c r="BL1211" t="s">
        <v>2550</v>
      </c>
      <c r="BM1211" s="4">
        <v>43283.188194444447</v>
      </c>
      <c r="BN1211" s="4">
        <v>43283.207361111112</v>
      </c>
      <c r="BO1211" s="4">
        <v>43283.207361111112</v>
      </c>
      <c r="BP1211" t="s">
        <v>92</v>
      </c>
      <c r="BQ1211" t="s">
        <v>93</v>
      </c>
      <c r="BR1211" t="s">
        <v>94</v>
      </c>
    </row>
    <row r="1212" spans="1:70" x14ac:dyDescent="0.3">
      <c r="A1212" t="str">
        <f>"200633C0100"</f>
        <v>200633C0100</v>
      </c>
      <c r="B1212" t="s">
        <v>2551</v>
      </c>
      <c r="C1212">
        <v>20</v>
      </c>
      <c r="D1212" t="s">
        <v>88</v>
      </c>
      <c r="E1212">
        <v>69</v>
      </c>
      <c r="F1212" t="s">
        <v>2549</v>
      </c>
      <c r="G1212">
        <v>633</v>
      </c>
      <c r="H1212">
        <v>1</v>
      </c>
      <c r="I1212" t="s">
        <v>98</v>
      </c>
      <c r="J1212">
        <v>0</v>
      </c>
      <c r="K1212">
        <v>1</v>
      </c>
      <c r="L1212">
        <v>5</v>
      </c>
      <c r="M1212">
        <v>137</v>
      </c>
      <c r="N1212">
        <v>455</v>
      </c>
      <c r="O1212">
        <v>3</v>
      </c>
      <c r="P1212">
        <v>455</v>
      </c>
      <c r="Q1212">
        <v>1</v>
      </c>
      <c r="R1212">
        <v>156</v>
      </c>
      <c r="S1212">
        <v>147</v>
      </c>
      <c r="T1212" t="s">
        <v>105</v>
      </c>
      <c r="U1212" t="s">
        <v>105</v>
      </c>
      <c r="V1212">
        <v>1</v>
      </c>
      <c r="X1212">
        <v>26</v>
      </c>
      <c r="Y1212">
        <v>98</v>
      </c>
      <c r="Z1212">
        <v>2</v>
      </c>
      <c r="AB1212">
        <v>12</v>
      </c>
      <c r="AC1212" t="s">
        <v>105</v>
      </c>
      <c r="AD1212" t="s">
        <v>105</v>
      </c>
      <c r="AE1212" t="s">
        <v>105</v>
      </c>
      <c r="AF1212" t="s">
        <v>105</v>
      </c>
      <c r="AK1212" t="s">
        <v>105</v>
      </c>
      <c r="AL1212" t="s">
        <v>105</v>
      </c>
      <c r="AM1212" t="s">
        <v>105</v>
      </c>
      <c r="AN1212" t="s">
        <v>105</v>
      </c>
      <c r="AV1212" t="s">
        <v>105</v>
      </c>
      <c r="BC1212" t="s">
        <v>105</v>
      </c>
      <c r="BD1212">
        <v>12</v>
      </c>
      <c r="BE1212">
        <v>455</v>
      </c>
      <c r="BF1212">
        <v>455</v>
      </c>
      <c r="BG1212">
        <v>570</v>
      </c>
      <c r="BI1212" t="s">
        <v>106</v>
      </c>
      <c r="BJ1212">
        <v>1</v>
      </c>
      <c r="BL1212" t="s">
        <v>2552</v>
      </c>
      <c r="BM1212" s="4">
        <v>43283.176388888889</v>
      </c>
      <c r="BN1212" s="4">
        <v>43283.191874999997</v>
      </c>
      <c r="BO1212" s="4">
        <v>43283.191874999997</v>
      </c>
      <c r="BP1212" t="s">
        <v>92</v>
      </c>
      <c r="BQ1212" t="s">
        <v>93</v>
      </c>
      <c r="BR1212" t="s">
        <v>94</v>
      </c>
    </row>
    <row r="1213" spans="1:70" x14ac:dyDescent="0.3">
      <c r="A1213" t="str">
        <f>"200634B0100"</f>
        <v>200634B0100</v>
      </c>
      <c r="B1213" t="s">
        <v>2553</v>
      </c>
      <c r="C1213">
        <v>20</v>
      </c>
      <c r="D1213" t="s">
        <v>88</v>
      </c>
      <c r="E1213">
        <v>69</v>
      </c>
      <c r="F1213" t="s">
        <v>2549</v>
      </c>
      <c r="G1213">
        <v>634</v>
      </c>
      <c r="H1213">
        <v>1</v>
      </c>
      <c r="I1213" t="s">
        <v>90</v>
      </c>
      <c r="J1213">
        <v>0</v>
      </c>
      <c r="K1213">
        <v>2</v>
      </c>
      <c r="L1213">
        <v>5</v>
      </c>
      <c r="M1213">
        <v>111</v>
      </c>
      <c r="N1213">
        <v>512</v>
      </c>
      <c r="O1213">
        <v>0</v>
      </c>
      <c r="P1213">
        <v>401</v>
      </c>
      <c r="Q1213">
        <v>0</v>
      </c>
      <c r="R1213">
        <v>104</v>
      </c>
      <c r="S1213">
        <v>146</v>
      </c>
      <c r="T1213">
        <v>1</v>
      </c>
      <c r="U1213">
        <v>1</v>
      </c>
      <c r="V1213">
        <v>0</v>
      </c>
      <c r="X1213">
        <v>36</v>
      </c>
      <c r="Y1213">
        <v>87</v>
      </c>
      <c r="Z1213">
        <v>0</v>
      </c>
      <c r="AB1213">
        <v>16</v>
      </c>
      <c r="AC1213">
        <v>0</v>
      </c>
      <c r="AD1213">
        <v>0</v>
      </c>
      <c r="AE1213">
        <v>0</v>
      </c>
      <c r="AF1213">
        <v>0</v>
      </c>
      <c r="AK1213">
        <v>0</v>
      </c>
      <c r="AL1213">
        <v>0</v>
      </c>
      <c r="AM1213">
        <v>0</v>
      </c>
      <c r="AN1213">
        <v>0</v>
      </c>
      <c r="AV1213">
        <v>1</v>
      </c>
      <c r="BC1213">
        <v>0</v>
      </c>
      <c r="BD1213">
        <v>9</v>
      </c>
      <c r="BE1213">
        <v>401</v>
      </c>
      <c r="BF1213">
        <v>401</v>
      </c>
      <c r="BG1213">
        <v>491</v>
      </c>
      <c r="BJ1213">
        <v>1</v>
      </c>
      <c r="BL1213" t="s">
        <v>2554</v>
      </c>
      <c r="BM1213" s="4">
        <v>43283.18472222222</v>
      </c>
      <c r="BN1213" s="4">
        <v>43283.207349537035</v>
      </c>
      <c r="BO1213" s="4">
        <v>43283.207349537035</v>
      </c>
      <c r="BP1213" t="s">
        <v>92</v>
      </c>
      <c r="BQ1213" t="s">
        <v>93</v>
      </c>
      <c r="BR1213" t="s">
        <v>94</v>
      </c>
    </row>
    <row r="1214" spans="1:70" x14ac:dyDescent="0.3">
      <c r="A1214" t="str">
        <f>"200634C0100"</f>
        <v>200634C0100</v>
      </c>
      <c r="B1214" t="s">
        <v>2555</v>
      </c>
      <c r="C1214">
        <v>20</v>
      </c>
      <c r="D1214" t="s">
        <v>88</v>
      </c>
      <c r="E1214">
        <v>69</v>
      </c>
      <c r="F1214" t="s">
        <v>2549</v>
      </c>
      <c r="G1214">
        <v>634</v>
      </c>
      <c r="H1214">
        <v>1</v>
      </c>
      <c r="I1214" t="s">
        <v>98</v>
      </c>
      <c r="J1214">
        <v>0</v>
      </c>
      <c r="K1214">
        <v>2</v>
      </c>
      <c r="L1214">
        <v>5</v>
      </c>
      <c r="BG1214">
        <v>490</v>
      </c>
      <c r="BI1214" t="s">
        <v>122</v>
      </c>
      <c r="BJ1214">
        <v>0</v>
      </c>
      <c r="BL1214" t="s">
        <v>2556</v>
      </c>
      <c r="BM1214" s="4">
        <v>43283.214583333334</v>
      </c>
      <c r="BN1214" s="4">
        <v>43283.231932870367</v>
      </c>
      <c r="BO1214" s="4">
        <v>43283.231932870367</v>
      </c>
      <c r="BP1214" t="s">
        <v>92</v>
      </c>
      <c r="BQ1214" t="s">
        <v>93</v>
      </c>
      <c r="BR1214" t="s">
        <v>94</v>
      </c>
    </row>
    <row r="1215" spans="1:70" x14ac:dyDescent="0.3">
      <c r="A1215" t="str">
        <f>"200635B0100"</f>
        <v>200635B0100</v>
      </c>
      <c r="B1215" t="s">
        <v>2557</v>
      </c>
      <c r="C1215">
        <v>20</v>
      </c>
      <c r="D1215" t="s">
        <v>88</v>
      </c>
      <c r="E1215">
        <v>69</v>
      </c>
      <c r="F1215" t="s">
        <v>2549</v>
      </c>
      <c r="G1215">
        <v>635</v>
      </c>
      <c r="H1215">
        <v>1</v>
      </c>
      <c r="I1215" t="s">
        <v>90</v>
      </c>
      <c r="J1215">
        <v>0</v>
      </c>
      <c r="K1215">
        <v>2</v>
      </c>
      <c r="L1215">
        <v>5</v>
      </c>
      <c r="M1215">
        <v>172</v>
      </c>
      <c r="N1215">
        <v>514</v>
      </c>
      <c r="O1215">
        <v>6</v>
      </c>
      <c r="P1215">
        <v>514</v>
      </c>
      <c r="Q1215">
        <v>4</v>
      </c>
      <c r="R1215">
        <v>183</v>
      </c>
      <c r="S1215">
        <v>96</v>
      </c>
      <c r="T1215">
        <v>3</v>
      </c>
      <c r="U1215">
        <v>2</v>
      </c>
      <c r="V1215">
        <v>2</v>
      </c>
      <c r="X1215">
        <v>50</v>
      </c>
      <c r="Y1215">
        <v>128</v>
      </c>
      <c r="Z1215">
        <v>0</v>
      </c>
      <c r="AB1215">
        <v>17</v>
      </c>
      <c r="AC1215">
        <v>0</v>
      </c>
      <c r="AD1215">
        <v>0</v>
      </c>
      <c r="AE1215">
        <v>0</v>
      </c>
      <c r="AF1215">
        <v>0</v>
      </c>
      <c r="AK1215">
        <v>0</v>
      </c>
      <c r="AL1215">
        <v>0</v>
      </c>
      <c r="AM1215">
        <v>0</v>
      </c>
      <c r="AN1215">
        <v>1</v>
      </c>
      <c r="AV1215">
        <v>1</v>
      </c>
      <c r="BC1215">
        <v>0</v>
      </c>
      <c r="BD1215">
        <v>22</v>
      </c>
      <c r="BE1215">
        <v>509</v>
      </c>
      <c r="BF1215">
        <v>509</v>
      </c>
      <c r="BG1215">
        <v>649</v>
      </c>
      <c r="BJ1215">
        <v>1</v>
      </c>
      <c r="BL1215" t="s">
        <v>2558</v>
      </c>
      <c r="BM1215" s="4">
        <v>43283.15</v>
      </c>
      <c r="BN1215" s="4">
        <v>43283.158784722225</v>
      </c>
      <c r="BO1215" s="4">
        <v>43283.158784722225</v>
      </c>
      <c r="BP1215" t="s">
        <v>92</v>
      </c>
      <c r="BQ1215" t="s">
        <v>93</v>
      </c>
      <c r="BR1215" t="s">
        <v>94</v>
      </c>
    </row>
    <row r="1216" spans="1:70" x14ac:dyDescent="0.3">
      <c r="A1216" t="str">
        <f>"200636B0100"</f>
        <v>200636B0100</v>
      </c>
      <c r="B1216" t="s">
        <v>2559</v>
      </c>
      <c r="C1216">
        <v>20</v>
      </c>
      <c r="D1216" t="s">
        <v>88</v>
      </c>
      <c r="E1216">
        <v>69</v>
      </c>
      <c r="F1216" t="s">
        <v>2549</v>
      </c>
      <c r="G1216">
        <v>636</v>
      </c>
      <c r="H1216">
        <v>1</v>
      </c>
      <c r="I1216" t="s">
        <v>90</v>
      </c>
      <c r="J1216">
        <v>0</v>
      </c>
      <c r="K1216">
        <v>1</v>
      </c>
      <c r="L1216">
        <v>5</v>
      </c>
      <c r="M1216">
        <v>102</v>
      </c>
      <c r="N1216">
        <v>348</v>
      </c>
      <c r="O1216">
        <v>5</v>
      </c>
      <c r="P1216">
        <v>348</v>
      </c>
      <c r="Q1216">
        <v>0</v>
      </c>
      <c r="R1216">
        <v>97</v>
      </c>
      <c r="S1216">
        <v>93</v>
      </c>
      <c r="T1216">
        <v>0</v>
      </c>
      <c r="U1216">
        <v>2</v>
      </c>
      <c r="V1216">
        <v>2</v>
      </c>
      <c r="X1216">
        <v>18</v>
      </c>
      <c r="Y1216">
        <v>103</v>
      </c>
      <c r="Z1216">
        <v>0</v>
      </c>
      <c r="AB1216">
        <v>15</v>
      </c>
      <c r="AC1216">
        <v>0</v>
      </c>
      <c r="AD1216">
        <v>2</v>
      </c>
      <c r="AE1216">
        <v>0</v>
      </c>
      <c r="AF1216">
        <v>0</v>
      </c>
      <c r="AK1216">
        <v>1</v>
      </c>
      <c r="AL1216">
        <v>1</v>
      </c>
      <c r="AM1216">
        <v>1</v>
      </c>
      <c r="AN1216">
        <v>0</v>
      </c>
      <c r="AV1216">
        <v>0</v>
      </c>
      <c r="BC1216">
        <v>0</v>
      </c>
      <c r="BD1216">
        <v>13</v>
      </c>
      <c r="BE1216">
        <v>348</v>
      </c>
      <c r="BF1216">
        <v>348</v>
      </c>
      <c r="BG1216">
        <v>428</v>
      </c>
      <c r="BJ1216">
        <v>1</v>
      </c>
      <c r="BL1216" t="s">
        <v>2560</v>
      </c>
      <c r="BM1216" s="4">
        <v>43283.152777777781</v>
      </c>
      <c r="BN1216" s="4">
        <v>43283.161793981482</v>
      </c>
      <c r="BO1216" s="4">
        <v>43283.161793981482</v>
      </c>
      <c r="BP1216" t="s">
        <v>92</v>
      </c>
      <c r="BQ1216" t="s">
        <v>93</v>
      </c>
      <c r="BR1216" t="s">
        <v>94</v>
      </c>
    </row>
    <row r="1217" spans="1:70" x14ac:dyDescent="0.3">
      <c r="A1217" t="str">
        <f>"200636C0100"</f>
        <v>200636C0100</v>
      </c>
      <c r="B1217" t="s">
        <v>2561</v>
      </c>
      <c r="C1217">
        <v>20</v>
      </c>
      <c r="D1217" t="s">
        <v>88</v>
      </c>
      <c r="E1217">
        <v>69</v>
      </c>
      <c r="F1217" t="s">
        <v>2549</v>
      </c>
      <c r="G1217">
        <v>636</v>
      </c>
      <c r="H1217">
        <v>1</v>
      </c>
      <c r="I1217" t="s">
        <v>98</v>
      </c>
      <c r="J1217">
        <v>0</v>
      </c>
      <c r="K1217">
        <v>1</v>
      </c>
      <c r="L1217">
        <v>5</v>
      </c>
      <c r="M1217">
        <v>117</v>
      </c>
      <c r="N1217">
        <v>332</v>
      </c>
      <c r="O1217">
        <v>4</v>
      </c>
      <c r="P1217">
        <v>332</v>
      </c>
      <c r="Q1217">
        <v>0</v>
      </c>
      <c r="R1217">
        <v>129</v>
      </c>
      <c r="S1217">
        <v>73</v>
      </c>
      <c r="T1217">
        <v>3</v>
      </c>
      <c r="U1217">
        <v>1</v>
      </c>
      <c r="V1217">
        <v>0</v>
      </c>
      <c r="X1217">
        <v>19</v>
      </c>
      <c r="Y1217">
        <v>79</v>
      </c>
      <c r="Z1217">
        <v>1</v>
      </c>
      <c r="AB1217">
        <v>12</v>
      </c>
      <c r="AC1217">
        <v>0</v>
      </c>
      <c r="AD1217">
        <v>0</v>
      </c>
      <c r="AE1217">
        <v>0</v>
      </c>
      <c r="AF1217">
        <v>0</v>
      </c>
      <c r="AK1217">
        <v>0</v>
      </c>
      <c r="AL1217">
        <v>0</v>
      </c>
      <c r="AM1217">
        <v>0</v>
      </c>
      <c r="AN1217">
        <v>0</v>
      </c>
      <c r="AV1217">
        <v>0</v>
      </c>
      <c r="BC1217">
        <v>0</v>
      </c>
      <c r="BD1217">
        <v>15</v>
      </c>
      <c r="BE1217">
        <v>332</v>
      </c>
      <c r="BF1217">
        <v>332</v>
      </c>
      <c r="BG1217">
        <v>428</v>
      </c>
      <c r="BJ1217">
        <v>1</v>
      </c>
      <c r="BL1217" t="s">
        <v>2562</v>
      </c>
      <c r="BM1217" s="4">
        <v>43283.154861111114</v>
      </c>
      <c r="BN1217" s="4">
        <v>43283.165370370371</v>
      </c>
      <c r="BO1217" s="4">
        <v>43283.165370370371</v>
      </c>
      <c r="BP1217" t="s">
        <v>92</v>
      </c>
      <c r="BQ1217" t="s">
        <v>93</v>
      </c>
      <c r="BR1217" t="s">
        <v>94</v>
      </c>
    </row>
    <row r="1218" spans="1:70" x14ac:dyDescent="0.3">
      <c r="A1218" t="str">
        <f>"200637B0100"</f>
        <v>200637B0100</v>
      </c>
      <c r="B1218" t="s">
        <v>2563</v>
      </c>
      <c r="C1218">
        <v>20</v>
      </c>
      <c r="D1218" t="s">
        <v>88</v>
      </c>
      <c r="E1218">
        <v>69</v>
      </c>
      <c r="F1218" t="s">
        <v>2549</v>
      </c>
      <c r="G1218">
        <v>637</v>
      </c>
      <c r="H1218">
        <v>1</v>
      </c>
      <c r="I1218" t="s">
        <v>90</v>
      </c>
      <c r="J1218">
        <v>0</v>
      </c>
      <c r="K1218">
        <v>2</v>
      </c>
      <c r="L1218">
        <v>5</v>
      </c>
      <c r="M1218">
        <v>159</v>
      </c>
      <c r="N1218">
        <v>570</v>
      </c>
      <c r="O1218">
        <v>2</v>
      </c>
      <c r="P1218">
        <v>570</v>
      </c>
      <c r="Q1218">
        <v>0</v>
      </c>
      <c r="R1218">
        <v>210</v>
      </c>
      <c r="S1218">
        <v>168</v>
      </c>
      <c r="T1218">
        <v>2</v>
      </c>
      <c r="U1218">
        <v>1</v>
      </c>
      <c r="V1218">
        <v>1</v>
      </c>
      <c r="X1218">
        <v>27</v>
      </c>
      <c r="Y1218">
        <v>127</v>
      </c>
      <c r="Z1218">
        <v>0</v>
      </c>
      <c r="AB1218">
        <v>17</v>
      </c>
      <c r="AC1218">
        <v>0</v>
      </c>
      <c r="AD1218">
        <v>0</v>
      </c>
      <c r="AE1218">
        <v>0</v>
      </c>
      <c r="AF1218">
        <v>1</v>
      </c>
      <c r="AK1218">
        <v>4</v>
      </c>
      <c r="AL1218">
        <v>0</v>
      </c>
      <c r="AM1218">
        <v>0</v>
      </c>
      <c r="AN1218">
        <v>0</v>
      </c>
      <c r="AV1218">
        <v>0</v>
      </c>
      <c r="BC1218">
        <v>0</v>
      </c>
      <c r="BD1218">
        <v>12</v>
      </c>
      <c r="BE1218" t="s">
        <v>105</v>
      </c>
      <c r="BF1218">
        <v>570</v>
      </c>
      <c r="BG1218">
        <v>707</v>
      </c>
      <c r="BJ1218">
        <v>1</v>
      </c>
      <c r="BL1218" s="2" t="s">
        <v>2564</v>
      </c>
      <c r="BM1218" s="4">
        <v>43283.158333333333</v>
      </c>
      <c r="BN1218" s="4">
        <v>43283.170393518521</v>
      </c>
      <c r="BO1218" s="4">
        <v>43283.170393518521</v>
      </c>
      <c r="BP1218" t="s">
        <v>92</v>
      </c>
      <c r="BQ1218" t="s">
        <v>93</v>
      </c>
      <c r="BR1218" t="s">
        <v>94</v>
      </c>
    </row>
    <row r="1219" spans="1:70" x14ac:dyDescent="0.3">
      <c r="A1219" t="str">
        <f>"200637E0100"</f>
        <v>200637E0100</v>
      </c>
      <c r="B1219" s="2" t="s">
        <v>2565</v>
      </c>
      <c r="C1219">
        <v>20</v>
      </c>
      <c r="D1219" t="s">
        <v>88</v>
      </c>
      <c r="E1219">
        <v>69</v>
      </c>
      <c r="F1219" t="s">
        <v>2549</v>
      </c>
      <c r="G1219">
        <v>637</v>
      </c>
      <c r="H1219">
        <v>1</v>
      </c>
      <c r="I1219" t="s">
        <v>156</v>
      </c>
      <c r="J1219">
        <v>0</v>
      </c>
      <c r="K1219">
        <v>2</v>
      </c>
      <c r="L1219">
        <v>5</v>
      </c>
      <c r="M1219">
        <v>59</v>
      </c>
      <c r="N1219">
        <v>210</v>
      </c>
      <c r="O1219">
        <v>7</v>
      </c>
      <c r="P1219">
        <v>210</v>
      </c>
      <c r="Q1219">
        <v>0</v>
      </c>
      <c r="R1219">
        <v>100</v>
      </c>
      <c r="S1219">
        <v>61</v>
      </c>
      <c r="T1219">
        <v>0</v>
      </c>
      <c r="U1219">
        <v>0</v>
      </c>
      <c r="V1219">
        <v>1</v>
      </c>
      <c r="X1219">
        <v>13</v>
      </c>
      <c r="Y1219">
        <v>19</v>
      </c>
      <c r="Z1219">
        <v>0</v>
      </c>
      <c r="AB1219">
        <v>5</v>
      </c>
      <c r="AC1219" t="s">
        <v>105</v>
      </c>
      <c r="AD1219" t="s">
        <v>105</v>
      </c>
      <c r="AE1219" t="s">
        <v>105</v>
      </c>
      <c r="AF1219" t="s">
        <v>105</v>
      </c>
      <c r="AK1219" t="s">
        <v>105</v>
      </c>
      <c r="AL1219" t="s">
        <v>105</v>
      </c>
      <c r="AM1219" t="s">
        <v>105</v>
      </c>
      <c r="AN1219" t="s">
        <v>105</v>
      </c>
      <c r="AV1219" t="s">
        <v>105</v>
      </c>
      <c r="BC1219" t="s">
        <v>105</v>
      </c>
      <c r="BD1219">
        <v>11</v>
      </c>
      <c r="BE1219">
        <v>210</v>
      </c>
      <c r="BF1219">
        <v>210</v>
      </c>
      <c r="BG1219">
        <v>247</v>
      </c>
      <c r="BI1219" t="s">
        <v>106</v>
      </c>
      <c r="BJ1219">
        <v>1</v>
      </c>
      <c r="BL1219" t="s">
        <v>2566</v>
      </c>
      <c r="BM1219" s="4">
        <v>43282.910416666666</v>
      </c>
      <c r="BN1219" s="4">
        <v>43282.915034722224</v>
      </c>
      <c r="BO1219" s="4">
        <v>43282.915034722224</v>
      </c>
      <c r="BP1219" t="s">
        <v>92</v>
      </c>
      <c r="BQ1219" t="s">
        <v>93</v>
      </c>
      <c r="BR1219" t="s">
        <v>94</v>
      </c>
    </row>
    <row r="1220" spans="1:70" x14ac:dyDescent="0.3">
      <c r="A1220" t="str">
        <f>"200643B0100"</f>
        <v>200643B0100</v>
      </c>
      <c r="B1220" t="s">
        <v>2567</v>
      </c>
      <c r="C1220">
        <v>20</v>
      </c>
      <c r="D1220" t="s">
        <v>88</v>
      </c>
      <c r="E1220">
        <v>71</v>
      </c>
      <c r="F1220" t="s">
        <v>2568</v>
      </c>
      <c r="G1220">
        <v>643</v>
      </c>
      <c r="H1220">
        <v>1</v>
      </c>
      <c r="I1220" t="s">
        <v>90</v>
      </c>
      <c r="J1220">
        <v>0</v>
      </c>
      <c r="K1220">
        <v>2</v>
      </c>
      <c r="L1220">
        <v>5</v>
      </c>
      <c r="M1220">
        <v>226</v>
      </c>
      <c r="N1220">
        <v>449</v>
      </c>
      <c r="O1220">
        <v>4</v>
      </c>
      <c r="P1220">
        <v>450</v>
      </c>
      <c r="Q1220">
        <v>2</v>
      </c>
      <c r="R1220">
        <v>41</v>
      </c>
      <c r="S1220">
        <v>12</v>
      </c>
      <c r="T1220">
        <v>2</v>
      </c>
      <c r="U1220">
        <v>3</v>
      </c>
      <c r="V1220">
        <v>1</v>
      </c>
      <c r="W1220">
        <v>3</v>
      </c>
      <c r="X1220">
        <v>1</v>
      </c>
      <c r="Y1220">
        <v>87</v>
      </c>
      <c r="Z1220">
        <v>0</v>
      </c>
      <c r="AA1220">
        <v>25</v>
      </c>
      <c r="AB1220">
        <v>14</v>
      </c>
      <c r="AC1220">
        <v>0</v>
      </c>
      <c r="AD1220">
        <v>0</v>
      </c>
      <c r="AE1220">
        <v>1</v>
      </c>
      <c r="AF1220">
        <v>1</v>
      </c>
      <c r="AG1220">
        <v>1</v>
      </c>
      <c r="AH1220">
        <v>1</v>
      </c>
      <c r="AI1220">
        <v>0</v>
      </c>
      <c r="AJ1220">
        <v>0</v>
      </c>
      <c r="AK1220">
        <v>4</v>
      </c>
      <c r="AL1220">
        <v>0</v>
      </c>
      <c r="AM1220">
        <v>0</v>
      </c>
      <c r="AN1220">
        <v>2</v>
      </c>
      <c r="AZ1220">
        <v>235</v>
      </c>
      <c r="BC1220">
        <v>0</v>
      </c>
      <c r="BD1220">
        <v>14</v>
      </c>
      <c r="BE1220">
        <v>450</v>
      </c>
      <c r="BF1220">
        <v>450</v>
      </c>
      <c r="BG1220">
        <v>652</v>
      </c>
      <c r="BJ1220">
        <v>1</v>
      </c>
      <c r="BL1220" t="s">
        <v>2569</v>
      </c>
      <c r="BM1220" s="4">
        <v>43283.216666666667</v>
      </c>
      <c r="BN1220" s="4">
        <v>43283.240567129629</v>
      </c>
      <c r="BO1220" s="4">
        <v>43283.240567129629</v>
      </c>
      <c r="BP1220" t="s">
        <v>92</v>
      </c>
      <c r="BQ1220" t="s">
        <v>93</v>
      </c>
      <c r="BR1220" t="s">
        <v>94</v>
      </c>
    </row>
    <row r="1221" spans="1:70" x14ac:dyDescent="0.3">
      <c r="A1221" t="str">
        <f>"200643C0100"</f>
        <v>200643C0100</v>
      </c>
      <c r="B1221" t="s">
        <v>2570</v>
      </c>
      <c r="C1221">
        <v>20</v>
      </c>
      <c r="D1221" t="s">
        <v>88</v>
      </c>
      <c r="E1221">
        <v>71</v>
      </c>
      <c r="F1221" t="s">
        <v>2568</v>
      </c>
      <c r="G1221">
        <v>643</v>
      </c>
      <c r="H1221">
        <v>1</v>
      </c>
      <c r="I1221" t="s">
        <v>98</v>
      </c>
      <c r="J1221">
        <v>0</v>
      </c>
      <c r="K1221">
        <v>2</v>
      </c>
      <c r="L1221">
        <v>5</v>
      </c>
      <c r="M1221">
        <v>238</v>
      </c>
      <c r="N1221">
        <v>435</v>
      </c>
      <c r="O1221">
        <v>4</v>
      </c>
      <c r="P1221">
        <v>433</v>
      </c>
      <c r="Q1221">
        <v>3</v>
      </c>
      <c r="R1221">
        <v>38</v>
      </c>
      <c r="S1221">
        <v>21</v>
      </c>
      <c r="T1221">
        <v>3</v>
      </c>
      <c r="U1221">
        <v>7</v>
      </c>
      <c r="V1221">
        <v>0</v>
      </c>
      <c r="W1221">
        <v>4</v>
      </c>
      <c r="X1221">
        <v>2</v>
      </c>
      <c r="Y1221">
        <v>104</v>
      </c>
      <c r="Z1221">
        <v>2</v>
      </c>
      <c r="AA1221">
        <v>24</v>
      </c>
      <c r="AB1221">
        <v>9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1</v>
      </c>
      <c r="AJ1221">
        <v>0</v>
      </c>
      <c r="AK1221">
        <v>1</v>
      </c>
      <c r="AL1221">
        <v>1</v>
      </c>
      <c r="AM1221">
        <v>1</v>
      </c>
      <c r="AN1221">
        <v>2</v>
      </c>
      <c r="AZ1221">
        <v>197</v>
      </c>
      <c r="BC1221">
        <v>0</v>
      </c>
      <c r="BD1221">
        <v>13</v>
      </c>
      <c r="BE1221">
        <v>433</v>
      </c>
      <c r="BF1221">
        <v>433</v>
      </c>
      <c r="BG1221">
        <v>651</v>
      </c>
      <c r="BJ1221">
        <v>1</v>
      </c>
      <c r="BL1221" t="s">
        <v>2571</v>
      </c>
      <c r="BM1221" s="4">
        <v>43283.216666666667</v>
      </c>
      <c r="BN1221" s="4">
        <v>43283.239710648151</v>
      </c>
      <c r="BO1221" s="4">
        <v>43283.239710648151</v>
      </c>
      <c r="BP1221" t="s">
        <v>92</v>
      </c>
      <c r="BQ1221" t="s">
        <v>93</v>
      </c>
      <c r="BR1221" t="s">
        <v>94</v>
      </c>
    </row>
    <row r="1222" spans="1:70" x14ac:dyDescent="0.3">
      <c r="A1222" t="str">
        <f>"200643C0200"</f>
        <v>200643C0200</v>
      </c>
      <c r="B1222" t="s">
        <v>2572</v>
      </c>
      <c r="C1222">
        <v>20</v>
      </c>
      <c r="D1222" t="s">
        <v>88</v>
      </c>
      <c r="E1222">
        <v>71</v>
      </c>
      <c r="F1222" t="s">
        <v>2568</v>
      </c>
      <c r="G1222">
        <v>643</v>
      </c>
      <c r="H1222">
        <v>2</v>
      </c>
      <c r="I1222" t="s">
        <v>98</v>
      </c>
      <c r="J1222">
        <v>0</v>
      </c>
      <c r="K1222">
        <v>2</v>
      </c>
      <c r="L1222">
        <v>5</v>
      </c>
      <c r="M1222">
        <v>248</v>
      </c>
      <c r="N1222">
        <v>425</v>
      </c>
      <c r="O1222">
        <v>1</v>
      </c>
      <c r="P1222">
        <v>426</v>
      </c>
      <c r="Q1222">
        <v>4</v>
      </c>
      <c r="R1222">
        <v>31</v>
      </c>
      <c r="S1222">
        <v>16</v>
      </c>
      <c r="T1222">
        <v>4</v>
      </c>
      <c r="U1222">
        <v>4</v>
      </c>
      <c r="V1222">
        <v>0</v>
      </c>
      <c r="W1222">
        <v>3</v>
      </c>
      <c r="X1222">
        <v>1</v>
      </c>
      <c r="Y1222">
        <v>85</v>
      </c>
      <c r="Z1222">
        <v>4</v>
      </c>
      <c r="AA1222">
        <v>25</v>
      </c>
      <c r="AB1222">
        <v>14</v>
      </c>
      <c r="AC1222">
        <v>0</v>
      </c>
      <c r="AD1222">
        <v>0</v>
      </c>
      <c r="AE1222">
        <v>0</v>
      </c>
      <c r="AF1222">
        <v>1</v>
      </c>
      <c r="AG1222">
        <v>0</v>
      </c>
      <c r="AH1222">
        <v>2</v>
      </c>
      <c r="AI1222">
        <v>0</v>
      </c>
      <c r="AJ1222">
        <v>0</v>
      </c>
      <c r="AK1222">
        <v>1</v>
      </c>
      <c r="AL1222">
        <v>0</v>
      </c>
      <c r="AM1222">
        <v>0</v>
      </c>
      <c r="AN1222">
        <v>1</v>
      </c>
      <c r="AZ1222">
        <v>212</v>
      </c>
      <c r="BC1222">
        <v>0</v>
      </c>
      <c r="BD1222">
        <v>18</v>
      </c>
      <c r="BE1222">
        <v>426</v>
      </c>
      <c r="BF1222">
        <v>426</v>
      </c>
      <c r="BG1222">
        <v>651</v>
      </c>
      <c r="BJ1222">
        <v>1</v>
      </c>
      <c r="BL1222" t="s">
        <v>2573</v>
      </c>
      <c r="BM1222" s="4">
        <v>43283.21597222222</v>
      </c>
      <c r="BN1222" s="4">
        <v>43283.245937500003</v>
      </c>
      <c r="BO1222" s="4">
        <v>43283.245937500003</v>
      </c>
      <c r="BP1222" t="s">
        <v>92</v>
      </c>
      <c r="BQ1222" t="s">
        <v>93</v>
      </c>
      <c r="BR1222" t="s">
        <v>94</v>
      </c>
    </row>
    <row r="1223" spans="1:70" x14ac:dyDescent="0.3">
      <c r="A1223" t="str">
        <f>"200643E0100"</f>
        <v>200643E0100</v>
      </c>
      <c r="B1223" s="2" t="s">
        <v>2574</v>
      </c>
      <c r="C1223">
        <v>20</v>
      </c>
      <c r="D1223" t="s">
        <v>88</v>
      </c>
      <c r="E1223">
        <v>71</v>
      </c>
      <c r="F1223" t="s">
        <v>2568</v>
      </c>
      <c r="G1223">
        <v>643</v>
      </c>
      <c r="H1223">
        <v>1</v>
      </c>
      <c r="I1223" t="s">
        <v>156</v>
      </c>
      <c r="J1223">
        <v>0</v>
      </c>
      <c r="K1223">
        <v>2</v>
      </c>
      <c r="L1223">
        <v>5</v>
      </c>
      <c r="M1223">
        <v>110</v>
      </c>
      <c r="N1223">
        <v>141</v>
      </c>
      <c r="O1223">
        <v>3</v>
      </c>
      <c r="P1223">
        <v>47</v>
      </c>
      <c r="Q1223">
        <v>0</v>
      </c>
      <c r="R1223">
        <v>2</v>
      </c>
      <c r="S1223">
        <v>2</v>
      </c>
      <c r="T1223">
        <v>1</v>
      </c>
      <c r="U1223">
        <v>0</v>
      </c>
      <c r="V1223">
        <v>0</v>
      </c>
      <c r="W1223">
        <v>0</v>
      </c>
      <c r="X1223">
        <v>1</v>
      </c>
      <c r="Y1223">
        <v>6</v>
      </c>
      <c r="Z1223">
        <v>0</v>
      </c>
      <c r="AA1223">
        <v>0</v>
      </c>
      <c r="AB1223">
        <v>1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Z1223">
        <v>122</v>
      </c>
      <c r="BC1223">
        <v>0</v>
      </c>
      <c r="BD1223">
        <v>6</v>
      </c>
      <c r="BE1223" t="s">
        <v>105</v>
      </c>
      <c r="BF1223">
        <v>141</v>
      </c>
      <c r="BG1223">
        <v>227</v>
      </c>
      <c r="BJ1223">
        <v>1</v>
      </c>
      <c r="BL1223" t="s">
        <v>2575</v>
      </c>
      <c r="BM1223" s="4">
        <v>43283.381249999999</v>
      </c>
      <c r="BN1223" s="4">
        <v>43283.386122685188</v>
      </c>
      <c r="BO1223" s="4">
        <v>43283.386122685188</v>
      </c>
      <c r="BP1223" t="s">
        <v>92</v>
      </c>
      <c r="BQ1223" t="s">
        <v>93</v>
      </c>
      <c r="BR1223" t="s">
        <v>94</v>
      </c>
    </row>
    <row r="1224" spans="1:70" x14ac:dyDescent="0.3">
      <c r="A1224" t="str">
        <f>"200644B0100"</f>
        <v>200644B0100</v>
      </c>
      <c r="B1224" t="s">
        <v>2576</v>
      </c>
      <c r="C1224">
        <v>20</v>
      </c>
      <c r="D1224" t="s">
        <v>88</v>
      </c>
      <c r="E1224">
        <v>71</v>
      </c>
      <c r="F1224" t="s">
        <v>2568</v>
      </c>
      <c r="G1224">
        <v>644</v>
      </c>
      <c r="H1224">
        <v>1</v>
      </c>
      <c r="I1224" t="s">
        <v>90</v>
      </c>
      <c r="J1224">
        <v>0</v>
      </c>
      <c r="K1224">
        <v>2</v>
      </c>
      <c r="L1224">
        <v>5</v>
      </c>
      <c r="M1224">
        <v>212</v>
      </c>
      <c r="N1224">
        <v>370</v>
      </c>
      <c r="O1224">
        <v>5</v>
      </c>
      <c r="P1224">
        <v>370</v>
      </c>
      <c r="Q1224">
        <v>1</v>
      </c>
      <c r="R1224">
        <v>38</v>
      </c>
      <c r="S1224">
        <v>13</v>
      </c>
      <c r="T1224">
        <v>0</v>
      </c>
      <c r="U1224">
        <v>5</v>
      </c>
      <c r="V1224">
        <v>2</v>
      </c>
      <c r="W1224">
        <v>2</v>
      </c>
      <c r="X1224">
        <v>3</v>
      </c>
      <c r="Y1224">
        <v>105</v>
      </c>
      <c r="Z1224">
        <v>3</v>
      </c>
      <c r="AA1224">
        <v>20</v>
      </c>
      <c r="AB1224">
        <v>8</v>
      </c>
      <c r="AC1224">
        <v>1</v>
      </c>
      <c r="AD1224">
        <v>0</v>
      </c>
      <c r="AE1224">
        <v>0</v>
      </c>
      <c r="AF1224">
        <v>0</v>
      </c>
      <c r="AG1224">
        <v>0</v>
      </c>
      <c r="AH1224">
        <v>1</v>
      </c>
      <c r="AI1224">
        <v>0</v>
      </c>
      <c r="AJ1224">
        <v>0</v>
      </c>
      <c r="AK1224">
        <v>4</v>
      </c>
      <c r="AL1224">
        <v>0</v>
      </c>
      <c r="AM1224">
        <v>1</v>
      </c>
      <c r="AN1224">
        <v>0</v>
      </c>
      <c r="AZ1224">
        <v>138</v>
      </c>
      <c r="BC1224">
        <v>0</v>
      </c>
      <c r="BD1224">
        <v>24</v>
      </c>
      <c r="BE1224">
        <v>370</v>
      </c>
      <c r="BF1224">
        <v>369</v>
      </c>
      <c r="BG1224">
        <v>559</v>
      </c>
      <c r="BJ1224">
        <v>1</v>
      </c>
      <c r="BL1224" t="s">
        <v>2577</v>
      </c>
      <c r="BM1224" s="4">
        <v>43283.129166666666</v>
      </c>
      <c r="BN1224" s="4">
        <v>43283.152511574073</v>
      </c>
      <c r="BO1224" s="4">
        <v>43283.152511574073</v>
      </c>
      <c r="BP1224" t="s">
        <v>92</v>
      </c>
      <c r="BQ1224" t="s">
        <v>93</v>
      </c>
      <c r="BR1224" t="s">
        <v>94</v>
      </c>
    </row>
    <row r="1225" spans="1:70" x14ac:dyDescent="0.3">
      <c r="A1225" t="str">
        <f>"200644C0100"</f>
        <v>200644C0100</v>
      </c>
      <c r="B1225" t="s">
        <v>2578</v>
      </c>
      <c r="C1225">
        <v>20</v>
      </c>
      <c r="D1225" t="s">
        <v>88</v>
      </c>
      <c r="E1225">
        <v>71</v>
      </c>
      <c r="F1225" t="s">
        <v>2568</v>
      </c>
      <c r="G1225">
        <v>644</v>
      </c>
      <c r="H1225">
        <v>1</v>
      </c>
      <c r="I1225" t="s">
        <v>98</v>
      </c>
      <c r="J1225">
        <v>0</v>
      </c>
      <c r="K1225">
        <v>2</v>
      </c>
      <c r="L1225">
        <v>5</v>
      </c>
      <c r="M1225">
        <v>224</v>
      </c>
      <c r="N1225">
        <v>358</v>
      </c>
      <c r="O1225">
        <v>5</v>
      </c>
      <c r="P1225">
        <v>582</v>
      </c>
      <c r="Q1225">
        <v>2</v>
      </c>
      <c r="R1225">
        <v>29</v>
      </c>
      <c r="S1225">
        <v>15</v>
      </c>
      <c r="T1225">
        <v>1</v>
      </c>
      <c r="U1225">
        <v>3</v>
      </c>
      <c r="V1225">
        <v>3</v>
      </c>
      <c r="W1225">
        <v>3</v>
      </c>
      <c r="X1225">
        <v>1</v>
      </c>
      <c r="Y1225">
        <v>105</v>
      </c>
      <c r="Z1225">
        <v>6</v>
      </c>
      <c r="AA1225">
        <v>20</v>
      </c>
      <c r="AB1225">
        <v>13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Z1225">
        <v>136</v>
      </c>
      <c r="BC1225">
        <v>0</v>
      </c>
      <c r="BD1225">
        <v>21</v>
      </c>
      <c r="BE1225" t="s">
        <v>105</v>
      </c>
      <c r="BF1225">
        <v>358</v>
      </c>
      <c r="BG1225">
        <v>559</v>
      </c>
      <c r="BJ1225">
        <v>1</v>
      </c>
      <c r="BL1225" t="s">
        <v>2579</v>
      </c>
      <c r="BM1225" s="4">
        <v>43283.129166666666</v>
      </c>
      <c r="BN1225" s="4">
        <v>43283.134305555555</v>
      </c>
      <c r="BO1225" s="4">
        <v>43283.134305555555</v>
      </c>
      <c r="BP1225" t="s">
        <v>92</v>
      </c>
      <c r="BQ1225" t="s">
        <v>93</v>
      </c>
      <c r="BR1225" t="s">
        <v>94</v>
      </c>
    </row>
    <row r="1226" spans="1:70" x14ac:dyDescent="0.3">
      <c r="A1226" t="str">
        <f>"200644C0200"</f>
        <v>200644C0200</v>
      </c>
      <c r="B1226" t="s">
        <v>2580</v>
      </c>
      <c r="C1226">
        <v>20</v>
      </c>
      <c r="D1226" t="s">
        <v>88</v>
      </c>
      <c r="E1226">
        <v>71</v>
      </c>
      <c r="F1226" t="s">
        <v>2568</v>
      </c>
      <c r="G1226">
        <v>644</v>
      </c>
      <c r="H1226">
        <v>2</v>
      </c>
      <c r="I1226" t="s">
        <v>98</v>
      </c>
      <c r="J1226">
        <v>0</v>
      </c>
      <c r="K1226">
        <v>2</v>
      </c>
      <c r="L1226">
        <v>5</v>
      </c>
      <c r="M1226">
        <v>208</v>
      </c>
      <c r="N1226">
        <v>373</v>
      </c>
      <c r="O1226">
        <v>8</v>
      </c>
      <c r="P1226">
        <v>373</v>
      </c>
      <c r="Q1226">
        <v>5</v>
      </c>
      <c r="R1226">
        <v>37</v>
      </c>
      <c r="S1226">
        <v>19</v>
      </c>
      <c r="T1226">
        <v>6</v>
      </c>
      <c r="U1226">
        <v>3</v>
      </c>
      <c r="V1226">
        <v>3</v>
      </c>
      <c r="W1226">
        <v>2</v>
      </c>
      <c r="X1226">
        <v>1</v>
      </c>
      <c r="Y1226">
        <v>89</v>
      </c>
      <c r="Z1226">
        <v>2</v>
      </c>
      <c r="AA1226">
        <v>19</v>
      </c>
      <c r="AB1226">
        <v>9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2</v>
      </c>
      <c r="AI1226">
        <v>0</v>
      </c>
      <c r="AJ1226">
        <v>0</v>
      </c>
      <c r="AK1226">
        <v>7</v>
      </c>
      <c r="AL1226">
        <v>0</v>
      </c>
      <c r="AM1226">
        <v>0</v>
      </c>
      <c r="AN1226">
        <v>2</v>
      </c>
      <c r="AZ1226">
        <v>143</v>
      </c>
      <c r="BC1226">
        <v>0</v>
      </c>
      <c r="BD1226">
        <v>24</v>
      </c>
      <c r="BE1226">
        <v>373</v>
      </c>
      <c r="BF1226">
        <v>373</v>
      </c>
      <c r="BG1226">
        <v>558</v>
      </c>
      <c r="BJ1226">
        <v>1</v>
      </c>
      <c r="BL1226" t="s">
        <v>2581</v>
      </c>
      <c r="BM1226" s="4">
        <v>43283.129166666666</v>
      </c>
      <c r="BN1226" s="4">
        <v>43283.136689814812</v>
      </c>
      <c r="BO1226" s="4">
        <v>43283.136689814812</v>
      </c>
      <c r="BP1226" t="s">
        <v>92</v>
      </c>
      <c r="BQ1226" t="s">
        <v>93</v>
      </c>
      <c r="BR1226" t="s">
        <v>94</v>
      </c>
    </row>
    <row r="1227" spans="1:70" x14ac:dyDescent="0.3">
      <c r="A1227" t="str">
        <f>"200645B0100"</f>
        <v>200645B0100</v>
      </c>
      <c r="B1227" t="s">
        <v>2582</v>
      </c>
      <c r="C1227">
        <v>20</v>
      </c>
      <c r="D1227" t="s">
        <v>88</v>
      </c>
      <c r="E1227">
        <v>71</v>
      </c>
      <c r="F1227" t="s">
        <v>2568</v>
      </c>
      <c r="G1227">
        <v>645</v>
      </c>
      <c r="H1227">
        <v>1</v>
      </c>
      <c r="I1227" t="s">
        <v>90</v>
      </c>
      <c r="J1227">
        <v>0</v>
      </c>
      <c r="K1227">
        <v>2</v>
      </c>
      <c r="L1227">
        <v>5</v>
      </c>
      <c r="M1227">
        <v>175</v>
      </c>
      <c r="N1227">
        <v>456</v>
      </c>
      <c r="O1227">
        <v>10</v>
      </c>
      <c r="P1227">
        <v>45</v>
      </c>
      <c r="Q1227">
        <v>5</v>
      </c>
      <c r="R1227">
        <v>54</v>
      </c>
      <c r="S1227">
        <v>24</v>
      </c>
      <c r="T1227">
        <v>2</v>
      </c>
      <c r="U1227">
        <v>1</v>
      </c>
      <c r="V1227">
        <v>1</v>
      </c>
      <c r="W1227">
        <v>1</v>
      </c>
      <c r="X1227">
        <v>1</v>
      </c>
      <c r="Y1227">
        <v>102</v>
      </c>
      <c r="Z1227">
        <v>2</v>
      </c>
      <c r="AA1227">
        <v>19</v>
      </c>
      <c r="AB1227">
        <v>10</v>
      </c>
      <c r="AC1227">
        <v>2</v>
      </c>
      <c r="AD1227">
        <v>0</v>
      </c>
      <c r="AE1227">
        <v>0</v>
      </c>
      <c r="AF1227">
        <v>0</v>
      </c>
      <c r="AG1227">
        <v>1</v>
      </c>
      <c r="AH1227">
        <v>2</v>
      </c>
      <c r="AI1227">
        <v>0</v>
      </c>
      <c r="AJ1227">
        <v>0</v>
      </c>
      <c r="AK1227">
        <v>4</v>
      </c>
      <c r="AL1227">
        <v>0</v>
      </c>
      <c r="AM1227">
        <v>0</v>
      </c>
      <c r="AN1227">
        <v>2</v>
      </c>
      <c r="AZ1227">
        <v>207</v>
      </c>
      <c r="BC1227" t="s">
        <v>105</v>
      </c>
      <c r="BD1227">
        <v>14</v>
      </c>
      <c r="BE1227">
        <v>453</v>
      </c>
      <c r="BF1227">
        <v>454</v>
      </c>
      <c r="BG1227">
        <v>609</v>
      </c>
      <c r="BI1227" t="s">
        <v>106</v>
      </c>
      <c r="BJ1227">
        <v>1</v>
      </c>
      <c r="BL1227" t="s">
        <v>2583</v>
      </c>
      <c r="BM1227" s="4">
        <v>43283.216666666667</v>
      </c>
      <c r="BN1227" s="4">
        <v>43283.241701388892</v>
      </c>
      <c r="BO1227" s="4">
        <v>43283.241701388892</v>
      </c>
      <c r="BP1227" t="s">
        <v>92</v>
      </c>
      <c r="BQ1227" t="s">
        <v>93</v>
      </c>
      <c r="BR1227" t="s">
        <v>94</v>
      </c>
    </row>
    <row r="1228" spans="1:70" x14ac:dyDescent="0.3">
      <c r="A1228" t="str">
        <f>"200645C0100"</f>
        <v>200645C0100</v>
      </c>
      <c r="B1228" t="s">
        <v>2584</v>
      </c>
      <c r="C1228">
        <v>20</v>
      </c>
      <c r="D1228" t="s">
        <v>88</v>
      </c>
      <c r="E1228">
        <v>71</v>
      </c>
      <c r="F1228" t="s">
        <v>2568</v>
      </c>
      <c r="G1228">
        <v>645</v>
      </c>
      <c r="H1228">
        <v>1</v>
      </c>
      <c r="I1228" t="s">
        <v>98</v>
      </c>
      <c r="J1228">
        <v>0</v>
      </c>
      <c r="K1228">
        <v>2</v>
      </c>
      <c r="L1228">
        <v>5</v>
      </c>
      <c r="M1228">
        <v>210</v>
      </c>
      <c r="N1228">
        <v>422</v>
      </c>
      <c r="O1228">
        <v>9</v>
      </c>
      <c r="P1228">
        <v>422</v>
      </c>
      <c r="Q1228">
        <v>1</v>
      </c>
      <c r="R1228">
        <v>57</v>
      </c>
      <c r="S1228">
        <v>22</v>
      </c>
      <c r="T1228">
        <v>0</v>
      </c>
      <c r="U1228">
        <v>5</v>
      </c>
      <c r="V1228">
        <v>0</v>
      </c>
      <c r="W1228">
        <v>2</v>
      </c>
      <c r="X1228">
        <v>2</v>
      </c>
      <c r="Y1228">
        <v>91</v>
      </c>
      <c r="Z1228">
        <v>0</v>
      </c>
      <c r="AA1228">
        <v>38</v>
      </c>
      <c r="AB1228">
        <v>12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4</v>
      </c>
      <c r="AI1228">
        <v>0</v>
      </c>
      <c r="AJ1228">
        <v>0</v>
      </c>
      <c r="AK1228">
        <v>5</v>
      </c>
      <c r="AL1228">
        <v>1</v>
      </c>
      <c r="AM1228">
        <v>0</v>
      </c>
      <c r="AN1228">
        <v>0</v>
      </c>
      <c r="AZ1228">
        <v>163</v>
      </c>
      <c r="BC1228">
        <v>0</v>
      </c>
      <c r="BD1228">
        <v>19</v>
      </c>
      <c r="BE1228">
        <v>422</v>
      </c>
      <c r="BF1228">
        <v>422</v>
      </c>
      <c r="BG1228">
        <v>609</v>
      </c>
      <c r="BJ1228">
        <v>1</v>
      </c>
      <c r="BL1228" t="s">
        <v>2585</v>
      </c>
      <c r="BM1228" s="4">
        <v>43283.161111111112</v>
      </c>
      <c r="BN1228" s="4">
        <v>43283.174143518518</v>
      </c>
      <c r="BO1228" s="4">
        <v>43283.174143518518</v>
      </c>
      <c r="BP1228" t="s">
        <v>92</v>
      </c>
      <c r="BQ1228" t="s">
        <v>93</v>
      </c>
      <c r="BR1228" t="s">
        <v>94</v>
      </c>
    </row>
    <row r="1229" spans="1:70" x14ac:dyDescent="0.3">
      <c r="A1229" t="str">
        <f>"200645C0200"</f>
        <v>200645C0200</v>
      </c>
      <c r="B1229" t="s">
        <v>2586</v>
      </c>
      <c r="C1229">
        <v>20</v>
      </c>
      <c r="D1229" t="s">
        <v>88</v>
      </c>
      <c r="E1229">
        <v>71</v>
      </c>
      <c r="F1229" t="s">
        <v>2568</v>
      </c>
      <c r="G1229">
        <v>645</v>
      </c>
      <c r="H1229">
        <v>2</v>
      </c>
      <c r="I1229" t="s">
        <v>98</v>
      </c>
      <c r="J1229">
        <v>0</v>
      </c>
      <c r="K1229">
        <v>2</v>
      </c>
      <c r="L1229">
        <v>5</v>
      </c>
      <c r="M1229">
        <v>214</v>
      </c>
      <c r="N1229">
        <v>423</v>
      </c>
      <c r="O1229">
        <v>7</v>
      </c>
      <c r="P1229">
        <v>423</v>
      </c>
      <c r="Q1229">
        <v>4</v>
      </c>
      <c r="R1229">
        <v>41</v>
      </c>
      <c r="S1229">
        <v>20</v>
      </c>
      <c r="T1229">
        <v>6</v>
      </c>
      <c r="U1229">
        <v>3</v>
      </c>
      <c r="V1229">
        <v>2</v>
      </c>
      <c r="W1229">
        <v>1</v>
      </c>
      <c r="X1229">
        <v>3</v>
      </c>
      <c r="Y1229">
        <v>109</v>
      </c>
      <c r="Z1229">
        <v>0</v>
      </c>
      <c r="AA1229">
        <v>21</v>
      </c>
      <c r="AB1229">
        <v>8</v>
      </c>
      <c r="AC1229">
        <v>1</v>
      </c>
      <c r="AD1229">
        <v>0</v>
      </c>
      <c r="AE1229">
        <v>0</v>
      </c>
      <c r="AF1229">
        <v>0</v>
      </c>
      <c r="AG1229">
        <v>1</v>
      </c>
      <c r="AH1229">
        <v>0</v>
      </c>
      <c r="AI1229">
        <v>0</v>
      </c>
      <c r="AJ1229">
        <v>0</v>
      </c>
      <c r="AK1229">
        <v>0</v>
      </c>
      <c r="AL1229">
        <v>2</v>
      </c>
      <c r="AM1229">
        <v>0</v>
      </c>
      <c r="AN1229">
        <v>0</v>
      </c>
      <c r="AZ1229">
        <v>187</v>
      </c>
      <c r="BC1229">
        <v>0</v>
      </c>
      <c r="BD1229">
        <v>14</v>
      </c>
      <c r="BE1229">
        <v>423</v>
      </c>
      <c r="BF1229">
        <v>423</v>
      </c>
      <c r="BG1229">
        <v>609</v>
      </c>
      <c r="BJ1229">
        <v>1</v>
      </c>
      <c r="BL1229" t="s">
        <v>2587</v>
      </c>
      <c r="BM1229" s="4">
        <v>43283.274305555555</v>
      </c>
      <c r="BN1229" s="4">
        <v>43283.302604166667</v>
      </c>
      <c r="BO1229" s="4">
        <v>43283.302604166667</v>
      </c>
      <c r="BP1229" t="s">
        <v>92</v>
      </c>
      <c r="BQ1229" t="s">
        <v>93</v>
      </c>
      <c r="BR1229" t="s">
        <v>94</v>
      </c>
    </row>
    <row r="1230" spans="1:70" x14ac:dyDescent="0.3">
      <c r="A1230" t="str">
        <f>"200645E0100"</f>
        <v>200645E0100</v>
      </c>
      <c r="B1230" s="2" t="s">
        <v>2588</v>
      </c>
      <c r="C1230">
        <v>20</v>
      </c>
      <c r="D1230" t="s">
        <v>88</v>
      </c>
      <c r="E1230">
        <v>71</v>
      </c>
      <c r="F1230" t="s">
        <v>2568</v>
      </c>
      <c r="G1230">
        <v>645</v>
      </c>
      <c r="H1230">
        <v>1</v>
      </c>
      <c r="I1230" t="s">
        <v>156</v>
      </c>
      <c r="J1230">
        <v>0</v>
      </c>
      <c r="K1230">
        <v>2</v>
      </c>
      <c r="L1230">
        <v>5</v>
      </c>
      <c r="M1230">
        <v>275</v>
      </c>
      <c r="N1230">
        <v>343</v>
      </c>
      <c r="O1230">
        <v>11</v>
      </c>
      <c r="P1230">
        <v>343</v>
      </c>
      <c r="Q1230">
        <v>3</v>
      </c>
      <c r="R1230">
        <v>20</v>
      </c>
      <c r="S1230">
        <v>25</v>
      </c>
      <c r="T1230">
        <v>2</v>
      </c>
      <c r="U1230">
        <v>7</v>
      </c>
      <c r="V1230">
        <v>3</v>
      </c>
      <c r="W1230">
        <v>2</v>
      </c>
      <c r="X1230">
        <v>3</v>
      </c>
      <c r="Y1230">
        <v>88</v>
      </c>
      <c r="Z1230">
        <v>6</v>
      </c>
      <c r="AA1230">
        <v>39</v>
      </c>
      <c r="AB1230">
        <v>18</v>
      </c>
      <c r="AC1230">
        <v>0</v>
      </c>
      <c r="AD1230">
        <v>0</v>
      </c>
      <c r="AE1230">
        <v>0</v>
      </c>
      <c r="AF1230">
        <v>1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Z1230">
        <v>99</v>
      </c>
      <c r="BC1230">
        <v>0</v>
      </c>
      <c r="BD1230">
        <v>26</v>
      </c>
      <c r="BE1230">
        <v>343</v>
      </c>
      <c r="BF1230">
        <v>342</v>
      </c>
      <c r="BG1230">
        <v>595</v>
      </c>
      <c r="BJ1230">
        <v>1</v>
      </c>
      <c r="BL1230" t="s">
        <v>2589</v>
      </c>
      <c r="BM1230" s="4">
        <v>43283.21597222222</v>
      </c>
      <c r="BN1230" s="4">
        <v>43283.238449074073</v>
      </c>
      <c r="BO1230" s="4">
        <v>43283.238449074073</v>
      </c>
      <c r="BP1230" t="s">
        <v>92</v>
      </c>
      <c r="BQ1230" t="s">
        <v>93</v>
      </c>
      <c r="BR1230" t="s">
        <v>94</v>
      </c>
    </row>
    <row r="1231" spans="1:70" x14ac:dyDescent="0.3">
      <c r="A1231" t="str">
        <f>"200646B0100"</f>
        <v>200646B0100</v>
      </c>
      <c r="B1231" t="s">
        <v>2590</v>
      </c>
      <c r="C1231">
        <v>20</v>
      </c>
      <c r="D1231" t="s">
        <v>88</v>
      </c>
      <c r="E1231">
        <v>71</v>
      </c>
      <c r="F1231" t="s">
        <v>2568</v>
      </c>
      <c r="G1231">
        <v>646</v>
      </c>
      <c r="H1231">
        <v>1</v>
      </c>
      <c r="I1231" t="s">
        <v>90</v>
      </c>
      <c r="J1231">
        <v>0</v>
      </c>
      <c r="K1231">
        <v>2</v>
      </c>
      <c r="L1231">
        <v>5</v>
      </c>
      <c r="M1231">
        <v>231</v>
      </c>
      <c r="N1231">
        <v>408</v>
      </c>
      <c r="O1231">
        <v>0</v>
      </c>
      <c r="P1231" t="s">
        <v>105</v>
      </c>
      <c r="Q1231">
        <v>1</v>
      </c>
      <c r="R1231">
        <v>29</v>
      </c>
      <c r="S1231">
        <v>19</v>
      </c>
      <c r="T1231">
        <v>1</v>
      </c>
      <c r="U1231">
        <v>5</v>
      </c>
      <c r="V1231">
        <v>2</v>
      </c>
      <c r="W1231">
        <v>2</v>
      </c>
      <c r="X1231">
        <v>1</v>
      </c>
      <c r="Y1231">
        <v>96</v>
      </c>
      <c r="Z1231">
        <v>3</v>
      </c>
      <c r="AA1231">
        <v>22</v>
      </c>
      <c r="AB1231">
        <v>12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2</v>
      </c>
      <c r="AI1231">
        <v>0</v>
      </c>
      <c r="AJ1231">
        <v>0</v>
      </c>
      <c r="AK1231">
        <v>1</v>
      </c>
      <c r="AL1231">
        <v>2</v>
      </c>
      <c r="AM1231">
        <v>0</v>
      </c>
      <c r="AN1231">
        <v>0</v>
      </c>
      <c r="AZ1231">
        <v>196</v>
      </c>
      <c r="BC1231">
        <v>0</v>
      </c>
      <c r="BD1231">
        <v>16</v>
      </c>
      <c r="BE1231">
        <v>410</v>
      </c>
      <c r="BF1231">
        <v>410</v>
      </c>
      <c r="BG1231">
        <v>616</v>
      </c>
      <c r="BJ1231">
        <v>1</v>
      </c>
      <c r="BL1231" t="s">
        <v>2591</v>
      </c>
      <c r="BM1231" s="4">
        <v>43283.290972222225</v>
      </c>
      <c r="BN1231" s="4">
        <v>43283.321481481478</v>
      </c>
      <c r="BO1231" s="4">
        <v>43283.321481481478</v>
      </c>
      <c r="BP1231" t="s">
        <v>92</v>
      </c>
      <c r="BQ1231" t="s">
        <v>93</v>
      </c>
      <c r="BR1231" t="s">
        <v>94</v>
      </c>
    </row>
    <row r="1232" spans="1:70" x14ac:dyDescent="0.3">
      <c r="A1232" t="str">
        <f>"200646C0100"</f>
        <v>200646C0100</v>
      </c>
      <c r="B1232" t="s">
        <v>2592</v>
      </c>
      <c r="C1232">
        <v>20</v>
      </c>
      <c r="D1232" t="s">
        <v>88</v>
      </c>
      <c r="E1232">
        <v>71</v>
      </c>
      <c r="F1232" t="s">
        <v>2568</v>
      </c>
      <c r="G1232">
        <v>646</v>
      </c>
      <c r="H1232">
        <v>1</v>
      </c>
      <c r="I1232" t="s">
        <v>98</v>
      </c>
      <c r="J1232">
        <v>0</v>
      </c>
      <c r="K1232">
        <v>2</v>
      </c>
      <c r="L1232">
        <v>5</v>
      </c>
      <c r="M1232" t="s">
        <v>127</v>
      </c>
      <c r="N1232" t="s">
        <v>127</v>
      </c>
      <c r="O1232" t="s">
        <v>127</v>
      </c>
      <c r="P1232" t="s">
        <v>127</v>
      </c>
      <c r="Q1232" t="s">
        <v>127</v>
      </c>
      <c r="R1232" t="s">
        <v>127</v>
      </c>
      <c r="S1232" t="s">
        <v>127</v>
      </c>
      <c r="T1232" t="s">
        <v>127</v>
      </c>
      <c r="U1232" t="s">
        <v>127</v>
      </c>
      <c r="V1232" t="s">
        <v>127</v>
      </c>
      <c r="W1232" t="s">
        <v>127</v>
      </c>
      <c r="X1232" t="s">
        <v>127</v>
      </c>
      <c r="Y1232" t="s">
        <v>127</v>
      </c>
      <c r="Z1232" t="s">
        <v>127</v>
      </c>
      <c r="AA1232" t="s">
        <v>127</v>
      </c>
      <c r="AB1232" t="s">
        <v>127</v>
      </c>
      <c r="AC1232" t="s">
        <v>127</v>
      </c>
      <c r="AD1232" t="s">
        <v>127</v>
      </c>
      <c r="AE1232" t="s">
        <v>127</v>
      </c>
      <c r="AF1232" t="s">
        <v>127</v>
      </c>
      <c r="AG1232" t="s">
        <v>127</v>
      </c>
      <c r="AH1232" t="s">
        <v>127</v>
      </c>
      <c r="AI1232" t="s">
        <v>127</v>
      </c>
      <c r="AJ1232" t="s">
        <v>127</v>
      </c>
      <c r="AK1232" t="s">
        <v>127</v>
      </c>
      <c r="AL1232" t="s">
        <v>127</v>
      </c>
      <c r="AM1232" t="s">
        <v>127</v>
      </c>
      <c r="AN1232" t="s">
        <v>127</v>
      </c>
      <c r="AZ1232" t="s">
        <v>127</v>
      </c>
      <c r="BC1232" t="s">
        <v>127</v>
      </c>
      <c r="BD1232" t="s">
        <v>127</v>
      </c>
      <c r="BG1232">
        <v>615</v>
      </c>
      <c r="BI1232" t="s">
        <v>1244</v>
      </c>
      <c r="BJ1232">
        <v>0</v>
      </c>
      <c r="BL1232" t="s">
        <v>2593</v>
      </c>
      <c r="BM1232" s="4">
        <v>43283.559027777781</v>
      </c>
      <c r="BN1232" s="4">
        <v>43283.567395833335</v>
      </c>
      <c r="BO1232" s="4">
        <v>43283.567395833335</v>
      </c>
      <c r="BP1232" t="s">
        <v>92</v>
      </c>
      <c r="BQ1232" t="s">
        <v>93</v>
      </c>
      <c r="BR1232" t="s">
        <v>94</v>
      </c>
    </row>
    <row r="1233" spans="1:70" x14ac:dyDescent="0.3">
      <c r="A1233" t="str">
        <f>"200646C0200"</f>
        <v>200646C0200</v>
      </c>
      <c r="B1233" t="s">
        <v>2594</v>
      </c>
      <c r="C1233">
        <v>20</v>
      </c>
      <c r="D1233" t="s">
        <v>88</v>
      </c>
      <c r="E1233">
        <v>71</v>
      </c>
      <c r="F1233" t="s">
        <v>2568</v>
      </c>
      <c r="G1233">
        <v>646</v>
      </c>
      <c r="H1233">
        <v>2</v>
      </c>
      <c r="I1233" t="s">
        <v>98</v>
      </c>
      <c r="J1233">
        <v>0</v>
      </c>
      <c r="K1233">
        <v>2</v>
      </c>
      <c r="L1233">
        <v>5</v>
      </c>
      <c r="M1233">
        <v>222</v>
      </c>
      <c r="N1233">
        <v>416</v>
      </c>
      <c r="O1233">
        <v>2</v>
      </c>
      <c r="P1233">
        <v>416</v>
      </c>
      <c r="Q1233">
        <v>0</v>
      </c>
      <c r="R1233">
        <v>26</v>
      </c>
      <c r="S1233">
        <v>27</v>
      </c>
      <c r="T1233">
        <v>1</v>
      </c>
      <c r="U1233">
        <v>5</v>
      </c>
      <c r="V1233">
        <v>3</v>
      </c>
      <c r="W1233">
        <v>2</v>
      </c>
      <c r="X1233">
        <v>1</v>
      </c>
      <c r="Y1233">
        <v>99</v>
      </c>
      <c r="Z1233">
        <v>0</v>
      </c>
      <c r="AA1233">
        <v>17</v>
      </c>
      <c r="AB1233">
        <v>18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1</v>
      </c>
      <c r="AZ1233">
        <v>203</v>
      </c>
      <c r="BC1233">
        <v>0</v>
      </c>
      <c r="BD1233">
        <v>13</v>
      </c>
      <c r="BE1233">
        <v>416</v>
      </c>
      <c r="BF1233">
        <v>416</v>
      </c>
      <c r="BG1233">
        <v>615</v>
      </c>
      <c r="BJ1233">
        <v>1</v>
      </c>
      <c r="BL1233" t="s">
        <v>2595</v>
      </c>
      <c r="BM1233" s="4">
        <v>43283.26458333333</v>
      </c>
      <c r="BN1233" s="4">
        <v>43283.296388888892</v>
      </c>
      <c r="BO1233" s="4">
        <v>43283.296388888892</v>
      </c>
      <c r="BP1233" t="s">
        <v>92</v>
      </c>
      <c r="BQ1233" t="s">
        <v>93</v>
      </c>
      <c r="BR1233" t="s">
        <v>94</v>
      </c>
    </row>
    <row r="1234" spans="1:70" x14ac:dyDescent="0.3">
      <c r="A1234" t="str">
        <f>"200646S0100"</f>
        <v>200646S0100</v>
      </c>
      <c r="B1234" t="s">
        <v>2596</v>
      </c>
      <c r="C1234">
        <v>20</v>
      </c>
      <c r="D1234" t="s">
        <v>88</v>
      </c>
      <c r="E1234">
        <v>71</v>
      </c>
      <c r="F1234" t="s">
        <v>2568</v>
      </c>
      <c r="G1234">
        <v>646</v>
      </c>
      <c r="H1234">
        <v>1</v>
      </c>
      <c r="I1234" t="s">
        <v>113</v>
      </c>
      <c r="J1234">
        <v>0</v>
      </c>
      <c r="K1234">
        <v>2</v>
      </c>
      <c r="L1234">
        <v>6</v>
      </c>
      <c r="M1234">
        <v>720</v>
      </c>
      <c r="N1234">
        <v>54</v>
      </c>
      <c r="O1234">
        <v>0</v>
      </c>
      <c r="P1234">
        <v>53</v>
      </c>
      <c r="Q1234">
        <v>1</v>
      </c>
      <c r="R1234">
        <v>4</v>
      </c>
      <c r="S1234">
        <v>0</v>
      </c>
      <c r="T1234">
        <v>0</v>
      </c>
      <c r="U1234">
        <v>1</v>
      </c>
      <c r="V1234" t="s">
        <v>127</v>
      </c>
      <c r="W1234" t="s">
        <v>127</v>
      </c>
      <c r="X1234">
        <v>0</v>
      </c>
      <c r="Y1234">
        <v>13</v>
      </c>
      <c r="Z1234">
        <v>0</v>
      </c>
      <c r="AA1234">
        <v>8</v>
      </c>
      <c r="AB1234">
        <v>1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1</v>
      </c>
      <c r="AL1234">
        <v>0</v>
      </c>
      <c r="AM1234">
        <v>0</v>
      </c>
      <c r="AN1234">
        <v>0</v>
      </c>
      <c r="AZ1234">
        <v>22</v>
      </c>
      <c r="BC1234">
        <v>0</v>
      </c>
      <c r="BD1234">
        <v>2</v>
      </c>
      <c r="BE1234">
        <v>54</v>
      </c>
      <c r="BF1234">
        <v>53</v>
      </c>
      <c r="BG1234">
        <v>0</v>
      </c>
      <c r="BI1234" t="s">
        <v>106</v>
      </c>
      <c r="BJ1234">
        <v>1</v>
      </c>
      <c r="BL1234" t="s">
        <v>2597</v>
      </c>
      <c r="BM1234" s="4">
        <v>43283.32916666667</v>
      </c>
      <c r="BN1234" s="4">
        <v>43283.368171296293</v>
      </c>
      <c r="BO1234" s="4">
        <v>43283.368171296293</v>
      </c>
      <c r="BP1234" t="s">
        <v>92</v>
      </c>
      <c r="BQ1234" t="s">
        <v>93</v>
      </c>
      <c r="BR1234" t="s">
        <v>94</v>
      </c>
    </row>
    <row r="1235" spans="1:70" x14ac:dyDescent="0.3">
      <c r="A1235" t="str">
        <f>"200646S0200"</f>
        <v>200646S0200</v>
      </c>
      <c r="B1235" t="s">
        <v>2598</v>
      </c>
      <c r="C1235">
        <v>20</v>
      </c>
      <c r="D1235" t="s">
        <v>88</v>
      </c>
      <c r="E1235">
        <v>71</v>
      </c>
      <c r="F1235" t="s">
        <v>2568</v>
      </c>
      <c r="G1235">
        <v>646</v>
      </c>
      <c r="H1235">
        <v>2</v>
      </c>
      <c r="I1235" t="s">
        <v>113</v>
      </c>
      <c r="J1235">
        <v>0</v>
      </c>
      <c r="K1235">
        <v>2</v>
      </c>
      <c r="L1235">
        <v>6</v>
      </c>
      <c r="M1235">
        <v>718</v>
      </c>
      <c r="N1235">
        <v>62</v>
      </c>
      <c r="O1235">
        <v>0</v>
      </c>
      <c r="P1235">
        <v>62</v>
      </c>
      <c r="Q1235">
        <v>0</v>
      </c>
      <c r="R1235">
        <v>3</v>
      </c>
      <c r="S1235">
        <v>2</v>
      </c>
      <c r="T1235">
        <v>0</v>
      </c>
      <c r="U1235">
        <v>2</v>
      </c>
      <c r="V1235">
        <v>1</v>
      </c>
      <c r="W1235">
        <v>0</v>
      </c>
      <c r="X1235">
        <v>0</v>
      </c>
      <c r="Y1235">
        <v>21</v>
      </c>
      <c r="Z1235">
        <v>0</v>
      </c>
      <c r="AA1235">
        <v>2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2</v>
      </c>
      <c r="AL1235">
        <v>0</v>
      </c>
      <c r="AM1235">
        <v>0</v>
      </c>
      <c r="AN1235">
        <v>0</v>
      </c>
      <c r="AZ1235">
        <v>29</v>
      </c>
      <c r="BC1235">
        <v>0</v>
      </c>
      <c r="BD1235">
        <v>0</v>
      </c>
      <c r="BE1235">
        <v>62</v>
      </c>
      <c r="BF1235">
        <v>62</v>
      </c>
      <c r="BG1235">
        <v>0</v>
      </c>
      <c r="BJ1235">
        <v>1</v>
      </c>
      <c r="BL1235" t="s">
        <v>2599</v>
      </c>
      <c r="BM1235" s="4">
        <v>43283.322222222225</v>
      </c>
      <c r="BN1235" s="4">
        <v>43283.3434837963</v>
      </c>
      <c r="BO1235" s="4">
        <v>43283.3434837963</v>
      </c>
      <c r="BP1235" t="s">
        <v>92</v>
      </c>
      <c r="BQ1235" t="s">
        <v>93</v>
      </c>
      <c r="BR1235" t="s">
        <v>94</v>
      </c>
    </row>
    <row r="1236" spans="1:70" x14ac:dyDescent="0.3">
      <c r="A1236" t="str">
        <f>"200647B0100"</f>
        <v>200647B0100</v>
      </c>
      <c r="B1236" t="s">
        <v>2600</v>
      </c>
      <c r="C1236">
        <v>20</v>
      </c>
      <c r="D1236" t="s">
        <v>88</v>
      </c>
      <c r="E1236">
        <v>71</v>
      </c>
      <c r="F1236" t="s">
        <v>2568</v>
      </c>
      <c r="G1236">
        <v>647</v>
      </c>
      <c r="H1236">
        <v>1</v>
      </c>
      <c r="I1236" t="s">
        <v>90</v>
      </c>
      <c r="J1236">
        <v>0</v>
      </c>
      <c r="K1236">
        <v>1</v>
      </c>
      <c r="L1236">
        <v>5</v>
      </c>
      <c r="M1236">
        <v>195</v>
      </c>
      <c r="N1236">
        <v>346</v>
      </c>
      <c r="O1236">
        <v>3</v>
      </c>
      <c r="P1236">
        <v>349</v>
      </c>
      <c r="Q1236">
        <v>4</v>
      </c>
      <c r="R1236">
        <v>30</v>
      </c>
      <c r="S1236">
        <v>28</v>
      </c>
      <c r="T1236">
        <v>0</v>
      </c>
      <c r="U1236">
        <v>4</v>
      </c>
      <c r="V1236">
        <v>0</v>
      </c>
      <c r="W1236">
        <v>1</v>
      </c>
      <c r="X1236">
        <v>0</v>
      </c>
      <c r="Y1236">
        <v>50</v>
      </c>
      <c r="Z1236">
        <v>2</v>
      </c>
      <c r="AA1236">
        <v>36</v>
      </c>
      <c r="AB1236">
        <v>15</v>
      </c>
      <c r="AC1236">
        <v>0</v>
      </c>
      <c r="AD1236">
        <v>0</v>
      </c>
      <c r="AE1236">
        <v>0</v>
      </c>
      <c r="AF1236">
        <v>0</v>
      </c>
      <c r="AG1236">
        <v>2</v>
      </c>
      <c r="AH1236">
        <v>0</v>
      </c>
      <c r="AI1236">
        <v>0</v>
      </c>
      <c r="AJ1236">
        <v>0</v>
      </c>
      <c r="AK1236">
        <v>2</v>
      </c>
      <c r="AL1236">
        <v>1</v>
      </c>
      <c r="AM1236">
        <v>0</v>
      </c>
      <c r="AN1236">
        <v>0</v>
      </c>
      <c r="AZ1236">
        <v>160</v>
      </c>
      <c r="BC1236">
        <v>0</v>
      </c>
      <c r="BD1236">
        <v>14</v>
      </c>
      <c r="BE1236">
        <v>349</v>
      </c>
      <c r="BF1236">
        <v>349</v>
      </c>
      <c r="BG1236">
        <v>516</v>
      </c>
      <c r="BJ1236">
        <v>1</v>
      </c>
      <c r="BL1236" t="s">
        <v>2601</v>
      </c>
      <c r="BM1236" s="4">
        <v>43283.097916666666</v>
      </c>
      <c r="BN1236" s="4">
        <v>43283.128217592595</v>
      </c>
      <c r="BO1236" s="4">
        <v>43283.128217592595</v>
      </c>
      <c r="BP1236" t="s">
        <v>92</v>
      </c>
      <c r="BQ1236" t="s">
        <v>93</v>
      </c>
      <c r="BR1236" t="s">
        <v>94</v>
      </c>
    </row>
    <row r="1237" spans="1:70" x14ac:dyDescent="0.3">
      <c r="A1237" t="str">
        <f>"200647C0100"</f>
        <v>200647C0100</v>
      </c>
      <c r="B1237" t="s">
        <v>2602</v>
      </c>
      <c r="C1237">
        <v>20</v>
      </c>
      <c r="D1237" t="s">
        <v>88</v>
      </c>
      <c r="E1237">
        <v>71</v>
      </c>
      <c r="F1237" t="s">
        <v>2568</v>
      </c>
      <c r="G1237">
        <v>647</v>
      </c>
      <c r="H1237">
        <v>1</v>
      </c>
      <c r="I1237" t="s">
        <v>98</v>
      </c>
      <c r="J1237">
        <v>0</v>
      </c>
      <c r="K1237">
        <v>1</v>
      </c>
      <c r="L1237">
        <v>5</v>
      </c>
      <c r="M1237">
        <v>167</v>
      </c>
      <c r="N1237">
        <v>378</v>
      </c>
      <c r="O1237">
        <v>9</v>
      </c>
      <c r="P1237">
        <v>378</v>
      </c>
      <c r="Q1237">
        <v>2</v>
      </c>
      <c r="R1237">
        <v>22</v>
      </c>
      <c r="S1237">
        <v>25</v>
      </c>
      <c r="T1237">
        <v>0</v>
      </c>
      <c r="U1237" t="s">
        <v>127</v>
      </c>
      <c r="V1237">
        <v>4</v>
      </c>
      <c r="W1237">
        <v>2</v>
      </c>
      <c r="X1237">
        <v>3</v>
      </c>
      <c r="Y1237">
        <v>44</v>
      </c>
      <c r="Z1237">
        <v>1</v>
      </c>
      <c r="AA1237">
        <v>19</v>
      </c>
      <c r="AB1237">
        <v>15</v>
      </c>
      <c r="AC1237">
        <v>2</v>
      </c>
      <c r="AD1237">
        <v>1</v>
      </c>
      <c r="AE1237">
        <v>0</v>
      </c>
      <c r="AF1237">
        <v>0</v>
      </c>
      <c r="AG1237">
        <v>1</v>
      </c>
      <c r="AH1237" t="s">
        <v>127</v>
      </c>
      <c r="AI1237">
        <v>0</v>
      </c>
      <c r="AJ1237">
        <v>0</v>
      </c>
      <c r="AK1237">
        <v>2</v>
      </c>
      <c r="AL1237">
        <v>0</v>
      </c>
      <c r="AM1237">
        <v>0</v>
      </c>
      <c r="AN1237">
        <v>1</v>
      </c>
      <c r="AZ1237">
        <v>205</v>
      </c>
      <c r="BC1237" t="s">
        <v>105</v>
      </c>
      <c r="BD1237">
        <v>0</v>
      </c>
      <c r="BE1237" t="s">
        <v>127</v>
      </c>
      <c r="BF1237">
        <v>349</v>
      </c>
      <c r="BG1237">
        <v>515</v>
      </c>
      <c r="BI1237" t="s">
        <v>106</v>
      </c>
      <c r="BJ1237">
        <v>1</v>
      </c>
      <c r="BL1237" t="s">
        <v>2603</v>
      </c>
      <c r="BM1237" s="4">
        <v>43283.097916666666</v>
      </c>
      <c r="BN1237" s="4">
        <v>43283.146539351852</v>
      </c>
      <c r="BO1237" s="4">
        <v>43283.146539351852</v>
      </c>
      <c r="BP1237" t="s">
        <v>92</v>
      </c>
      <c r="BQ1237" t="s">
        <v>93</v>
      </c>
      <c r="BR1237" t="s">
        <v>94</v>
      </c>
    </row>
    <row r="1238" spans="1:70" x14ac:dyDescent="0.3">
      <c r="A1238" t="str">
        <f>"200647C0200"</f>
        <v>200647C0200</v>
      </c>
      <c r="B1238" t="s">
        <v>2604</v>
      </c>
      <c r="C1238">
        <v>20</v>
      </c>
      <c r="D1238" t="s">
        <v>88</v>
      </c>
      <c r="E1238">
        <v>71</v>
      </c>
      <c r="F1238" t="s">
        <v>2568</v>
      </c>
      <c r="G1238">
        <v>647</v>
      </c>
      <c r="H1238">
        <v>2</v>
      </c>
      <c r="I1238" t="s">
        <v>98</v>
      </c>
      <c r="J1238">
        <v>0</v>
      </c>
      <c r="K1238">
        <v>1</v>
      </c>
      <c r="L1238">
        <v>5</v>
      </c>
      <c r="M1238">
        <v>163</v>
      </c>
      <c r="N1238">
        <v>375</v>
      </c>
      <c r="O1238">
        <v>8</v>
      </c>
      <c r="P1238">
        <v>375</v>
      </c>
      <c r="Q1238">
        <v>2</v>
      </c>
      <c r="R1238">
        <v>43</v>
      </c>
      <c r="S1238">
        <v>28</v>
      </c>
      <c r="T1238">
        <v>4</v>
      </c>
      <c r="U1238">
        <v>2</v>
      </c>
      <c r="V1238">
        <v>2</v>
      </c>
      <c r="W1238">
        <v>3</v>
      </c>
      <c r="X1238" t="s">
        <v>105</v>
      </c>
      <c r="Y1238">
        <v>46</v>
      </c>
      <c r="Z1238" t="s">
        <v>105</v>
      </c>
      <c r="AA1238">
        <v>21</v>
      </c>
      <c r="AB1238">
        <v>19</v>
      </c>
      <c r="AC1238" t="s">
        <v>105</v>
      </c>
      <c r="AD1238" t="s">
        <v>105</v>
      </c>
      <c r="AE1238" t="s">
        <v>105</v>
      </c>
      <c r="AF1238" t="s">
        <v>105</v>
      </c>
      <c r="AG1238" t="s">
        <v>105</v>
      </c>
      <c r="AH1238" t="s">
        <v>105</v>
      </c>
      <c r="AI1238" t="s">
        <v>105</v>
      </c>
      <c r="AJ1238" t="s">
        <v>105</v>
      </c>
      <c r="AK1238" t="s">
        <v>105</v>
      </c>
      <c r="AL1238" t="s">
        <v>105</v>
      </c>
      <c r="AM1238" t="s">
        <v>105</v>
      </c>
      <c r="AN1238" t="s">
        <v>105</v>
      </c>
      <c r="AZ1238">
        <v>197</v>
      </c>
      <c r="BC1238" t="s">
        <v>105</v>
      </c>
      <c r="BD1238">
        <v>8</v>
      </c>
      <c r="BE1238">
        <v>375</v>
      </c>
      <c r="BF1238">
        <v>375</v>
      </c>
      <c r="BG1238">
        <v>515</v>
      </c>
      <c r="BI1238" t="s">
        <v>106</v>
      </c>
      <c r="BJ1238">
        <v>1</v>
      </c>
      <c r="BL1238" t="s">
        <v>2605</v>
      </c>
      <c r="BM1238" s="4">
        <v>43283.097916666666</v>
      </c>
      <c r="BN1238" s="4">
        <v>43283.106851851851</v>
      </c>
      <c r="BO1238" s="4">
        <v>43283.106851851851</v>
      </c>
      <c r="BP1238" t="s">
        <v>92</v>
      </c>
      <c r="BQ1238" t="s">
        <v>93</v>
      </c>
      <c r="BR1238" t="s">
        <v>94</v>
      </c>
    </row>
    <row r="1239" spans="1:70" x14ac:dyDescent="0.3">
      <c r="A1239" t="str">
        <f>"200648B0100"</f>
        <v>200648B0100</v>
      </c>
      <c r="B1239" t="s">
        <v>2606</v>
      </c>
      <c r="C1239">
        <v>20</v>
      </c>
      <c r="D1239" t="s">
        <v>88</v>
      </c>
      <c r="E1239">
        <v>71</v>
      </c>
      <c r="F1239" t="s">
        <v>2568</v>
      </c>
      <c r="G1239">
        <v>648</v>
      </c>
      <c r="H1239">
        <v>1</v>
      </c>
      <c r="I1239" t="s">
        <v>90</v>
      </c>
      <c r="J1239">
        <v>0</v>
      </c>
      <c r="K1239">
        <v>2</v>
      </c>
      <c r="L1239">
        <v>5</v>
      </c>
      <c r="M1239">
        <v>192</v>
      </c>
      <c r="N1239">
        <v>408</v>
      </c>
      <c r="O1239">
        <v>2</v>
      </c>
      <c r="P1239">
        <v>408</v>
      </c>
      <c r="Q1239">
        <v>2</v>
      </c>
      <c r="R1239">
        <v>35</v>
      </c>
      <c r="S1239">
        <v>22</v>
      </c>
      <c r="T1239">
        <v>4</v>
      </c>
      <c r="U1239">
        <v>3</v>
      </c>
      <c r="V1239">
        <v>0</v>
      </c>
      <c r="W1239">
        <v>1</v>
      </c>
      <c r="X1239">
        <v>1</v>
      </c>
      <c r="Y1239">
        <v>75</v>
      </c>
      <c r="Z1239">
        <v>2</v>
      </c>
      <c r="AA1239">
        <v>22</v>
      </c>
      <c r="AB1239">
        <v>14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4</v>
      </c>
      <c r="AL1239">
        <v>0</v>
      </c>
      <c r="AM1239">
        <v>0</v>
      </c>
      <c r="AN1239">
        <v>3</v>
      </c>
      <c r="AZ1239">
        <v>203</v>
      </c>
      <c r="BC1239">
        <v>0</v>
      </c>
      <c r="BD1239">
        <v>17</v>
      </c>
      <c r="BE1239">
        <v>408</v>
      </c>
      <c r="BF1239">
        <v>408</v>
      </c>
      <c r="BG1239">
        <v>577</v>
      </c>
      <c r="BJ1239">
        <v>1</v>
      </c>
      <c r="BL1239" t="s">
        <v>2607</v>
      </c>
      <c r="BM1239" s="4">
        <v>43283.161111111112</v>
      </c>
      <c r="BN1239" s="4">
        <v>43283.178611111114</v>
      </c>
      <c r="BO1239" s="4">
        <v>43283.178611111114</v>
      </c>
      <c r="BP1239" t="s">
        <v>92</v>
      </c>
      <c r="BQ1239" t="s">
        <v>93</v>
      </c>
      <c r="BR1239" t="s">
        <v>94</v>
      </c>
    </row>
    <row r="1240" spans="1:70" x14ac:dyDescent="0.3">
      <c r="A1240" t="str">
        <f>"200648C0100"</f>
        <v>200648C0100</v>
      </c>
      <c r="B1240" t="s">
        <v>2608</v>
      </c>
      <c r="C1240">
        <v>20</v>
      </c>
      <c r="D1240" t="s">
        <v>88</v>
      </c>
      <c r="E1240">
        <v>71</v>
      </c>
      <c r="F1240" t="s">
        <v>2568</v>
      </c>
      <c r="G1240">
        <v>648</v>
      </c>
      <c r="H1240">
        <v>1</v>
      </c>
      <c r="I1240" t="s">
        <v>98</v>
      </c>
      <c r="J1240">
        <v>0</v>
      </c>
      <c r="K1240">
        <v>2</v>
      </c>
      <c r="L1240">
        <v>5</v>
      </c>
      <c r="M1240">
        <v>209</v>
      </c>
      <c r="N1240">
        <v>390</v>
      </c>
      <c r="O1240">
        <v>0</v>
      </c>
      <c r="P1240">
        <v>390</v>
      </c>
      <c r="Q1240">
        <v>0</v>
      </c>
      <c r="R1240">
        <v>36</v>
      </c>
      <c r="S1240">
        <v>15</v>
      </c>
      <c r="T1240">
        <v>2</v>
      </c>
      <c r="U1240">
        <v>1</v>
      </c>
      <c r="V1240">
        <v>2</v>
      </c>
      <c r="W1240">
        <v>3</v>
      </c>
      <c r="X1240">
        <v>0</v>
      </c>
      <c r="Y1240">
        <v>85</v>
      </c>
      <c r="Z1240">
        <v>1</v>
      </c>
      <c r="AA1240">
        <v>19</v>
      </c>
      <c r="AB1240">
        <v>15</v>
      </c>
      <c r="AC1240">
        <v>0</v>
      </c>
      <c r="AD1240">
        <v>0</v>
      </c>
      <c r="AE1240">
        <v>0</v>
      </c>
      <c r="AF1240">
        <v>0</v>
      </c>
      <c r="AG1240">
        <v>1</v>
      </c>
      <c r="AH1240">
        <v>1</v>
      </c>
      <c r="AI1240">
        <v>1</v>
      </c>
      <c r="AJ1240">
        <v>0</v>
      </c>
      <c r="AK1240">
        <v>2</v>
      </c>
      <c r="AL1240">
        <v>1</v>
      </c>
      <c r="AM1240">
        <v>0</v>
      </c>
      <c r="AN1240">
        <v>0</v>
      </c>
      <c r="AZ1240">
        <v>196</v>
      </c>
      <c r="BC1240">
        <v>0</v>
      </c>
      <c r="BD1240">
        <v>9</v>
      </c>
      <c r="BE1240">
        <v>390</v>
      </c>
      <c r="BF1240">
        <v>390</v>
      </c>
      <c r="BG1240">
        <v>576</v>
      </c>
      <c r="BJ1240">
        <v>1</v>
      </c>
      <c r="BL1240" t="s">
        <v>2609</v>
      </c>
      <c r="BM1240" s="4">
        <v>43283.161111111112</v>
      </c>
      <c r="BN1240" s="4">
        <v>43283.172962962963</v>
      </c>
      <c r="BO1240" s="4">
        <v>43283.172962962963</v>
      </c>
      <c r="BP1240" t="s">
        <v>92</v>
      </c>
      <c r="BQ1240" t="s">
        <v>93</v>
      </c>
      <c r="BR1240" t="s">
        <v>94</v>
      </c>
    </row>
    <row r="1241" spans="1:70" x14ac:dyDescent="0.3">
      <c r="A1241" t="str">
        <f>"200648E0100"</f>
        <v>200648E0100</v>
      </c>
      <c r="B1241" s="2" t="s">
        <v>2610</v>
      </c>
      <c r="C1241">
        <v>20</v>
      </c>
      <c r="D1241" t="s">
        <v>88</v>
      </c>
      <c r="E1241">
        <v>71</v>
      </c>
      <c r="F1241" t="s">
        <v>2568</v>
      </c>
      <c r="G1241">
        <v>648</v>
      </c>
      <c r="H1241">
        <v>1</v>
      </c>
      <c r="I1241" t="s">
        <v>156</v>
      </c>
      <c r="J1241">
        <v>0</v>
      </c>
      <c r="K1241">
        <v>2</v>
      </c>
      <c r="L1241">
        <v>5</v>
      </c>
      <c r="M1241">
        <v>195</v>
      </c>
      <c r="N1241">
        <v>408</v>
      </c>
      <c r="O1241">
        <v>5</v>
      </c>
      <c r="P1241">
        <v>407</v>
      </c>
      <c r="Q1241">
        <v>0</v>
      </c>
      <c r="R1241">
        <v>13</v>
      </c>
      <c r="S1241">
        <v>14</v>
      </c>
      <c r="T1241">
        <v>3</v>
      </c>
      <c r="U1241">
        <v>4</v>
      </c>
      <c r="V1241">
        <v>2</v>
      </c>
      <c r="W1241">
        <v>1</v>
      </c>
      <c r="X1241">
        <v>0</v>
      </c>
      <c r="Y1241">
        <v>108</v>
      </c>
      <c r="Z1241">
        <v>2</v>
      </c>
      <c r="AA1241">
        <v>13</v>
      </c>
      <c r="AB1241">
        <v>15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6</v>
      </c>
      <c r="AL1241">
        <v>0</v>
      </c>
      <c r="AM1241">
        <v>0</v>
      </c>
      <c r="AN1241">
        <v>0</v>
      </c>
      <c r="AZ1241">
        <v>213</v>
      </c>
      <c r="BC1241">
        <v>0</v>
      </c>
      <c r="BD1241">
        <v>13</v>
      </c>
      <c r="BE1241">
        <v>407</v>
      </c>
      <c r="BF1241">
        <v>407</v>
      </c>
      <c r="BG1241">
        <v>580</v>
      </c>
      <c r="BJ1241">
        <v>1</v>
      </c>
      <c r="BL1241" t="s">
        <v>2611</v>
      </c>
      <c r="BM1241" s="4">
        <v>43283.161111111112</v>
      </c>
      <c r="BN1241" s="4">
        <v>43283.175451388888</v>
      </c>
      <c r="BO1241" s="4">
        <v>43283.175451388888</v>
      </c>
      <c r="BP1241" t="s">
        <v>92</v>
      </c>
      <c r="BQ1241" t="s">
        <v>93</v>
      </c>
      <c r="BR1241" t="s">
        <v>94</v>
      </c>
    </row>
    <row r="1242" spans="1:70" x14ac:dyDescent="0.3">
      <c r="A1242" t="str">
        <f>"200648E0101"</f>
        <v>200648E0101</v>
      </c>
      <c r="B1242" s="2" t="s">
        <v>2612</v>
      </c>
      <c r="C1242">
        <v>20</v>
      </c>
      <c r="D1242" t="s">
        <v>88</v>
      </c>
      <c r="E1242">
        <v>71</v>
      </c>
      <c r="F1242" t="s">
        <v>2568</v>
      </c>
      <c r="G1242">
        <v>648</v>
      </c>
      <c r="H1242">
        <v>1</v>
      </c>
      <c r="I1242" t="s">
        <v>156</v>
      </c>
      <c r="J1242">
        <v>1</v>
      </c>
      <c r="K1242">
        <v>2</v>
      </c>
      <c r="L1242">
        <v>5</v>
      </c>
      <c r="M1242">
        <v>204</v>
      </c>
      <c r="N1242">
        <v>398</v>
      </c>
      <c r="O1242">
        <v>5</v>
      </c>
      <c r="P1242">
        <v>399</v>
      </c>
      <c r="Q1242">
        <v>2</v>
      </c>
      <c r="R1242">
        <v>36</v>
      </c>
      <c r="S1242">
        <v>17</v>
      </c>
      <c r="T1242">
        <v>5</v>
      </c>
      <c r="U1242">
        <v>6</v>
      </c>
      <c r="V1242">
        <v>5</v>
      </c>
      <c r="W1242">
        <v>1</v>
      </c>
      <c r="X1242">
        <v>0</v>
      </c>
      <c r="Y1242">
        <v>100</v>
      </c>
      <c r="Z1242">
        <v>2</v>
      </c>
      <c r="AA1242">
        <v>15</v>
      </c>
      <c r="AB1242">
        <v>15</v>
      </c>
      <c r="AC1242">
        <v>0</v>
      </c>
      <c r="AD1242">
        <v>0</v>
      </c>
      <c r="AE1242">
        <v>0</v>
      </c>
      <c r="AF1242">
        <v>0</v>
      </c>
      <c r="AG1242">
        <v>1</v>
      </c>
      <c r="AH1242">
        <v>0</v>
      </c>
      <c r="AI1242">
        <v>1</v>
      </c>
      <c r="AJ1242">
        <v>0</v>
      </c>
      <c r="AK1242">
        <v>1</v>
      </c>
      <c r="AL1242">
        <v>0</v>
      </c>
      <c r="AM1242">
        <v>0</v>
      </c>
      <c r="AN1242">
        <v>1</v>
      </c>
      <c r="AZ1242">
        <v>170</v>
      </c>
      <c r="BC1242">
        <v>0</v>
      </c>
      <c r="BD1242">
        <v>21</v>
      </c>
      <c r="BE1242">
        <v>399</v>
      </c>
      <c r="BF1242">
        <v>399</v>
      </c>
      <c r="BG1242">
        <v>579</v>
      </c>
      <c r="BJ1242">
        <v>1</v>
      </c>
      <c r="BL1242" t="s">
        <v>2613</v>
      </c>
      <c r="BM1242" s="4">
        <v>43283.161111111112</v>
      </c>
      <c r="BN1242" s="4">
        <v>43283.173182870371</v>
      </c>
      <c r="BO1242" s="4">
        <v>43283.173182870371</v>
      </c>
      <c r="BP1242" t="s">
        <v>92</v>
      </c>
      <c r="BQ1242" t="s">
        <v>93</v>
      </c>
      <c r="BR1242" t="s">
        <v>94</v>
      </c>
    </row>
    <row r="1243" spans="1:70" x14ac:dyDescent="0.3">
      <c r="A1243" t="str">
        <f>"200649B0100"</f>
        <v>200649B0100</v>
      </c>
      <c r="B1243" t="s">
        <v>2614</v>
      </c>
      <c r="C1243">
        <v>20</v>
      </c>
      <c r="D1243" t="s">
        <v>88</v>
      </c>
      <c r="E1243">
        <v>71</v>
      </c>
      <c r="F1243" t="s">
        <v>2568</v>
      </c>
      <c r="G1243">
        <v>649</v>
      </c>
      <c r="H1243">
        <v>1</v>
      </c>
      <c r="I1243" t="s">
        <v>90</v>
      </c>
      <c r="J1243">
        <v>0</v>
      </c>
      <c r="K1243">
        <v>2</v>
      </c>
      <c r="L1243">
        <v>5</v>
      </c>
      <c r="BG1243">
        <v>229</v>
      </c>
      <c r="BI1243" t="s">
        <v>365</v>
      </c>
      <c r="BJ1243">
        <v>0</v>
      </c>
      <c r="BL1243" t="s">
        <v>2615</v>
      </c>
      <c r="BM1243" s="4">
        <v>43283.817361111112</v>
      </c>
      <c r="BN1243" s="4">
        <v>43283.819398148145</v>
      </c>
      <c r="BO1243" s="4">
        <v>43283.819398148145</v>
      </c>
      <c r="BP1243" t="s">
        <v>92</v>
      </c>
      <c r="BQ1243" t="s">
        <v>93</v>
      </c>
      <c r="BR1243" t="s">
        <v>94</v>
      </c>
    </row>
    <row r="1244" spans="1:70" x14ac:dyDescent="0.3">
      <c r="A1244" t="str">
        <f>"200649E0100"</f>
        <v>200649E0100</v>
      </c>
      <c r="B1244" s="2" t="s">
        <v>2616</v>
      </c>
      <c r="C1244">
        <v>20</v>
      </c>
      <c r="D1244" t="s">
        <v>88</v>
      </c>
      <c r="E1244">
        <v>71</v>
      </c>
      <c r="F1244" t="s">
        <v>2568</v>
      </c>
      <c r="G1244">
        <v>649</v>
      </c>
      <c r="H1244">
        <v>1</v>
      </c>
      <c r="I1244" t="s">
        <v>156</v>
      </c>
      <c r="J1244">
        <v>0</v>
      </c>
      <c r="K1244">
        <v>2</v>
      </c>
      <c r="L1244">
        <v>5</v>
      </c>
      <c r="M1244">
        <v>190</v>
      </c>
      <c r="N1244">
        <v>445</v>
      </c>
      <c r="O1244">
        <v>0</v>
      </c>
      <c r="P1244">
        <v>445</v>
      </c>
      <c r="Q1244">
        <v>1</v>
      </c>
      <c r="R1244">
        <v>59</v>
      </c>
      <c r="S1244">
        <v>8</v>
      </c>
      <c r="T1244">
        <v>5</v>
      </c>
      <c r="U1244">
        <v>8</v>
      </c>
      <c r="V1244">
        <v>2</v>
      </c>
      <c r="W1244">
        <v>1</v>
      </c>
      <c r="X1244">
        <v>1</v>
      </c>
      <c r="Y1244">
        <v>107</v>
      </c>
      <c r="Z1244">
        <v>3</v>
      </c>
      <c r="AA1244">
        <v>35</v>
      </c>
      <c r="AB1244">
        <v>28</v>
      </c>
      <c r="AC1244">
        <v>0</v>
      </c>
      <c r="AD1244">
        <v>2</v>
      </c>
      <c r="AE1244">
        <v>0</v>
      </c>
      <c r="AF1244">
        <v>1</v>
      </c>
      <c r="AG1244">
        <v>0</v>
      </c>
      <c r="AH1244">
        <v>1</v>
      </c>
      <c r="AI1244">
        <v>0</v>
      </c>
      <c r="AJ1244">
        <v>0</v>
      </c>
      <c r="AK1244">
        <v>1</v>
      </c>
      <c r="AL1244">
        <v>0</v>
      </c>
      <c r="AM1244">
        <v>0</v>
      </c>
      <c r="AN1244">
        <v>1</v>
      </c>
      <c r="AZ1244">
        <v>137</v>
      </c>
      <c r="BC1244">
        <v>2</v>
      </c>
      <c r="BD1244">
        <v>42</v>
      </c>
      <c r="BE1244">
        <v>445</v>
      </c>
      <c r="BF1244">
        <v>445</v>
      </c>
      <c r="BG1244">
        <v>612</v>
      </c>
      <c r="BJ1244">
        <v>1</v>
      </c>
      <c r="BL1244" t="s">
        <v>2617</v>
      </c>
      <c r="BM1244" s="4">
        <v>43283.484722222223</v>
      </c>
      <c r="BN1244" s="4">
        <v>43283.489618055559</v>
      </c>
      <c r="BO1244" s="4">
        <v>43283.489618055559</v>
      </c>
      <c r="BP1244" t="s">
        <v>92</v>
      </c>
      <c r="BQ1244" t="s">
        <v>93</v>
      </c>
      <c r="BR1244" t="s">
        <v>94</v>
      </c>
    </row>
    <row r="1245" spans="1:70" x14ac:dyDescent="0.3">
      <c r="A1245" t="str">
        <f>"200650B0100"</f>
        <v>200650B0100</v>
      </c>
      <c r="B1245" t="s">
        <v>2618</v>
      </c>
      <c r="C1245">
        <v>20</v>
      </c>
      <c r="D1245" t="s">
        <v>88</v>
      </c>
      <c r="E1245">
        <v>71</v>
      </c>
      <c r="F1245" t="s">
        <v>2568</v>
      </c>
      <c r="G1245">
        <v>650</v>
      </c>
      <c r="H1245">
        <v>1</v>
      </c>
      <c r="I1245" t="s">
        <v>90</v>
      </c>
      <c r="J1245">
        <v>0</v>
      </c>
      <c r="K1245">
        <v>2</v>
      </c>
      <c r="L1245">
        <v>5</v>
      </c>
      <c r="M1245">
        <v>133</v>
      </c>
      <c r="N1245">
        <v>349</v>
      </c>
      <c r="O1245">
        <v>0</v>
      </c>
      <c r="P1245">
        <v>349</v>
      </c>
      <c r="Q1245">
        <v>1</v>
      </c>
      <c r="R1245">
        <v>59</v>
      </c>
      <c r="S1245">
        <v>5</v>
      </c>
      <c r="T1245">
        <v>0</v>
      </c>
      <c r="U1245">
        <v>9</v>
      </c>
      <c r="V1245">
        <v>1</v>
      </c>
      <c r="W1245">
        <v>1</v>
      </c>
      <c r="X1245">
        <v>4</v>
      </c>
      <c r="Y1245">
        <v>175</v>
      </c>
      <c r="Z1245">
        <v>6</v>
      </c>
      <c r="AA1245">
        <v>8</v>
      </c>
      <c r="AB1245">
        <v>4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1</v>
      </c>
      <c r="AL1245">
        <v>0</v>
      </c>
      <c r="AM1245">
        <v>0</v>
      </c>
      <c r="AN1245">
        <v>2</v>
      </c>
      <c r="AZ1245">
        <v>61</v>
      </c>
      <c r="BC1245">
        <v>0</v>
      </c>
      <c r="BD1245">
        <v>12</v>
      </c>
      <c r="BE1245">
        <v>349</v>
      </c>
      <c r="BF1245">
        <v>349</v>
      </c>
      <c r="BG1245">
        <v>459</v>
      </c>
      <c r="BJ1245">
        <v>1</v>
      </c>
      <c r="BL1245" t="s">
        <v>2619</v>
      </c>
      <c r="BM1245" s="4">
        <v>43283.484722222223</v>
      </c>
      <c r="BN1245" s="4">
        <v>43283.494363425925</v>
      </c>
      <c r="BO1245" s="4">
        <v>43283.494363425925</v>
      </c>
      <c r="BP1245" t="s">
        <v>92</v>
      </c>
      <c r="BQ1245" t="s">
        <v>93</v>
      </c>
      <c r="BR1245" t="s">
        <v>94</v>
      </c>
    </row>
    <row r="1246" spans="1:70" x14ac:dyDescent="0.3">
      <c r="A1246" t="str">
        <f>"200650C0100"</f>
        <v>200650C0100</v>
      </c>
      <c r="B1246" t="s">
        <v>2620</v>
      </c>
      <c r="C1246">
        <v>20</v>
      </c>
      <c r="D1246" t="s">
        <v>88</v>
      </c>
      <c r="E1246">
        <v>71</v>
      </c>
      <c r="F1246" t="s">
        <v>2568</v>
      </c>
      <c r="G1246">
        <v>650</v>
      </c>
      <c r="H1246">
        <v>1</v>
      </c>
      <c r="I1246" t="s">
        <v>98</v>
      </c>
      <c r="J1246">
        <v>0</v>
      </c>
      <c r="K1246">
        <v>2</v>
      </c>
      <c r="L1246">
        <v>5</v>
      </c>
      <c r="M1246">
        <v>121</v>
      </c>
      <c r="N1246">
        <v>361</v>
      </c>
      <c r="O1246">
        <v>1</v>
      </c>
      <c r="P1246">
        <v>361</v>
      </c>
      <c r="Q1246">
        <v>1</v>
      </c>
      <c r="R1246">
        <v>66</v>
      </c>
      <c r="S1246">
        <v>6</v>
      </c>
      <c r="T1246">
        <v>2</v>
      </c>
      <c r="U1246">
        <v>5</v>
      </c>
      <c r="V1246">
        <v>1</v>
      </c>
      <c r="W1246">
        <v>0</v>
      </c>
      <c r="X1246">
        <v>3</v>
      </c>
      <c r="Y1246">
        <v>160</v>
      </c>
      <c r="Z1246">
        <v>6</v>
      </c>
      <c r="AA1246">
        <v>18</v>
      </c>
      <c r="AB1246">
        <v>6</v>
      </c>
      <c r="AC1246">
        <v>0</v>
      </c>
      <c r="AD1246">
        <v>0</v>
      </c>
      <c r="AE1246">
        <v>0</v>
      </c>
      <c r="AF1246">
        <v>0</v>
      </c>
      <c r="AG1246">
        <v>1</v>
      </c>
      <c r="AH1246">
        <v>2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Z1246">
        <v>66</v>
      </c>
      <c r="BC1246">
        <v>0</v>
      </c>
      <c r="BD1246">
        <v>18</v>
      </c>
      <c r="BE1246">
        <v>361</v>
      </c>
      <c r="BF1246">
        <v>361</v>
      </c>
      <c r="BG1246">
        <v>459</v>
      </c>
      <c r="BJ1246">
        <v>1</v>
      </c>
      <c r="BL1246" t="s">
        <v>2621</v>
      </c>
      <c r="BM1246" s="4">
        <v>43283.486111111109</v>
      </c>
      <c r="BN1246" s="4">
        <v>43283.490868055553</v>
      </c>
      <c r="BO1246" s="4">
        <v>43283.490868055553</v>
      </c>
      <c r="BP1246" t="s">
        <v>92</v>
      </c>
      <c r="BQ1246" t="s">
        <v>93</v>
      </c>
      <c r="BR1246" t="s">
        <v>94</v>
      </c>
    </row>
    <row r="1247" spans="1:70" x14ac:dyDescent="0.3">
      <c r="A1247" t="str">
        <f>"200651B0100"</f>
        <v>200651B0100</v>
      </c>
      <c r="B1247" t="s">
        <v>2622</v>
      </c>
      <c r="C1247">
        <v>20</v>
      </c>
      <c r="D1247" t="s">
        <v>88</v>
      </c>
      <c r="E1247">
        <v>71</v>
      </c>
      <c r="F1247" t="s">
        <v>2568</v>
      </c>
      <c r="G1247">
        <v>651</v>
      </c>
      <c r="H1247">
        <v>1</v>
      </c>
      <c r="I1247" t="s">
        <v>90</v>
      </c>
      <c r="J1247">
        <v>0</v>
      </c>
      <c r="K1247">
        <v>2</v>
      </c>
      <c r="L1247">
        <v>5</v>
      </c>
      <c r="M1247">
        <v>113</v>
      </c>
      <c r="N1247">
        <v>295</v>
      </c>
      <c r="O1247">
        <v>0</v>
      </c>
      <c r="P1247">
        <v>295</v>
      </c>
      <c r="Q1247">
        <v>2</v>
      </c>
      <c r="R1247">
        <v>31</v>
      </c>
      <c r="S1247">
        <v>12</v>
      </c>
      <c r="T1247">
        <v>6</v>
      </c>
      <c r="U1247">
        <v>6</v>
      </c>
      <c r="V1247">
        <v>2</v>
      </c>
      <c r="W1247">
        <v>6</v>
      </c>
      <c r="X1247">
        <v>4</v>
      </c>
      <c r="Y1247">
        <v>89</v>
      </c>
      <c r="Z1247">
        <v>1</v>
      </c>
      <c r="AA1247">
        <v>41</v>
      </c>
      <c r="AB1247">
        <v>26</v>
      </c>
      <c r="AC1247">
        <v>0</v>
      </c>
      <c r="AD1247">
        <v>0</v>
      </c>
      <c r="AE1247">
        <v>0</v>
      </c>
      <c r="AF1247">
        <v>1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Z1247">
        <v>47</v>
      </c>
      <c r="BC1247">
        <v>0</v>
      </c>
      <c r="BD1247">
        <v>21</v>
      </c>
      <c r="BE1247">
        <v>295</v>
      </c>
      <c r="BF1247">
        <v>295</v>
      </c>
      <c r="BG1247">
        <v>385</v>
      </c>
      <c r="BJ1247">
        <v>1</v>
      </c>
      <c r="BL1247" t="s">
        <v>2623</v>
      </c>
      <c r="BM1247" s="4">
        <v>43283.48541666667</v>
      </c>
      <c r="BN1247" s="4">
        <v>43283.492280092592</v>
      </c>
      <c r="BO1247" s="4">
        <v>43283.492280092592</v>
      </c>
      <c r="BP1247" t="s">
        <v>92</v>
      </c>
      <c r="BQ1247" t="s">
        <v>93</v>
      </c>
      <c r="BR1247" t="s">
        <v>94</v>
      </c>
    </row>
    <row r="1248" spans="1:70" x14ac:dyDescent="0.3">
      <c r="A1248" t="str">
        <f>"200652B0100"</f>
        <v>200652B0100</v>
      </c>
      <c r="B1248" t="s">
        <v>2624</v>
      </c>
      <c r="C1248">
        <v>20</v>
      </c>
      <c r="D1248" t="s">
        <v>88</v>
      </c>
      <c r="E1248">
        <v>71</v>
      </c>
      <c r="F1248" t="s">
        <v>2568</v>
      </c>
      <c r="G1248">
        <v>652</v>
      </c>
      <c r="H1248">
        <v>1</v>
      </c>
      <c r="I1248" t="s">
        <v>90</v>
      </c>
      <c r="J1248">
        <v>0</v>
      </c>
      <c r="K1248">
        <v>2</v>
      </c>
      <c r="L1248">
        <v>5</v>
      </c>
      <c r="BG1248">
        <v>592</v>
      </c>
      <c r="BI1248" t="s">
        <v>365</v>
      </c>
      <c r="BJ1248">
        <v>0</v>
      </c>
      <c r="BL1248" t="s">
        <v>2625</v>
      </c>
      <c r="BM1248" s="4">
        <v>43283.817361111112</v>
      </c>
      <c r="BN1248" s="4">
        <v>43283.819108796299</v>
      </c>
      <c r="BO1248" s="4">
        <v>43283.819108796299</v>
      </c>
      <c r="BP1248" t="s">
        <v>92</v>
      </c>
      <c r="BQ1248" t="s">
        <v>93</v>
      </c>
      <c r="BR1248" t="s">
        <v>94</v>
      </c>
    </row>
    <row r="1249" spans="1:70" x14ac:dyDescent="0.3">
      <c r="A1249" t="str">
        <f>"200653B0100"</f>
        <v>200653B0100</v>
      </c>
      <c r="B1249" t="s">
        <v>2626</v>
      </c>
      <c r="C1249">
        <v>20</v>
      </c>
      <c r="D1249" t="s">
        <v>88</v>
      </c>
      <c r="E1249">
        <v>71</v>
      </c>
      <c r="F1249" t="s">
        <v>2568</v>
      </c>
      <c r="G1249">
        <v>653</v>
      </c>
      <c r="H1249">
        <v>1</v>
      </c>
      <c r="I1249" t="s">
        <v>90</v>
      </c>
      <c r="J1249">
        <v>0</v>
      </c>
      <c r="K1249">
        <v>2</v>
      </c>
      <c r="L1249">
        <v>5</v>
      </c>
      <c r="M1249">
        <v>186</v>
      </c>
      <c r="N1249">
        <v>414</v>
      </c>
      <c r="O1249">
        <v>3</v>
      </c>
      <c r="P1249">
        <v>414</v>
      </c>
      <c r="Q1249">
        <v>0</v>
      </c>
      <c r="R1249">
        <v>1</v>
      </c>
      <c r="S1249">
        <v>0</v>
      </c>
      <c r="T1249">
        <v>0</v>
      </c>
      <c r="U1249">
        <v>4</v>
      </c>
      <c r="V1249">
        <v>0</v>
      </c>
      <c r="W1249">
        <v>6</v>
      </c>
      <c r="X1249">
        <v>0</v>
      </c>
      <c r="Y1249">
        <v>380</v>
      </c>
      <c r="Z1249">
        <v>3</v>
      </c>
      <c r="AA1249">
        <v>3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3</v>
      </c>
      <c r="AL1249">
        <v>0</v>
      </c>
      <c r="AM1249">
        <v>0</v>
      </c>
      <c r="AN1249">
        <v>0</v>
      </c>
      <c r="AZ1249">
        <v>6</v>
      </c>
      <c r="BC1249">
        <v>0</v>
      </c>
      <c r="BD1249">
        <v>8</v>
      </c>
      <c r="BE1249">
        <v>414</v>
      </c>
      <c r="BF1249">
        <v>414</v>
      </c>
      <c r="BG1249">
        <v>577</v>
      </c>
      <c r="BJ1249">
        <v>1</v>
      </c>
      <c r="BL1249" t="s">
        <v>2627</v>
      </c>
      <c r="BM1249" s="4">
        <v>43283.276388888888</v>
      </c>
      <c r="BN1249" s="4">
        <v>43283.306666666664</v>
      </c>
      <c r="BO1249" s="4">
        <v>43283.306666666664</v>
      </c>
      <c r="BP1249" t="s">
        <v>92</v>
      </c>
      <c r="BQ1249" t="s">
        <v>93</v>
      </c>
      <c r="BR1249" t="s">
        <v>94</v>
      </c>
    </row>
    <row r="1250" spans="1:70" x14ac:dyDescent="0.3">
      <c r="A1250" t="str">
        <f>"200654B0100"</f>
        <v>200654B0100</v>
      </c>
      <c r="B1250" t="s">
        <v>2628</v>
      </c>
      <c r="C1250">
        <v>20</v>
      </c>
      <c r="D1250" t="s">
        <v>88</v>
      </c>
      <c r="E1250">
        <v>71</v>
      </c>
      <c r="F1250" t="s">
        <v>2568</v>
      </c>
      <c r="G1250">
        <v>654</v>
      </c>
      <c r="H1250">
        <v>1</v>
      </c>
      <c r="I1250" t="s">
        <v>90</v>
      </c>
      <c r="J1250">
        <v>0</v>
      </c>
      <c r="K1250">
        <v>2</v>
      </c>
      <c r="L1250">
        <v>5</v>
      </c>
      <c r="M1250">
        <v>201</v>
      </c>
      <c r="N1250">
        <v>349</v>
      </c>
      <c r="O1250">
        <v>1</v>
      </c>
      <c r="P1250">
        <v>349</v>
      </c>
      <c r="Q1250">
        <v>0</v>
      </c>
      <c r="R1250">
        <v>35</v>
      </c>
      <c r="S1250">
        <v>7</v>
      </c>
      <c r="T1250">
        <v>0</v>
      </c>
      <c r="U1250">
        <v>3</v>
      </c>
      <c r="V1250">
        <v>0</v>
      </c>
      <c r="W1250">
        <v>1</v>
      </c>
      <c r="X1250">
        <v>1</v>
      </c>
      <c r="Y1250">
        <v>132</v>
      </c>
      <c r="Z1250">
        <v>1</v>
      </c>
      <c r="AA1250">
        <v>10</v>
      </c>
      <c r="AB1250">
        <v>3</v>
      </c>
      <c r="AC1250">
        <v>0</v>
      </c>
      <c r="AD1250">
        <v>0</v>
      </c>
      <c r="AE1250">
        <v>0</v>
      </c>
      <c r="AF1250">
        <v>0</v>
      </c>
      <c r="AG1250">
        <v>2</v>
      </c>
      <c r="AH1250">
        <v>0</v>
      </c>
      <c r="AI1250">
        <v>0</v>
      </c>
      <c r="AJ1250">
        <v>0</v>
      </c>
      <c r="AK1250">
        <v>0</v>
      </c>
      <c r="AL1250">
        <v>1</v>
      </c>
      <c r="AM1250">
        <v>0</v>
      </c>
      <c r="AN1250">
        <v>0</v>
      </c>
      <c r="AZ1250">
        <v>137</v>
      </c>
      <c r="BC1250">
        <v>0</v>
      </c>
      <c r="BD1250">
        <v>16</v>
      </c>
      <c r="BE1250">
        <v>349</v>
      </c>
      <c r="BF1250">
        <v>349</v>
      </c>
      <c r="BG1250">
        <v>527</v>
      </c>
      <c r="BJ1250">
        <v>1</v>
      </c>
      <c r="BL1250" t="s">
        <v>2629</v>
      </c>
      <c r="BM1250" s="4">
        <v>43283.275694444441</v>
      </c>
      <c r="BN1250" s="4">
        <v>43283.30678240741</v>
      </c>
      <c r="BO1250" s="4">
        <v>43283.30678240741</v>
      </c>
      <c r="BP1250" t="s">
        <v>92</v>
      </c>
      <c r="BQ1250" t="s">
        <v>93</v>
      </c>
      <c r="BR1250" t="s">
        <v>94</v>
      </c>
    </row>
    <row r="1251" spans="1:70" x14ac:dyDescent="0.3">
      <c r="A1251" t="str">
        <f>"200654E0100"</f>
        <v>200654E0100</v>
      </c>
      <c r="B1251" s="2" t="s">
        <v>2630</v>
      </c>
      <c r="C1251">
        <v>20</v>
      </c>
      <c r="D1251" t="s">
        <v>88</v>
      </c>
      <c r="E1251">
        <v>71</v>
      </c>
      <c r="F1251" t="s">
        <v>2568</v>
      </c>
      <c r="G1251">
        <v>654</v>
      </c>
      <c r="H1251">
        <v>1</v>
      </c>
      <c r="I1251" t="s">
        <v>156</v>
      </c>
      <c r="J1251">
        <v>0</v>
      </c>
      <c r="K1251">
        <v>2</v>
      </c>
      <c r="L1251">
        <v>5</v>
      </c>
      <c r="M1251">
        <v>258</v>
      </c>
      <c r="N1251">
        <v>476</v>
      </c>
      <c r="O1251">
        <v>2</v>
      </c>
      <c r="P1251">
        <v>476</v>
      </c>
      <c r="Q1251">
        <v>1</v>
      </c>
      <c r="R1251">
        <v>20</v>
      </c>
      <c r="S1251">
        <v>19</v>
      </c>
      <c r="T1251">
        <v>2</v>
      </c>
      <c r="U1251">
        <v>10</v>
      </c>
      <c r="V1251">
        <v>1</v>
      </c>
      <c r="W1251">
        <v>4</v>
      </c>
      <c r="X1251">
        <v>2</v>
      </c>
      <c r="Y1251">
        <v>72</v>
      </c>
      <c r="Z1251">
        <v>1</v>
      </c>
      <c r="AA1251">
        <v>3</v>
      </c>
      <c r="AB1251">
        <v>18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1</v>
      </c>
      <c r="AI1251">
        <v>0</v>
      </c>
      <c r="AJ1251">
        <v>0</v>
      </c>
      <c r="AK1251">
        <v>1</v>
      </c>
      <c r="AL1251">
        <v>2</v>
      </c>
      <c r="AM1251">
        <v>0</v>
      </c>
      <c r="AN1251">
        <v>1</v>
      </c>
      <c r="AZ1251">
        <v>296</v>
      </c>
      <c r="BC1251">
        <v>0</v>
      </c>
      <c r="BD1251">
        <v>22</v>
      </c>
      <c r="BE1251">
        <v>476</v>
      </c>
      <c r="BF1251">
        <v>476</v>
      </c>
      <c r="BG1251">
        <v>711</v>
      </c>
      <c r="BJ1251">
        <v>1</v>
      </c>
      <c r="BL1251" t="s">
        <v>2631</v>
      </c>
      <c r="BM1251" s="4">
        <v>43283.275694444441</v>
      </c>
      <c r="BN1251" s="4">
        <v>43283.303483796299</v>
      </c>
      <c r="BO1251" s="4">
        <v>43283.303483796299</v>
      </c>
      <c r="BP1251" t="s">
        <v>92</v>
      </c>
      <c r="BQ1251" t="s">
        <v>93</v>
      </c>
      <c r="BR1251" t="s">
        <v>94</v>
      </c>
    </row>
    <row r="1252" spans="1:70" x14ac:dyDescent="0.3">
      <c r="A1252" t="str">
        <f>"200655B0100"</f>
        <v>200655B0100</v>
      </c>
      <c r="B1252" t="s">
        <v>2632</v>
      </c>
      <c r="C1252">
        <v>20</v>
      </c>
      <c r="D1252" t="s">
        <v>88</v>
      </c>
      <c r="E1252">
        <v>71</v>
      </c>
      <c r="F1252" t="s">
        <v>2568</v>
      </c>
      <c r="G1252">
        <v>655</v>
      </c>
      <c r="H1252">
        <v>1</v>
      </c>
      <c r="I1252" t="s">
        <v>90</v>
      </c>
      <c r="J1252">
        <v>0</v>
      </c>
      <c r="K1252">
        <v>2</v>
      </c>
      <c r="L1252">
        <v>5</v>
      </c>
      <c r="M1252" t="s">
        <v>105</v>
      </c>
      <c r="N1252" t="s">
        <v>105</v>
      </c>
      <c r="O1252" t="s">
        <v>105</v>
      </c>
      <c r="P1252" t="s">
        <v>105</v>
      </c>
      <c r="Q1252">
        <v>0</v>
      </c>
      <c r="R1252">
        <v>24</v>
      </c>
      <c r="S1252">
        <v>17</v>
      </c>
      <c r="T1252">
        <v>3</v>
      </c>
      <c r="U1252">
        <v>17</v>
      </c>
      <c r="V1252">
        <v>2</v>
      </c>
      <c r="W1252">
        <v>2</v>
      </c>
      <c r="X1252">
        <v>2</v>
      </c>
      <c r="Y1252">
        <v>62</v>
      </c>
      <c r="Z1252">
        <v>5</v>
      </c>
      <c r="AA1252">
        <v>26</v>
      </c>
      <c r="AB1252">
        <v>22</v>
      </c>
      <c r="AC1252">
        <v>0</v>
      </c>
      <c r="AD1252">
        <v>0</v>
      </c>
      <c r="AE1252">
        <v>0</v>
      </c>
      <c r="AF1252">
        <v>1</v>
      </c>
      <c r="AG1252">
        <v>4</v>
      </c>
      <c r="AH1252">
        <v>2</v>
      </c>
      <c r="AI1252">
        <v>0</v>
      </c>
      <c r="AJ1252">
        <v>3</v>
      </c>
      <c r="AK1252">
        <v>3</v>
      </c>
      <c r="AL1252">
        <v>1</v>
      </c>
      <c r="AM1252">
        <v>0</v>
      </c>
      <c r="AN1252">
        <v>0</v>
      </c>
      <c r="AZ1252">
        <v>188</v>
      </c>
      <c r="BC1252" t="s">
        <v>105</v>
      </c>
      <c r="BD1252" t="s">
        <v>105</v>
      </c>
      <c r="BE1252" t="s">
        <v>105</v>
      </c>
      <c r="BF1252">
        <v>384</v>
      </c>
      <c r="BG1252">
        <v>644</v>
      </c>
      <c r="BI1252" t="s">
        <v>106</v>
      </c>
      <c r="BJ1252">
        <v>1</v>
      </c>
      <c r="BL1252" t="s">
        <v>2633</v>
      </c>
      <c r="BM1252" s="4">
        <v>43283.290972222225</v>
      </c>
      <c r="BN1252" s="4">
        <v>43283.318194444444</v>
      </c>
      <c r="BO1252" s="4">
        <v>43283.318194444444</v>
      </c>
      <c r="BP1252" t="s">
        <v>92</v>
      </c>
      <c r="BQ1252" t="s">
        <v>93</v>
      </c>
      <c r="BR1252" t="s">
        <v>94</v>
      </c>
    </row>
    <row r="1253" spans="1:70" x14ac:dyDescent="0.3">
      <c r="A1253" t="str">
        <f>"200655C0100"</f>
        <v>200655C0100</v>
      </c>
      <c r="B1253" t="s">
        <v>2634</v>
      </c>
      <c r="C1253">
        <v>20</v>
      </c>
      <c r="D1253" t="s">
        <v>88</v>
      </c>
      <c r="E1253">
        <v>71</v>
      </c>
      <c r="F1253" t="s">
        <v>2568</v>
      </c>
      <c r="G1253">
        <v>655</v>
      </c>
      <c r="H1253">
        <v>1</v>
      </c>
      <c r="I1253" t="s">
        <v>98</v>
      </c>
      <c r="J1253">
        <v>0</v>
      </c>
      <c r="K1253">
        <v>2</v>
      </c>
      <c r="L1253">
        <v>5</v>
      </c>
      <c r="M1253">
        <v>262</v>
      </c>
      <c r="N1253">
        <v>406</v>
      </c>
      <c r="O1253">
        <v>0</v>
      </c>
      <c r="P1253">
        <v>406</v>
      </c>
      <c r="Q1253">
        <v>3</v>
      </c>
      <c r="R1253">
        <v>16</v>
      </c>
      <c r="S1253">
        <v>16</v>
      </c>
      <c r="T1253">
        <v>2</v>
      </c>
      <c r="U1253">
        <v>6</v>
      </c>
      <c r="V1253">
        <v>1</v>
      </c>
      <c r="W1253">
        <v>3</v>
      </c>
      <c r="X1253">
        <v>1</v>
      </c>
      <c r="Y1253">
        <v>72</v>
      </c>
      <c r="Z1253">
        <v>0</v>
      </c>
      <c r="AA1253">
        <v>33</v>
      </c>
      <c r="AB1253">
        <v>20</v>
      </c>
      <c r="AC1253">
        <v>0</v>
      </c>
      <c r="AD1253">
        <v>0</v>
      </c>
      <c r="AE1253">
        <v>0</v>
      </c>
      <c r="AF1253">
        <v>0</v>
      </c>
      <c r="AG1253">
        <v>3</v>
      </c>
      <c r="AH1253">
        <v>0</v>
      </c>
      <c r="AI1253">
        <v>0</v>
      </c>
      <c r="AJ1253">
        <v>2</v>
      </c>
      <c r="AK1253">
        <v>1</v>
      </c>
      <c r="AL1253">
        <v>1</v>
      </c>
      <c r="AM1253">
        <v>0</v>
      </c>
      <c r="AN1253">
        <v>0</v>
      </c>
      <c r="AZ1253">
        <v>200</v>
      </c>
      <c r="BC1253">
        <v>0</v>
      </c>
      <c r="BD1253">
        <v>27</v>
      </c>
      <c r="BE1253">
        <v>406</v>
      </c>
      <c r="BF1253">
        <v>407</v>
      </c>
      <c r="BG1253">
        <v>644</v>
      </c>
      <c r="BJ1253">
        <v>1</v>
      </c>
      <c r="BL1253" t="s">
        <v>2635</v>
      </c>
      <c r="BM1253" s="4">
        <v>43283.273611111108</v>
      </c>
      <c r="BN1253" s="4">
        <v>43283.302060185182</v>
      </c>
      <c r="BO1253" s="4">
        <v>43283.302060185182</v>
      </c>
      <c r="BP1253" t="s">
        <v>92</v>
      </c>
      <c r="BQ1253" t="s">
        <v>93</v>
      </c>
      <c r="BR1253" t="s">
        <v>94</v>
      </c>
    </row>
    <row r="1254" spans="1:70" x14ac:dyDescent="0.3">
      <c r="A1254" t="str">
        <f>"200656B0100"</f>
        <v>200656B0100</v>
      </c>
      <c r="B1254" t="s">
        <v>2636</v>
      </c>
      <c r="C1254">
        <v>20</v>
      </c>
      <c r="D1254" t="s">
        <v>88</v>
      </c>
      <c r="E1254">
        <v>71</v>
      </c>
      <c r="F1254" t="s">
        <v>2568</v>
      </c>
      <c r="G1254">
        <v>656</v>
      </c>
      <c r="H1254">
        <v>1</v>
      </c>
      <c r="I1254" t="s">
        <v>90</v>
      </c>
      <c r="J1254">
        <v>0</v>
      </c>
      <c r="K1254">
        <v>2</v>
      </c>
      <c r="L1254">
        <v>5</v>
      </c>
      <c r="M1254">
        <v>185</v>
      </c>
      <c r="N1254">
        <v>429</v>
      </c>
      <c r="O1254">
        <v>0</v>
      </c>
      <c r="P1254">
        <v>429</v>
      </c>
      <c r="Q1254">
        <v>2</v>
      </c>
      <c r="R1254">
        <v>14</v>
      </c>
      <c r="S1254">
        <v>6</v>
      </c>
      <c r="T1254">
        <v>5</v>
      </c>
      <c r="U1254">
        <v>10</v>
      </c>
      <c r="V1254">
        <v>1</v>
      </c>
      <c r="W1254">
        <v>1</v>
      </c>
      <c r="X1254">
        <v>1</v>
      </c>
      <c r="Y1254">
        <v>196</v>
      </c>
      <c r="Z1254">
        <v>1</v>
      </c>
      <c r="AA1254">
        <v>47</v>
      </c>
      <c r="AB1254">
        <v>51</v>
      </c>
      <c r="AC1254" t="s">
        <v>105</v>
      </c>
      <c r="AD1254" t="s">
        <v>105</v>
      </c>
      <c r="AE1254" t="s">
        <v>105</v>
      </c>
      <c r="AF1254" t="s">
        <v>105</v>
      </c>
      <c r="AG1254" t="s">
        <v>105</v>
      </c>
      <c r="AH1254">
        <v>2</v>
      </c>
      <c r="AI1254" t="s">
        <v>105</v>
      </c>
      <c r="AJ1254" t="s">
        <v>105</v>
      </c>
      <c r="AK1254">
        <v>4</v>
      </c>
      <c r="AL1254">
        <v>3</v>
      </c>
      <c r="AM1254" t="s">
        <v>105</v>
      </c>
      <c r="AN1254" t="s">
        <v>105</v>
      </c>
      <c r="AZ1254">
        <v>48</v>
      </c>
      <c r="BC1254" t="s">
        <v>105</v>
      </c>
      <c r="BD1254">
        <v>37</v>
      </c>
      <c r="BE1254" t="s">
        <v>105</v>
      </c>
      <c r="BF1254">
        <v>429</v>
      </c>
      <c r="BG1254">
        <v>591</v>
      </c>
      <c r="BI1254" t="s">
        <v>106</v>
      </c>
      <c r="BJ1254">
        <v>1</v>
      </c>
      <c r="BL1254" t="s">
        <v>2637</v>
      </c>
      <c r="BM1254" s="4">
        <v>43283.277083333334</v>
      </c>
      <c r="BN1254" s="4">
        <v>43283.323634259257</v>
      </c>
      <c r="BO1254" s="4">
        <v>43283.323634259257</v>
      </c>
      <c r="BP1254" t="s">
        <v>92</v>
      </c>
      <c r="BQ1254" t="s">
        <v>93</v>
      </c>
      <c r="BR1254" t="s">
        <v>94</v>
      </c>
    </row>
    <row r="1255" spans="1:70" x14ac:dyDescent="0.3">
      <c r="A1255" t="str">
        <f>"200656C0100"</f>
        <v>200656C0100</v>
      </c>
      <c r="B1255" t="s">
        <v>2638</v>
      </c>
      <c r="C1255">
        <v>20</v>
      </c>
      <c r="D1255" t="s">
        <v>88</v>
      </c>
      <c r="E1255">
        <v>71</v>
      </c>
      <c r="F1255" t="s">
        <v>2568</v>
      </c>
      <c r="G1255">
        <v>656</v>
      </c>
      <c r="H1255">
        <v>1</v>
      </c>
      <c r="I1255" t="s">
        <v>98</v>
      </c>
      <c r="J1255">
        <v>0</v>
      </c>
      <c r="K1255">
        <v>2</v>
      </c>
      <c r="L1255">
        <v>5</v>
      </c>
      <c r="M1255">
        <v>229</v>
      </c>
      <c r="N1255">
        <v>384</v>
      </c>
      <c r="O1255">
        <v>0</v>
      </c>
      <c r="P1255">
        <v>384</v>
      </c>
      <c r="Q1255">
        <v>0</v>
      </c>
      <c r="R1255">
        <v>11</v>
      </c>
      <c r="S1255">
        <v>5</v>
      </c>
      <c r="T1255">
        <v>1</v>
      </c>
      <c r="U1255">
        <v>5</v>
      </c>
      <c r="V1255">
        <v>2</v>
      </c>
      <c r="W1255">
        <v>2</v>
      </c>
      <c r="X1255">
        <v>3</v>
      </c>
      <c r="Y1255">
        <v>136</v>
      </c>
      <c r="Z1255">
        <v>6</v>
      </c>
      <c r="AA1255">
        <v>64</v>
      </c>
      <c r="AB1255">
        <v>78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2</v>
      </c>
      <c r="AL1255">
        <v>0</v>
      </c>
      <c r="AM1255">
        <v>0</v>
      </c>
      <c r="AN1255">
        <v>1</v>
      </c>
      <c r="AZ1255">
        <v>33</v>
      </c>
      <c r="BC1255">
        <v>0</v>
      </c>
      <c r="BD1255">
        <v>28</v>
      </c>
      <c r="BE1255">
        <v>281</v>
      </c>
      <c r="BF1255">
        <v>377</v>
      </c>
      <c r="BG1255">
        <v>591</v>
      </c>
      <c r="BJ1255">
        <v>1</v>
      </c>
      <c r="BL1255" t="s">
        <v>2639</v>
      </c>
      <c r="BM1255" s="4">
        <v>43283.290277777778</v>
      </c>
      <c r="BN1255" s="4">
        <v>43283.336886574078</v>
      </c>
      <c r="BO1255" s="4">
        <v>43283.336886574078</v>
      </c>
      <c r="BP1255" t="s">
        <v>92</v>
      </c>
      <c r="BQ1255" t="s">
        <v>93</v>
      </c>
      <c r="BR1255" t="s">
        <v>94</v>
      </c>
    </row>
    <row r="1256" spans="1:70" x14ac:dyDescent="0.3">
      <c r="A1256" t="str">
        <f>"200657B0100"</f>
        <v>200657B0100</v>
      </c>
      <c r="B1256" t="s">
        <v>2640</v>
      </c>
      <c r="C1256">
        <v>20</v>
      </c>
      <c r="D1256" t="s">
        <v>88</v>
      </c>
      <c r="E1256">
        <v>71</v>
      </c>
      <c r="F1256" t="s">
        <v>2568</v>
      </c>
      <c r="G1256">
        <v>657</v>
      </c>
      <c r="H1256">
        <v>1</v>
      </c>
      <c r="I1256" t="s">
        <v>90</v>
      </c>
      <c r="J1256">
        <v>0</v>
      </c>
      <c r="K1256">
        <v>2</v>
      </c>
      <c r="L1256">
        <v>5</v>
      </c>
      <c r="M1256">
        <v>0</v>
      </c>
      <c r="N1256">
        <v>415</v>
      </c>
      <c r="O1256">
        <v>0</v>
      </c>
      <c r="P1256">
        <v>418</v>
      </c>
      <c r="Q1256">
        <v>0</v>
      </c>
      <c r="R1256">
        <v>46</v>
      </c>
      <c r="S1256">
        <v>13</v>
      </c>
      <c r="T1256">
        <v>0</v>
      </c>
      <c r="U1256">
        <v>0</v>
      </c>
      <c r="V1256">
        <v>0</v>
      </c>
      <c r="W1256">
        <v>3</v>
      </c>
      <c r="X1256">
        <v>0</v>
      </c>
      <c r="Y1256">
        <v>158</v>
      </c>
      <c r="Z1256">
        <v>0</v>
      </c>
      <c r="AA1256">
        <v>52</v>
      </c>
      <c r="AB1256">
        <v>25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Z1256">
        <v>85</v>
      </c>
      <c r="BC1256">
        <v>0</v>
      </c>
      <c r="BD1256">
        <v>32</v>
      </c>
      <c r="BE1256">
        <v>418</v>
      </c>
      <c r="BF1256">
        <v>414</v>
      </c>
      <c r="BG1256">
        <v>668</v>
      </c>
      <c r="BJ1256">
        <v>1</v>
      </c>
      <c r="BL1256" t="s">
        <v>2641</v>
      </c>
      <c r="BM1256" s="4">
        <v>43283.217361111114</v>
      </c>
      <c r="BN1256" s="4">
        <v>43283.246851851851</v>
      </c>
      <c r="BO1256" s="4">
        <v>43283.246851851851</v>
      </c>
      <c r="BP1256" t="s">
        <v>92</v>
      </c>
      <c r="BQ1256" t="s">
        <v>93</v>
      </c>
      <c r="BR1256" t="s">
        <v>94</v>
      </c>
    </row>
    <row r="1257" spans="1:70" x14ac:dyDescent="0.3">
      <c r="A1257" t="str">
        <f>"200657C0100"</f>
        <v>200657C0100</v>
      </c>
      <c r="B1257" t="s">
        <v>2642</v>
      </c>
      <c r="C1257">
        <v>20</v>
      </c>
      <c r="D1257" t="s">
        <v>88</v>
      </c>
      <c r="E1257">
        <v>71</v>
      </c>
      <c r="F1257" t="s">
        <v>2568</v>
      </c>
      <c r="G1257">
        <v>657</v>
      </c>
      <c r="H1257">
        <v>1</v>
      </c>
      <c r="I1257" t="s">
        <v>98</v>
      </c>
      <c r="J1257">
        <v>0</v>
      </c>
      <c r="K1257">
        <v>2</v>
      </c>
      <c r="L1257">
        <v>5</v>
      </c>
      <c r="BG1257">
        <v>668</v>
      </c>
      <c r="BI1257" t="s">
        <v>122</v>
      </c>
      <c r="BJ1257">
        <v>0</v>
      </c>
      <c r="BL1257" t="s">
        <v>2643</v>
      </c>
      <c r="BM1257" s="4">
        <v>43283.595138888886</v>
      </c>
      <c r="BN1257" s="4">
        <v>43283.597569444442</v>
      </c>
      <c r="BO1257" s="4">
        <v>43283.597569444442</v>
      </c>
      <c r="BP1257" t="s">
        <v>92</v>
      </c>
      <c r="BQ1257" t="s">
        <v>93</v>
      </c>
      <c r="BR1257" t="s">
        <v>94</v>
      </c>
    </row>
    <row r="1258" spans="1:70" x14ac:dyDescent="0.3">
      <c r="A1258" t="str">
        <f>"200658B0100"</f>
        <v>200658B0100</v>
      </c>
      <c r="B1258" t="s">
        <v>2644</v>
      </c>
      <c r="C1258">
        <v>20</v>
      </c>
      <c r="D1258" t="s">
        <v>88</v>
      </c>
      <c r="E1258">
        <v>71</v>
      </c>
      <c r="F1258" t="s">
        <v>2568</v>
      </c>
      <c r="G1258">
        <v>658</v>
      </c>
      <c r="H1258">
        <v>1</v>
      </c>
      <c r="I1258" t="s">
        <v>90</v>
      </c>
      <c r="J1258">
        <v>0</v>
      </c>
      <c r="K1258">
        <v>2</v>
      </c>
      <c r="L1258">
        <v>5</v>
      </c>
      <c r="M1258">
        <v>173</v>
      </c>
      <c r="N1258">
        <v>286</v>
      </c>
      <c r="O1258">
        <v>2</v>
      </c>
      <c r="P1258">
        <v>286</v>
      </c>
      <c r="Q1258">
        <v>0</v>
      </c>
      <c r="R1258">
        <v>16</v>
      </c>
      <c r="S1258">
        <v>16</v>
      </c>
      <c r="T1258">
        <v>3</v>
      </c>
      <c r="U1258">
        <v>3</v>
      </c>
      <c r="V1258">
        <v>2</v>
      </c>
      <c r="W1258">
        <v>6</v>
      </c>
      <c r="X1258">
        <v>1</v>
      </c>
      <c r="Y1258">
        <v>105</v>
      </c>
      <c r="Z1258">
        <v>2</v>
      </c>
      <c r="AA1258">
        <v>7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2</v>
      </c>
      <c r="AH1258">
        <v>0</v>
      </c>
      <c r="AI1258">
        <v>0</v>
      </c>
      <c r="AJ1258">
        <v>0</v>
      </c>
      <c r="AK1258">
        <v>1</v>
      </c>
      <c r="AL1258">
        <v>0</v>
      </c>
      <c r="AM1258">
        <v>0</v>
      </c>
      <c r="AN1258">
        <v>0</v>
      </c>
      <c r="AZ1258">
        <v>107</v>
      </c>
      <c r="BC1258">
        <v>0</v>
      </c>
      <c r="BD1258">
        <v>15</v>
      </c>
      <c r="BE1258">
        <v>286</v>
      </c>
      <c r="BF1258">
        <v>286</v>
      </c>
      <c r="BG1258">
        <v>436</v>
      </c>
      <c r="BJ1258">
        <v>1</v>
      </c>
      <c r="BL1258" t="s">
        <v>2645</v>
      </c>
      <c r="BM1258" s="4">
        <v>43283.276388888888</v>
      </c>
      <c r="BN1258" s="4">
        <v>43283.306192129632</v>
      </c>
      <c r="BO1258" s="4">
        <v>43283.306192129632</v>
      </c>
      <c r="BP1258" t="s">
        <v>92</v>
      </c>
      <c r="BQ1258" t="s">
        <v>93</v>
      </c>
      <c r="BR1258" t="s">
        <v>94</v>
      </c>
    </row>
    <row r="1259" spans="1:70" x14ac:dyDescent="0.3">
      <c r="A1259" t="str">
        <f>"200659B0100"</f>
        <v>200659B0100</v>
      </c>
      <c r="B1259" t="s">
        <v>2646</v>
      </c>
      <c r="C1259">
        <v>20</v>
      </c>
      <c r="D1259" t="s">
        <v>88</v>
      </c>
      <c r="E1259">
        <v>71</v>
      </c>
      <c r="F1259" t="s">
        <v>2568</v>
      </c>
      <c r="G1259">
        <v>659</v>
      </c>
      <c r="H1259">
        <v>1</v>
      </c>
      <c r="I1259" t="s">
        <v>90</v>
      </c>
      <c r="J1259">
        <v>0</v>
      </c>
      <c r="K1259">
        <v>2</v>
      </c>
      <c r="L1259">
        <v>5</v>
      </c>
      <c r="M1259">
        <v>144</v>
      </c>
      <c r="N1259">
        <v>339</v>
      </c>
      <c r="O1259">
        <v>0</v>
      </c>
      <c r="P1259">
        <v>339</v>
      </c>
      <c r="Q1259">
        <v>3</v>
      </c>
      <c r="R1259">
        <v>33</v>
      </c>
      <c r="S1259">
        <v>8</v>
      </c>
      <c r="T1259">
        <v>0</v>
      </c>
      <c r="U1259">
        <v>4</v>
      </c>
      <c r="V1259">
        <v>2</v>
      </c>
      <c r="W1259">
        <v>4</v>
      </c>
      <c r="X1259">
        <v>0</v>
      </c>
      <c r="Y1259">
        <v>129</v>
      </c>
      <c r="Z1259">
        <v>1</v>
      </c>
      <c r="AA1259">
        <v>33</v>
      </c>
      <c r="AB1259">
        <v>22</v>
      </c>
      <c r="AC1259">
        <v>0</v>
      </c>
      <c r="AD1259">
        <v>1</v>
      </c>
      <c r="AE1259">
        <v>0</v>
      </c>
      <c r="AF1259">
        <v>0</v>
      </c>
      <c r="AG1259">
        <v>1</v>
      </c>
      <c r="AH1259">
        <v>1</v>
      </c>
      <c r="AI1259">
        <v>0</v>
      </c>
      <c r="AJ1259">
        <v>0</v>
      </c>
      <c r="AK1259">
        <v>1</v>
      </c>
      <c r="AL1259">
        <v>0</v>
      </c>
      <c r="AM1259">
        <v>0</v>
      </c>
      <c r="AN1259">
        <v>0</v>
      </c>
      <c r="AZ1259">
        <v>84</v>
      </c>
      <c r="BC1259">
        <v>1</v>
      </c>
      <c r="BD1259">
        <v>11</v>
      </c>
      <c r="BE1259">
        <v>339</v>
      </c>
      <c r="BF1259">
        <v>339</v>
      </c>
      <c r="BG1259">
        <v>460</v>
      </c>
      <c r="BJ1259">
        <v>1</v>
      </c>
      <c r="BL1259" t="s">
        <v>2647</v>
      </c>
      <c r="BM1259" s="4">
        <v>43283.273611111108</v>
      </c>
      <c r="BN1259" s="4">
        <v>43283.303993055553</v>
      </c>
      <c r="BO1259" s="4">
        <v>43283.303993055553</v>
      </c>
      <c r="BP1259" t="s">
        <v>92</v>
      </c>
      <c r="BQ1259" t="s">
        <v>93</v>
      </c>
      <c r="BR1259" t="s">
        <v>94</v>
      </c>
    </row>
    <row r="1260" spans="1:70" x14ac:dyDescent="0.3">
      <c r="A1260" t="str">
        <f>"200659C0100"</f>
        <v>200659C0100</v>
      </c>
      <c r="B1260" t="s">
        <v>2648</v>
      </c>
      <c r="C1260">
        <v>20</v>
      </c>
      <c r="D1260" t="s">
        <v>88</v>
      </c>
      <c r="E1260">
        <v>71</v>
      </c>
      <c r="F1260" t="s">
        <v>2568</v>
      </c>
      <c r="G1260">
        <v>659</v>
      </c>
      <c r="H1260">
        <v>1</v>
      </c>
      <c r="I1260" t="s">
        <v>98</v>
      </c>
      <c r="J1260">
        <v>0</v>
      </c>
      <c r="K1260">
        <v>2</v>
      </c>
      <c r="L1260">
        <v>5</v>
      </c>
      <c r="M1260">
        <v>155</v>
      </c>
      <c r="N1260" t="s">
        <v>105</v>
      </c>
      <c r="O1260">
        <v>0</v>
      </c>
      <c r="P1260">
        <v>328</v>
      </c>
      <c r="Q1260">
        <v>2</v>
      </c>
      <c r="R1260">
        <v>44</v>
      </c>
      <c r="S1260">
        <v>8</v>
      </c>
      <c r="T1260">
        <v>2</v>
      </c>
      <c r="U1260">
        <v>8</v>
      </c>
      <c r="V1260">
        <v>2</v>
      </c>
      <c r="W1260">
        <v>2</v>
      </c>
      <c r="X1260">
        <v>0</v>
      </c>
      <c r="Y1260">
        <v>115</v>
      </c>
      <c r="Z1260">
        <v>0</v>
      </c>
      <c r="AA1260">
        <v>16</v>
      </c>
      <c r="AB1260">
        <v>13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2</v>
      </c>
      <c r="AI1260">
        <v>0</v>
      </c>
      <c r="AJ1260">
        <v>0</v>
      </c>
      <c r="AK1260">
        <v>2</v>
      </c>
      <c r="AL1260">
        <v>0</v>
      </c>
      <c r="AM1260">
        <v>0</v>
      </c>
      <c r="AN1260">
        <v>1</v>
      </c>
      <c r="AZ1260">
        <v>92</v>
      </c>
      <c r="BC1260">
        <v>0</v>
      </c>
      <c r="BD1260">
        <v>18</v>
      </c>
      <c r="BE1260">
        <v>328</v>
      </c>
      <c r="BF1260">
        <v>327</v>
      </c>
      <c r="BG1260">
        <v>460</v>
      </c>
      <c r="BJ1260">
        <v>1</v>
      </c>
      <c r="BL1260" t="s">
        <v>2649</v>
      </c>
      <c r="BM1260" s="4">
        <v>43283.273611111108</v>
      </c>
      <c r="BN1260" s="4">
        <v>43283.300763888888</v>
      </c>
      <c r="BO1260" s="4">
        <v>43283.300763888888</v>
      </c>
      <c r="BP1260" t="s">
        <v>92</v>
      </c>
      <c r="BQ1260" t="s">
        <v>93</v>
      </c>
      <c r="BR1260" t="s">
        <v>94</v>
      </c>
    </row>
    <row r="1261" spans="1:70" x14ac:dyDescent="0.3">
      <c r="A1261" t="str">
        <f>"200659E0100"</f>
        <v>200659E0100</v>
      </c>
      <c r="B1261" s="2" t="s">
        <v>2650</v>
      </c>
      <c r="C1261">
        <v>20</v>
      </c>
      <c r="D1261" t="s">
        <v>88</v>
      </c>
      <c r="E1261">
        <v>71</v>
      </c>
      <c r="F1261" t="s">
        <v>2568</v>
      </c>
      <c r="G1261">
        <v>659</v>
      </c>
      <c r="H1261">
        <v>1</v>
      </c>
      <c r="I1261" t="s">
        <v>156</v>
      </c>
      <c r="J1261">
        <v>0</v>
      </c>
      <c r="K1261">
        <v>2</v>
      </c>
      <c r="L1261">
        <v>5</v>
      </c>
      <c r="M1261">
        <v>217</v>
      </c>
      <c r="N1261">
        <v>574</v>
      </c>
      <c r="O1261">
        <v>14</v>
      </c>
      <c r="P1261">
        <v>357</v>
      </c>
      <c r="Q1261">
        <v>15</v>
      </c>
      <c r="R1261">
        <v>15</v>
      </c>
      <c r="S1261">
        <v>2</v>
      </c>
      <c r="T1261">
        <v>2</v>
      </c>
      <c r="U1261">
        <v>9</v>
      </c>
      <c r="V1261" t="s">
        <v>105</v>
      </c>
      <c r="W1261">
        <v>6</v>
      </c>
      <c r="X1261">
        <v>4</v>
      </c>
      <c r="Y1261">
        <v>114</v>
      </c>
      <c r="Z1261">
        <v>1</v>
      </c>
      <c r="AA1261">
        <v>12</v>
      </c>
      <c r="AB1261">
        <v>48</v>
      </c>
      <c r="AC1261">
        <v>30</v>
      </c>
      <c r="AD1261" t="s">
        <v>105</v>
      </c>
      <c r="AE1261" t="s">
        <v>105</v>
      </c>
      <c r="AF1261" t="s">
        <v>105</v>
      </c>
      <c r="AG1261" t="s">
        <v>105</v>
      </c>
      <c r="AH1261" t="s">
        <v>105</v>
      </c>
      <c r="AI1261" t="s">
        <v>105</v>
      </c>
      <c r="AJ1261" t="s">
        <v>105</v>
      </c>
      <c r="AK1261" t="s">
        <v>105</v>
      </c>
      <c r="AL1261" t="s">
        <v>105</v>
      </c>
      <c r="AM1261" t="s">
        <v>105</v>
      </c>
      <c r="AN1261" t="s">
        <v>105</v>
      </c>
      <c r="AZ1261">
        <v>102</v>
      </c>
      <c r="BC1261">
        <v>20</v>
      </c>
      <c r="BD1261" t="s">
        <v>105</v>
      </c>
      <c r="BE1261" t="s">
        <v>105</v>
      </c>
      <c r="BF1261">
        <v>380</v>
      </c>
      <c r="BG1261">
        <v>560</v>
      </c>
      <c r="BI1261" t="s">
        <v>106</v>
      </c>
      <c r="BJ1261">
        <v>1</v>
      </c>
      <c r="BL1261" t="s">
        <v>2651</v>
      </c>
      <c r="BM1261" s="4">
        <v>43283.291666666664</v>
      </c>
      <c r="BN1261" s="4">
        <v>43283.337581018517</v>
      </c>
      <c r="BO1261" s="4">
        <v>43283.337581018517</v>
      </c>
      <c r="BP1261" t="s">
        <v>92</v>
      </c>
      <c r="BQ1261" t="s">
        <v>93</v>
      </c>
      <c r="BR1261" t="s">
        <v>94</v>
      </c>
    </row>
    <row r="1262" spans="1:70" x14ac:dyDescent="0.3">
      <c r="A1262" t="str">
        <f>"200660B0100"</f>
        <v>200660B0100</v>
      </c>
      <c r="B1262" t="s">
        <v>2652</v>
      </c>
      <c r="C1262">
        <v>20</v>
      </c>
      <c r="D1262" t="s">
        <v>88</v>
      </c>
      <c r="E1262">
        <v>71</v>
      </c>
      <c r="F1262" t="s">
        <v>2568</v>
      </c>
      <c r="G1262">
        <v>660</v>
      </c>
      <c r="H1262">
        <v>1</v>
      </c>
      <c r="I1262" t="s">
        <v>90</v>
      </c>
      <c r="J1262">
        <v>0</v>
      </c>
      <c r="K1262">
        <v>2</v>
      </c>
      <c r="L1262">
        <v>5</v>
      </c>
      <c r="BG1262">
        <v>478</v>
      </c>
      <c r="BI1262" t="s">
        <v>365</v>
      </c>
      <c r="BJ1262">
        <v>0</v>
      </c>
      <c r="BL1262" t="s">
        <v>2653</v>
      </c>
      <c r="BM1262" s="4">
        <v>43283.817361111112</v>
      </c>
      <c r="BN1262" s="4">
        <v>43283.819305555553</v>
      </c>
      <c r="BO1262" s="4">
        <v>43283.819305555553</v>
      </c>
      <c r="BP1262" t="s">
        <v>92</v>
      </c>
      <c r="BQ1262" t="s">
        <v>93</v>
      </c>
      <c r="BR1262" t="s">
        <v>94</v>
      </c>
    </row>
    <row r="1263" spans="1:70" x14ac:dyDescent="0.3">
      <c r="A1263" t="str">
        <f>"200660C0100"</f>
        <v>200660C0100</v>
      </c>
      <c r="B1263" t="s">
        <v>2654</v>
      </c>
      <c r="C1263">
        <v>20</v>
      </c>
      <c r="D1263" t="s">
        <v>88</v>
      </c>
      <c r="E1263">
        <v>71</v>
      </c>
      <c r="F1263" t="s">
        <v>2568</v>
      </c>
      <c r="G1263">
        <v>660</v>
      </c>
      <c r="H1263">
        <v>1</v>
      </c>
      <c r="I1263" t="s">
        <v>98</v>
      </c>
      <c r="J1263">
        <v>0</v>
      </c>
      <c r="K1263">
        <v>2</v>
      </c>
      <c r="L1263">
        <v>5</v>
      </c>
      <c r="BG1263">
        <v>477</v>
      </c>
      <c r="BI1263" t="s">
        <v>365</v>
      </c>
      <c r="BJ1263">
        <v>0</v>
      </c>
      <c r="BL1263" t="s">
        <v>2655</v>
      </c>
      <c r="BM1263" s="4">
        <v>43283.819444444445</v>
      </c>
      <c r="BN1263" s="4">
        <v>43283.820856481485</v>
      </c>
      <c r="BO1263" s="4">
        <v>43283.820856481485</v>
      </c>
      <c r="BP1263" t="s">
        <v>92</v>
      </c>
      <c r="BQ1263" t="s">
        <v>93</v>
      </c>
      <c r="BR1263" t="s">
        <v>94</v>
      </c>
    </row>
    <row r="1264" spans="1:70" x14ac:dyDescent="0.3">
      <c r="A1264" t="str">
        <f>"200661B0100"</f>
        <v>200661B0100</v>
      </c>
      <c r="B1264" t="s">
        <v>2656</v>
      </c>
      <c r="C1264">
        <v>20</v>
      </c>
      <c r="D1264" t="s">
        <v>88</v>
      </c>
      <c r="E1264">
        <v>72</v>
      </c>
      <c r="F1264" t="s">
        <v>2657</v>
      </c>
      <c r="G1264">
        <v>661</v>
      </c>
      <c r="H1264">
        <v>1</v>
      </c>
      <c r="I1264" t="s">
        <v>90</v>
      </c>
      <c r="J1264">
        <v>0</v>
      </c>
      <c r="K1264">
        <v>1</v>
      </c>
      <c r="L1264">
        <v>5</v>
      </c>
      <c r="M1264" t="s">
        <v>127</v>
      </c>
      <c r="N1264" t="s">
        <v>127</v>
      </c>
      <c r="O1264" t="s">
        <v>127</v>
      </c>
      <c r="P1264" t="s">
        <v>127</v>
      </c>
      <c r="Q1264" t="s">
        <v>105</v>
      </c>
      <c r="R1264" t="s">
        <v>105</v>
      </c>
      <c r="S1264" t="s">
        <v>105</v>
      </c>
      <c r="T1264" t="s">
        <v>105</v>
      </c>
      <c r="U1264" t="s">
        <v>105</v>
      </c>
      <c r="V1264">
        <v>1</v>
      </c>
      <c r="X1264">
        <v>2</v>
      </c>
      <c r="Y1264" t="s">
        <v>127</v>
      </c>
      <c r="Z1264" t="s">
        <v>105</v>
      </c>
      <c r="AB1264" t="s">
        <v>127</v>
      </c>
      <c r="AC1264" t="s">
        <v>105</v>
      </c>
      <c r="AD1264" t="s">
        <v>127</v>
      </c>
      <c r="AE1264">
        <v>0</v>
      </c>
      <c r="AF1264">
        <v>0</v>
      </c>
      <c r="AK1264">
        <v>0</v>
      </c>
      <c r="AL1264">
        <v>0</v>
      </c>
      <c r="AM1264">
        <v>0</v>
      </c>
      <c r="AN1264">
        <v>0</v>
      </c>
      <c r="AT1264">
        <v>1</v>
      </c>
      <c r="AZ1264">
        <v>2</v>
      </c>
      <c r="BC1264" t="s">
        <v>105</v>
      </c>
      <c r="BD1264">
        <v>12</v>
      </c>
      <c r="BE1264">
        <v>420</v>
      </c>
      <c r="BF1264">
        <v>18</v>
      </c>
      <c r="BG1264">
        <v>514</v>
      </c>
      <c r="BI1264" t="s">
        <v>106</v>
      </c>
      <c r="BJ1264">
        <v>1</v>
      </c>
      <c r="BL1264" t="s">
        <v>2658</v>
      </c>
      <c r="BM1264" s="4">
        <v>43283.428078703706</v>
      </c>
      <c r="BN1264" s="4">
        <v>43283.438425925924</v>
      </c>
      <c r="BO1264" s="4">
        <v>43283.438425925924</v>
      </c>
      <c r="BP1264" t="s">
        <v>92</v>
      </c>
      <c r="BQ1264" t="s">
        <v>93</v>
      </c>
      <c r="BR1264" t="s">
        <v>94</v>
      </c>
    </row>
    <row r="1265" spans="1:70" x14ac:dyDescent="0.3">
      <c r="A1265" t="str">
        <f>"200661C0100"</f>
        <v>200661C0100</v>
      </c>
      <c r="B1265" t="s">
        <v>2659</v>
      </c>
      <c r="C1265">
        <v>20</v>
      </c>
      <c r="D1265" t="s">
        <v>88</v>
      </c>
      <c r="E1265">
        <v>72</v>
      </c>
      <c r="F1265" t="s">
        <v>2657</v>
      </c>
      <c r="G1265">
        <v>661</v>
      </c>
      <c r="H1265">
        <v>1</v>
      </c>
      <c r="I1265" t="s">
        <v>98</v>
      </c>
      <c r="J1265">
        <v>0</v>
      </c>
      <c r="K1265">
        <v>1</v>
      </c>
      <c r="L1265">
        <v>5</v>
      </c>
      <c r="M1265" t="s">
        <v>127</v>
      </c>
      <c r="N1265" t="s">
        <v>127</v>
      </c>
      <c r="O1265" t="s">
        <v>127</v>
      </c>
      <c r="P1265" t="s">
        <v>127</v>
      </c>
      <c r="Q1265">
        <v>1</v>
      </c>
      <c r="R1265">
        <v>200</v>
      </c>
      <c r="S1265">
        <v>2</v>
      </c>
      <c r="T1265">
        <v>0</v>
      </c>
      <c r="U1265">
        <v>1</v>
      </c>
      <c r="V1265">
        <v>2</v>
      </c>
      <c r="X1265">
        <v>6</v>
      </c>
      <c r="Y1265" t="s">
        <v>127</v>
      </c>
      <c r="Z1265" t="s">
        <v>127</v>
      </c>
      <c r="AB1265" t="s">
        <v>127</v>
      </c>
      <c r="AC1265">
        <v>0</v>
      </c>
      <c r="AD1265">
        <v>0</v>
      </c>
      <c r="AE1265">
        <v>0</v>
      </c>
      <c r="AF1265">
        <v>0</v>
      </c>
      <c r="AK1265">
        <v>0</v>
      </c>
      <c r="AL1265">
        <v>0</v>
      </c>
      <c r="AM1265">
        <v>1</v>
      </c>
      <c r="AN1265" t="s">
        <v>127</v>
      </c>
      <c r="AT1265" t="s">
        <v>127</v>
      </c>
      <c r="AZ1265" t="s">
        <v>127</v>
      </c>
      <c r="BC1265" t="s">
        <v>127</v>
      </c>
      <c r="BD1265" t="s">
        <v>127</v>
      </c>
      <c r="BE1265">
        <v>427</v>
      </c>
      <c r="BF1265">
        <v>213</v>
      </c>
      <c r="BG1265">
        <v>513</v>
      </c>
      <c r="BI1265" t="s">
        <v>106</v>
      </c>
      <c r="BJ1265">
        <v>1</v>
      </c>
      <c r="BL1265" t="s">
        <v>2660</v>
      </c>
      <c r="BM1265" s="4">
        <v>43283.428749999999</v>
      </c>
      <c r="BN1265" s="4">
        <v>43283.440625000003</v>
      </c>
      <c r="BO1265" s="4">
        <v>43283.440625000003</v>
      </c>
      <c r="BP1265" t="s">
        <v>92</v>
      </c>
      <c r="BQ1265" t="s">
        <v>93</v>
      </c>
      <c r="BR1265" t="s">
        <v>94</v>
      </c>
    </row>
    <row r="1266" spans="1:70" x14ac:dyDescent="0.3">
      <c r="A1266" t="str">
        <f>"200662B0100"</f>
        <v>200662B0100</v>
      </c>
      <c r="B1266" t="s">
        <v>2661</v>
      </c>
      <c r="C1266">
        <v>20</v>
      </c>
      <c r="D1266" t="s">
        <v>88</v>
      </c>
      <c r="E1266">
        <v>72</v>
      </c>
      <c r="F1266" t="s">
        <v>2657</v>
      </c>
      <c r="G1266">
        <v>662</v>
      </c>
      <c r="H1266">
        <v>1</v>
      </c>
      <c r="I1266" t="s">
        <v>90</v>
      </c>
      <c r="J1266">
        <v>0</v>
      </c>
      <c r="K1266">
        <v>1</v>
      </c>
      <c r="L1266">
        <v>5</v>
      </c>
      <c r="M1266" t="s">
        <v>105</v>
      </c>
      <c r="N1266" t="s">
        <v>105</v>
      </c>
      <c r="O1266" t="s">
        <v>105</v>
      </c>
      <c r="P1266" t="s">
        <v>105</v>
      </c>
      <c r="Q1266" t="s">
        <v>105</v>
      </c>
      <c r="R1266" t="s">
        <v>105</v>
      </c>
      <c r="S1266" t="s">
        <v>105</v>
      </c>
      <c r="T1266" t="s">
        <v>105</v>
      </c>
      <c r="U1266" t="s">
        <v>105</v>
      </c>
      <c r="V1266" t="s">
        <v>105</v>
      </c>
      <c r="X1266" t="s">
        <v>105</v>
      </c>
      <c r="Y1266" t="s">
        <v>105</v>
      </c>
      <c r="Z1266" t="s">
        <v>105</v>
      </c>
      <c r="AB1266" t="s">
        <v>105</v>
      </c>
      <c r="AC1266" t="s">
        <v>105</v>
      </c>
      <c r="AD1266" t="s">
        <v>105</v>
      </c>
      <c r="AE1266" t="s">
        <v>105</v>
      </c>
      <c r="AF1266" t="s">
        <v>105</v>
      </c>
      <c r="AK1266" t="s">
        <v>105</v>
      </c>
      <c r="AL1266" t="s">
        <v>105</v>
      </c>
      <c r="AM1266" t="s">
        <v>105</v>
      </c>
      <c r="AN1266" t="s">
        <v>105</v>
      </c>
      <c r="AT1266" t="s">
        <v>105</v>
      </c>
      <c r="AZ1266" t="s">
        <v>105</v>
      </c>
      <c r="BC1266" t="s">
        <v>105</v>
      </c>
      <c r="BD1266" t="s">
        <v>105</v>
      </c>
      <c r="BG1266">
        <v>557</v>
      </c>
      <c r="BI1266" t="s">
        <v>1244</v>
      </c>
      <c r="BJ1266">
        <v>0</v>
      </c>
      <c r="BL1266" t="s">
        <v>2662</v>
      </c>
      <c r="BM1266" s="4">
        <v>43283.427372685182</v>
      </c>
      <c r="BN1266" s="4">
        <v>43283.431504629632</v>
      </c>
      <c r="BO1266" s="4">
        <v>43283.431504629632</v>
      </c>
      <c r="BP1266" t="s">
        <v>92</v>
      </c>
      <c r="BQ1266" t="s">
        <v>93</v>
      </c>
      <c r="BR1266" t="s">
        <v>94</v>
      </c>
    </row>
    <row r="1267" spans="1:70" x14ac:dyDescent="0.3">
      <c r="A1267" t="str">
        <f>"200662C0100"</f>
        <v>200662C0100</v>
      </c>
      <c r="B1267" t="s">
        <v>2663</v>
      </c>
      <c r="C1267">
        <v>20</v>
      </c>
      <c r="D1267" t="s">
        <v>88</v>
      </c>
      <c r="E1267">
        <v>72</v>
      </c>
      <c r="F1267" t="s">
        <v>2657</v>
      </c>
      <c r="G1267">
        <v>662</v>
      </c>
      <c r="H1267">
        <v>1</v>
      </c>
      <c r="I1267" t="s">
        <v>98</v>
      </c>
      <c r="J1267">
        <v>0</v>
      </c>
      <c r="K1267">
        <v>1</v>
      </c>
      <c r="L1267">
        <v>5</v>
      </c>
      <c r="M1267">
        <v>93</v>
      </c>
      <c r="N1267">
        <v>492</v>
      </c>
      <c r="O1267">
        <v>6</v>
      </c>
      <c r="P1267">
        <v>485</v>
      </c>
      <c r="Q1267">
        <v>1</v>
      </c>
      <c r="R1267">
        <v>232</v>
      </c>
      <c r="S1267">
        <v>0</v>
      </c>
      <c r="T1267">
        <v>0</v>
      </c>
      <c r="U1267">
        <v>0</v>
      </c>
      <c r="V1267">
        <v>0</v>
      </c>
      <c r="X1267">
        <v>14</v>
      </c>
      <c r="Y1267">
        <v>56</v>
      </c>
      <c r="Z1267">
        <v>0</v>
      </c>
      <c r="AB1267">
        <v>6</v>
      </c>
      <c r="AC1267">
        <v>0</v>
      </c>
      <c r="AD1267">
        <v>0</v>
      </c>
      <c r="AE1267">
        <v>0</v>
      </c>
      <c r="AF1267">
        <v>0</v>
      </c>
      <c r="AK1267">
        <v>0</v>
      </c>
      <c r="AL1267">
        <v>0</v>
      </c>
      <c r="AM1267">
        <v>0</v>
      </c>
      <c r="AN1267">
        <v>0</v>
      </c>
      <c r="AT1267">
        <v>1</v>
      </c>
      <c r="AZ1267">
        <v>160</v>
      </c>
      <c r="BC1267">
        <v>0</v>
      </c>
      <c r="BD1267">
        <v>15</v>
      </c>
      <c r="BE1267">
        <v>485</v>
      </c>
      <c r="BF1267">
        <v>485</v>
      </c>
      <c r="BG1267">
        <v>556</v>
      </c>
      <c r="BJ1267">
        <v>1</v>
      </c>
      <c r="BL1267" t="s">
        <v>2664</v>
      </c>
      <c r="BM1267" s="4">
        <v>43283.429328703707</v>
      </c>
      <c r="BN1267" s="4">
        <v>43283.43209490741</v>
      </c>
      <c r="BO1267" s="4">
        <v>43283.43209490741</v>
      </c>
      <c r="BP1267" t="s">
        <v>92</v>
      </c>
      <c r="BQ1267" t="s">
        <v>93</v>
      </c>
      <c r="BR1267" t="s">
        <v>94</v>
      </c>
    </row>
    <row r="1268" spans="1:70" x14ac:dyDescent="0.3">
      <c r="A1268" t="str">
        <f>"200669B0100"</f>
        <v>200669B0100</v>
      </c>
      <c r="B1268" t="s">
        <v>2665</v>
      </c>
      <c r="C1268">
        <v>20</v>
      </c>
      <c r="D1268" t="s">
        <v>88</v>
      </c>
      <c r="E1268">
        <v>76</v>
      </c>
      <c r="F1268" t="s">
        <v>2666</v>
      </c>
      <c r="G1268">
        <v>669</v>
      </c>
      <c r="H1268">
        <v>1</v>
      </c>
      <c r="I1268" t="s">
        <v>90</v>
      </c>
      <c r="J1268">
        <v>0</v>
      </c>
      <c r="K1268">
        <v>1</v>
      </c>
      <c r="L1268">
        <v>5</v>
      </c>
      <c r="M1268">
        <v>262</v>
      </c>
      <c r="N1268">
        <v>425</v>
      </c>
      <c r="O1268">
        <v>2</v>
      </c>
      <c r="P1268">
        <v>423</v>
      </c>
      <c r="Q1268">
        <v>33</v>
      </c>
      <c r="R1268">
        <v>104</v>
      </c>
      <c r="S1268">
        <v>3</v>
      </c>
      <c r="T1268">
        <v>2</v>
      </c>
      <c r="U1268">
        <v>6</v>
      </c>
      <c r="V1268">
        <v>31</v>
      </c>
      <c r="W1268">
        <v>3</v>
      </c>
      <c r="X1268">
        <v>28</v>
      </c>
      <c r="Y1268">
        <v>166</v>
      </c>
      <c r="Z1268">
        <v>4</v>
      </c>
      <c r="AA1268">
        <v>1</v>
      </c>
      <c r="AB1268">
        <v>3</v>
      </c>
      <c r="AC1268">
        <v>2</v>
      </c>
      <c r="AD1268" t="s">
        <v>105</v>
      </c>
      <c r="AE1268" t="s">
        <v>105</v>
      </c>
      <c r="AF1268" t="s">
        <v>105</v>
      </c>
      <c r="AK1268">
        <v>7</v>
      </c>
      <c r="AL1268" t="s">
        <v>105</v>
      </c>
      <c r="AM1268" t="s">
        <v>105</v>
      </c>
      <c r="AN1268" t="s">
        <v>105</v>
      </c>
      <c r="AT1268" t="s">
        <v>105</v>
      </c>
      <c r="AZ1268">
        <v>3</v>
      </c>
      <c r="BA1268">
        <v>3</v>
      </c>
      <c r="BB1268">
        <v>6</v>
      </c>
      <c r="BC1268" t="s">
        <v>105</v>
      </c>
      <c r="BD1268">
        <v>13</v>
      </c>
      <c r="BE1268">
        <v>423</v>
      </c>
      <c r="BF1268">
        <v>418</v>
      </c>
      <c r="BG1268">
        <v>659</v>
      </c>
      <c r="BI1268" t="s">
        <v>106</v>
      </c>
      <c r="BJ1268">
        <v>1</v>
      </c>
      <c r="BL1268" t="s">
        <v>2667</v>
      </c>
      <c r="BM1268" s="4">
        <v>43283.260416666664</v>
      </c>
      <c r="BN1268" s="4">
        <v>43283.284548611111</v>
      </c>
      <c r="BO1268" s="4">
        <v>43283.284548611111</v>
      </c>
      <c r="BP1268" t="s">
        <v>92</v>
      </c>
      <c r="BQ1268" t="s">
        <v>93</v>
      </c>
      <c r="BR1268" t="s">
        <v>94</v>
      </c>
    </row>
    <row r="1269" spans="1:70" x14ac:dyDescent="0.3">
      <c r="A1269" t="str">
        <f>"200669C0100"</f>
        <v>200669C0100</v>
      </c>
      <c r="B1269" t="s">
        <v>2668</v>
      </c>
      <c r="C1269">
        <v>20</v>
      </c>
      <c r="D1269" t="s">
        <v>88</v>
      </c>
      <c r="E1269">
        <v>76</v>
      </c>
      <c r="F1269" t="s">
        <v>2666</v>
      </c>
      <c r="G1269">
        <v>669</v>
      </c>
      <c r="H1269">
        <v>1</v>
      </c>
      <c r="I1269" t="s">
        <v>98</v>
      </c>
      <c r="J1269">
        <v>0</v>
      </c>
      <c r="K1269">
        <v>1</v>
      </c>
      <c r="L1269">
        <v>5</v>
      </c>
      <c r="M1269">
        <v>268</v>
      </c>
      <c r="N1269">
        <v>417</v>
      </c>
      <c r="O1269">
        <v>16</v>
      </c>
      <c r="P1269">
        <v>417</v>
      </c>
      <c r="Q1269">
        <v>25</v>
      </c>
      <c r="R1269">
        <v>90</v>
      </c>
      <c r="S1269">
        <v>8</v>
      </c>
      <c r="T1269">
        <v>4</v>
      </c>
      <c r="U1269">
        <v>11</v>
      </c>
      <c r="V1269">
        <v>46</v>
      </c>
      <c r="W1269">
        <v>2</v>
      </c>
      <c r="X1269">
        <v>30</v>
      </c>
      <c r="Y1269">
        <v>158</v>
      </c>
      <c r="Z1269">
        <v>2</v>
      </c>
      <c r="AA1269">
        <v>0</v>
      </c>
      <c r="AB1269">
        <v>3</v>
      </c>
      <c r="AC1269">
        <v>6</v>
      </c>
      <c r="AD1269">
        <v>0</v>
      </c>
      <c r="AE1269">
        <v>1</v>
      </c>
      <c r="AF1269">
        <v>1</v>
      </c>
      <c r="AK1269">
        <v>5</v>
      </c>
      <c r="AL1269">
        <v>2</v>
      </c>
      <c r="AM1269">
        <v>0</v>
      </c>
      <c r="AN1269">
        <v>0</v>
      </c>
      <c r="AT1269">
        <v>4</v>
      </c>
      <c r="AZ1269">
        <v>7</v>
      </c>
      <c r="BA1269">
        <v>7</v>
      </c>
      <c r="BB1269">
        <v>4</v>
      </c>
      <c r="BC1269">
        <v>0</v>
      </c>
      <c r="BD1269">
        <v>2</v>
      </c>
      <c r="BE1269">
        <v>417</v>
      </c>
      <c r="BF1269">
        <v>418</v>
      </c>
      <c r="BG1269">
        <v>659</v>
      </c>
      <c r="BJ1269">
        <v>1</v>
      </c>
      <c r="BL1269" t="s">
        <v>2669</v>
      </c>
      <c r="BM1269" s="4">
        <v>43283.261805555558</v>
      </c>
      <c r="BN1269" s="4">
        <v>43283.289768518516</v>
      </c>
      <c r="BO1269" s="4">
        <v>43283.289768518516</v>
      </c>
      <c r="BP1269" t="s">
        <v>92</v>
      </c>
      <c r="BQ1269" t="s">
        <v>93</v>
      </c>
      <c r="BR1269" t="s">
        <v>94</v>
      </c>
    </row>
    <row r="1270" spans="1:70" x14ac:dyDescent="0.3">
      <c r="A1270" t="str">
        <f>"200669C0200"</f>
        <v>200669C0200</v>
      </c>
      <c r="B1270" t="s">
        <v>2670</v>
      </c>
      <c r="C1270">
        <v>20</v>
      </c>
      <c r="D1270" t="s">
        <v>88</v>
      </c>
      <c r="E1270">
        <v>76</v>
      </c>
      <c r="F1270" t="s">
        <v>2666</v>
      </c>
      <c r="G1270">
        <v>669</v>
      </c>
      <c r="H1270">
        <v>2</v>
      </c>
      <c r="I1270" t="s">
        <v>98</v>
      </c>
      <c r="J1270">
        <v>0</v>
      </c>
      <c r="K1270">
        <v>1</v>
      </c>
      <c r="L1270">
        <v>5</v>
      </c>
      <c r="M1270">
        <v>254</v>
      </c>
      <c r="N1270">
        <v>430</v>
      </c>
      <c r="O1270">
        <v>7</v>
      </c>
      <c r="P1270">
        <v>430</v>
      </c>
      <c r="Q1270">
        <v>21</v>
      </c>
      <c r="R1270">
        <v>82</v>
      </c>
      <c r="S1270">
        <v>8</v>
      </c>
      <c r="T1270">
        <v>3</v>
      </c>
      <c r="U1270">
        <v>6</v>
      </c>
      <c r="V1270">
        <v>39</v>
      </c>
      <c r="W1270">
        <v>3</v>
      </c>
      <c r="X1270">
        <v>39</v>
      </c>
      <c r="Y1270">
        <v>184</v>
      </c>
      <c r="Z1270">
        <v>4</v>
      </c>
      <c r="AA1270" t="s">
        <v>105</v>
      </c>
      <c r="AB1270" t="s">
        <v>105</v>
      </c>
      <c r="AC1270" t="s">
        <v>105</v>
      </c>
      <c r="AD1270" t="s">
        <v>105</v>
      </c>
      <c r="AE1270" t="s">
        <v>105</v>
      </c>
      <c r="AF1270" t="s">
        <v>105</v>
      </c>
      <c r="AK1270" t="s">
        <v>105</v>
      </c>
      <c r="AL1270" t="s">
        <v>105</v>
      </c>
      <c r="AM1270" t="s">
        <v>105</v>
      </c>
      <c r="AN1270" t="s">
        <v>105</v>
      </c>
      <c r="AT1270" t="s">
        <v>105</v>
      </c>
      <c r="AZ1270">
        <v>9</v>
      </c>
      <c r="BA1270">
        <v>6</v>
      </c>
      <c r="BB1270">
        <v>6</v>
      </c>
      <c r="BC1270" t="s">
        <v>105</v>
      </c>
      <c r="BD1270">
        <v>20</v>
      </c>
      <c r="BE1270">
        <v>430</v>
      </c>
      <c r="BF1270">
        <v>430</v>
      </c>
      <c r="BG1270">
        <v>658</v>
      </c>
      <c r="BI1270" t="s">
        <v>106</v>
      </c>
      <c r="BJ1270">
        <v>1</v>
      </c>
      <c r="BL1270" t="s">
        <v>2671</v>
      </c>
      <c r="BM1270" s="4">
        <v>43283.263194444444</v>
      </c>
      <c r="BN1270" s="4">
        <v>43283.289143518516</v>
      </c>
      <c r="BO1270" s="4">
        <v>43283.289143518516</v>
      </c>
      <c r="BP1270" t="s">
        <v>92</v>
      </c>
      <c r="BQ1270" t="s">
        <v>93</v>
      </c>
      <c r="BR1270" t="s">
        <v>94</v>
      </c>
    </row>
    <row r="1271" spans="1:70" x14ac:dyDescent="0.3">
      <c r="A1271" t="str">
        <f>"200669C0300"</f>
        <v>200669C0300</v>
      </c>
      <c r="B1271" t="s">
        <v>2672</v>
      </c>
      <c r="C1271">
        <v>20</v>
      </c>
      <c r="D1271" t="s">
        <v>88</v>
      </c>
      <c r="E1271">
        <v>76</v>
      </c>
      <c r="F1271" t="s">
        <v>2666</v>
      </c>
      <c r="G1271">
        <v>669</v>
      </c>
      <c r="H1271">
        <v>3</v>
      </c>
      <c r="I1271" t="s">
        <v>98</v>
      </c>
      <c r="J1271">
        <v>0</v>
      </c>
      <c r="K1271">
        <v>1</v>
      </c>
      <c r="L1271">
        <v>5</v>
      </c>
      <c r="M1271">
        <v>273</v>
      </c>
      <c r="N1271">
        <v>411</v>
      </c>
      <c r="O1271">
        <v>11</v>
      </c>
      <c r="P1271">
        <v>395</v>
      </c>
      <c r="Q1271">
        <v>25</v>
      </c>
      <c r="R1271">
        <v>75</v>
      </c>
      <c r="S1271">
        <v>6</v>
      </c>
      <c r="T1271">
        <v>8</v>
      </c>
      <c r="U1271">
        <v>14</v>
      </c>
      <c r="V1271" t="s">
        <v>127</v>
      </c>
      <c r="W1271">
        <v>0</v>
      </c>
      <c r="X1271">
        <v>39</v>
      </c>
      <c r="Y1271">
        <v>144</v>
      </c>
      <c r="Z1271">
        <v>8</v>
      </c>
      <c r="AA1271" t="s">
        <v>127</v>
      </c>
      <c r="AB1271">
        <v>3</v>
      </c>
      <c r="AC1271">
        <v>2</v>
      </c>
      <c r="AD1271" t="s">
        <v>105</v>
      </c>
      <c r="AE1271" t="s">
        <v>105</v>
      </c>
      <c r="AF1271">
        <v>1</v>
      </c>
      <c r="AK1271">
        <v>3</v>
      </c>
      <c r="AL1271">
        <v>2</v>
      </c>
      <c r="AM1271" t="s">
        <v>105</v>
      </c>
      <c r="AN1271" t="s">
        <v>105</v>
      </c>
      <c r="AT1271" t="s">
        <v>127</v>
      </c>
      <c r="AZ1271" t="s">
        <v>105</v>
      </c>
      <c r="BA1271" t="s">
        <v>105</v>
      </c>
      <c r="BB1271" t="s">
        <v>105</v>
      </c>
      <c r="BC1271">
        <v>16</v>
      </c>
      <c r="BD1271">
        <v>6</v>
      </c>
      <c r="BE1271">
        <v>411</v>
      </c>
      <c r="BF1271">
        <v>352</v>
      </c>
      <c r="BG1271">
        <v>658</v>
      </c>
      <c r="BI1271" t="s">
        <v>106</v>
      </c>
      <c r="BJ1271">
        <v>1</v>
      </c>
      <c r="BL1271" t="s">
        <v>2673</v>
      </c>
      <c r="BM1271" s="4">
        <v>43283.26666666667</v>
      </c>
      <c r="BN1271" s="4">
        <v>43283.304942129631</v>
      </c>
      <c r="BO1271" s="4">
        <v>43283.304942129631</v>
      </c>
      <c r="BP1271" t="s">
        <v>92</v>
      </c>
      <c r="BQ1271" t="s">
        <v>93</v>
      </c>
      <c r="BR1271" t="s">
        <v>94</v>
      </c>
    </row>
    <row r="1272" spans="1:70" x14ac:dyDescent="0.3">
      <c r="A1272" t="str">
        <f>"200669E0100"</f>
        <v>200669E0100</v>
      </c>
      <c r="B1272" s="2" t="s">
        <v>2674</v>
      </c>
      <c r="C1272">
        <v>20</v>
      </c>
      <c r="D1272" t="s">
        <v>88</v>
      </c>
      <c r="E1272">
        <v>76</v>
      </c>
      <c r="F1272" t="s">
        <v>2666</v>
      </c>
      <c r="G1272">
        <v>669</v>
      </c>
      <c r="H1272">
        <v>1</v>
      </c>
      <c r="I1272" t="s">
        <v>156</v>
      </c>
      <c r="J1272">
        <v>0</v>
      </c>
      <c r="K1272">
        <v>1</v>
      </c>
      <c r="L1272">
        <v>5</v>
      </c>
      <c r="M1272">
        <v>228</v>
      </c>
      <c r="N1272">
        <v>317</v>
      </c>
      <c r="O1272">
        <v>6</v>
      </c>
      <c r="P1272">
        <v>318</v>
      </c>
      <c r="Q1272">
        <v>14</v>
      </c>
      <c r="R1272">
        <v>71</v>
      </c>
      <c r="S1272">
        <v>6</v>
      </c>
      <c r="T1272">
        <v>6</v>
      </c>
      <c r="U1272">
        <v>11</v>
      </c>
      <c r="V1272">
        <v>19</v>
      </c>
      <c r="W1272">
        <v>1</v>
      </c>
      <c r="X1272">
        <v>48</v>
      </c>
      <c r="Y1272">
        <v>100</v>
      </c>
      <c r="Z1272">
        <v>2</v>
      </c>
      <c r="AA1272">
        <v>0</v>
      </c>
      <c r="AB1272">
        <v>4</v>
      </c>
      <c r="AC1272">
        <v>1</v>
      </c>
      <c r="AD1272">
        <v>0</v>
      </c>
      <c r="AE1272">
        <v>0</v>
      </c>
      <c r="AF1272">
        <v>1</v>
      </c>
      <c r="AK1272">
        <v>2</v>
      </c>
      <c r="AL1272">
        <v>0</v>
      </c>
      <c r="AM1272">
        <v>0</v>
      </c>
      <c r="AN1272">
        <v>0</v>
      </c>
      <c r="AT1272">
        <v>1</v>
      </c>
      <c r="AZ1272">
        <v>1</v>
      </c>
      <c r="BA1272">
        <v>8</v>
      </c>
      <c r="BB1272">
        <v>7</v>
      </c>
      <c r="BC1272">
        <v>1</v>
      </c>
      <c r="BD1272">
        <v>15</v>
      </c>
      <c r="BE1272">
        <v>318</v>
      </c>
      <c r="BF1272">
        <v>319</v>
      </c>
      <c r="BG1272">
        <v>519</v>
      </c>
      <c r="BJ1272">
        <v>1</v>
      </c>
      <c r="BL1272" t="s">
        <v>2675</v>
      </c>
      <c r="BM1272" s="4">
        <v>43283.163194444445</v>
      </c>
      <c r="BN1272" s="4">
        <v>43283.181527777779</v>
      </c>
      <c r="BO1272" s="4">
        <v>43283.181527777779</v>
      </c>
      <c r="BP1272" t="s">
        <v>92</v>
      </c>
      <c r="BQ1272" t="s">
        <v>93</v>
      </c>
      <c r="BR1272" t="s">
        <v>94</v>
      </c>
    </row>
    <row r="1273" spans="1:70" x14ac:dyDescent="0.3">
      <c r="A1273" t="str">
        <f>"200669E0101"</f>
        <v>200669E0101</v>
      </c>
      <c r="B1273" s="2" t="s">
        <v>2676</v>
      </c>
      <c r="C1273">
        <v>20</v>
      </c>
      <c r="D1273" t="s">
        <v>88</v>
      </c>
      <c r="E1273">
        <v>76</v>
      </c>
      <c r="F1273" t="s">
        <v>2666</v>
      </c>
      <c r="G1273">
        <v>669</v>
      </c>
      <c r="H1273">
        <v>1</v>
      </c>
      <c r="I1273" t="s">
        <v>156</v>
      </c>
      <c r="J1273">
        <v>1</v>
      </c>
      <c r="K1273">
        <v>1</v>
      </c>
      <c r="L1273">
        <v>5</v>
      </c>
      <c r="M1273" t="s">
        <v>105</v>
      </c>
      <c r="N1273" t="s">
        <v>105</v>
      </c>
      <c r="O1273" t="s">
        <v>105</v>
      </c>
      <c r="P1273" t="s">
        <v>105</v>
      </c>
      <c r="Q1273">
        <v>17</v>
      </c>
      <c r="R1273">
        <v>66</v>
      </c>
      <c r="S1273">
        <v>13</v>
      </c>
      <c r="T1273">
        <v>3</v>
      </c>
      <c r="U1273">
        <v>7</v>
      </c>
      <c r="V1273">
        <v>23</v>
      </c>
      <c r="W1273">
        <v>0</v>
      </c>
      <c r="X1273">
        <v>41</v>
      </c>
      <c r="Y1273">
        <v>96</v>
      </c>
      <c r="Z1273">
        <v>5</v>
      </c>
      <c r="AA1273">
        <v>0</v>
      </c>
      <c r="AB1273">
        <v>1</v>
      </c>
      <c r="AC1273">
        <v>2</v>
      </c>
      <c r="AD1273">
        <v>0</v>
      </c>
      <c r="AE1273">
        <v>1</v>
      </c>
      <c r="AF1273">
        <v>0</v>
      </c>
      <c r="AK1273">
        <v>0</v>
      </c>
      <c r="AL1273">
        <v>0</v>
      </c>
      <c r="AM1273">
        <v>0</v>
      </c>
      <c r="AN1273">
        <v>0</v>
      </c>
      <c r="AT1273">
        <v>4</v>
      </c>
      <c r="AZ1273">
        <v>1</v>
      </c>
      <c r="BA1273">
        <v>12</v>
      </c>
      <c r="BB1273">
        <v>6</v>
      </c>
      <c r="BC1273">
        <v>0</v>
      </c>
      <c r="BD1273">
        <v>7</v>
      </c>
      <c r="BE1273">
        <v>306</v>
      </c>
      <c r="BF1273">
        <v>305</v>
      </c>
      <c r="BG1273">
        <v>518</v>
      </c>
      <c r="BJ1273">
        <v>1</v>
      </c>
      <c r="BL1273" t="s">
        <v>2677</v>
      </c>
      <c r="BM1273" s="4">
        <v>43283.180555555555</v>
      </c>
      <c r="BN1273" s="4">
        <v>43283.20989583333</v>
      </c>
      <c r="BO1273" s="4">
        <v>43283.20989583333</v>
      </c>
      <c r="BP1273" t="s">
        <v>92</v>
      </c>
      <c r="BQ1273" t="s">
        <v>93</v>
      </c>
      <c r="BR1273" t="s">
        <v>94</v>
      </c>
    </row>
    <row r="1274" spans="1:70" x14ac:dyDescent="0.3">
      <c r="A1274" t="str">
        <f>"200669E0102"</f>
        <v>200669E0102</v>
      </c>
      <c r="B1274" s="2" t="s">
        <v>2678</v>
      </c>
      <c r="C1274">
        <v>20</v>
      </c>
      <c r="D1274" t="s">
        <v>88</v>
      </c>
      <c r="E1274">
        <v>76</v>
      </c>
      <c r="F1274" t="s">
        <v>2666</v>
      </c>
      <c r="G1274">
        <v>669</v>
      </c>
      <c r="H1274">
        <v>1</v>
      </c>
      <c r="I1274" t="s">
        <v>156</v>
      </c>
      <c r="J1274">
        <v>2</v>
      </c>
      <c r="K1274">
        <v>1</v>
      </c>
      <c r="L1274">
        <v>5</v>
      </c>
      <c r="M1274">
        <v>227</v>
      </c>
      <c r="N1274">
        <v>317</v>
      </c>
      <c r="O1274">
        <v>7</v>
      </c>
      <c r="P1274">
        <v>318</v>
      </c>
      <c r="Q1274">
        <v>23</v>
      </c>
      <c r="R1274">
        <v>76</v>
      </c>
      <c r="S1274">
        <v>6</v>
      </c>
      <c r="T1274">
        <v>3</v>
      </c>
      <c r="U1274">
        <v>4</v>
      </c>
      <c r="V1274">
        <v>24</v>
      </c>
      <c r="W1274" t="s">
        <v>105</v>
      </c>
      <c r="X1274">
        <v>48</v>
      </c>
      <c r="Y1274">
        <v>88</v>
      </c>
      <c r="Z1274">
        <v>4</v>
      </c>
      <c r="AA1274">
        <v>2</v>
      </c>
      <c r="AB1274">
        <v>3</v>
      </c>
      <c r="AC1274">
        <v>3</v>
      </c>
      <c r="AD1274" t="s">
        <v>105</v>
      </c>
      <c r="AE1274">
        <v>1</v>
      </c>
      <c r="AF1274" t="s">
        <v>105</v>
      </c>
      <c r="AK1274" t="s">
        <v>105</v>
      </c>
      <c r="AL1274">
        <v>3</v>
      </c>
      <c r="AM1274">
        <v>1</v>
      </c>
      <c r="AN1274" t="s">
        <v>105</v>
      </c>
      <c r="AT1274">
        <v>3</v>
      </c>
      <c r="AZ1274">
        <v>2</v>
      </c>
      <c r="BA1274">
        <v>6</v>
      </c>
      <c r="BB1274">
        <v>4</v>
      </c>
      <c r="BC1274" t="s">
        <v>105</v>
      </c>
      <c r="BD1274">
        <v>16</v>
      </c>
      <c r="BE1274">
        <v>318</v>
      </c>
      <c r="BF1274">
        <v>320</v>
      </c>
      <c r="BG1274">
        <v>518</v>
      </c>
      <c r="BI1274" t="s">
        <v>106</v>
      </c>
      <c r="BJ1274">
        <v>1</v>
      </c>
      <c r="BL1274" t="s">
        <v>2679</v>
      </c>
      <c r="BM1274" s="4">
        <v>43283.160416666666</v>
      </c>
      <c r="BN1274" s="4">
        <v>43283.175949074073</v>
      </c>
      <c r="BO1274" s="4">
        <v>43283.175949074073</v>
      </c>
      <c r="BP1274" t="s">
        <v>92</v>
      </c>
      <c r="BQ1274" t="s">
        <v>93</v>
      </c>
      <c r="BR1274" t="s">
        <v>94</v>
      </c>
    </row>
    <row r="1275" spans="1:70" x14ac:dyDescent="0.3">
      <c r="A1275" t="str">
        <f>"200670B0100"</f>
        <v>200670B0100</v>
      </c>
      <c r="B1275" t="s">
        <v>2680</v>
      </c>
      <c r="C1275">
        <v>20</v>
      </c>
      <c r="D1275" t="s">
        <v>88</v>
      </c>
      <c r="E1275">
        <v>76</v>
      </c>
      <c r="F1275" t="s">
        <v>2666</v>
      </c>
      <c r="G1275">
        <v>670</v>
      </c>
      <c r="H1275">
        <v>1</v>
      </c>
      <c r="I1275" t="s">
        <v>90</v>
      </c>
      <c r="J1275">
        <v>0</v>
      </c>
      <c r="K1275">
        <v>1</v>
      </c>
      <c r="L1275">
        <v>5</v>
      </c>
      <c r="M1275">
        <v>303</v>
      </c>
      <c r="N1275" t="s">
        <v>105</v>
      </c>
      <c r="O1275">
        <v>5</v>
      </c>
      <c r="P1275">
        <v>456</v>
      </c>
      <c r="Q1275">
        <v>33</v>
      </c>
      <c r="R1275">
        <v>80</v>
      </c>
      <c r="S1275">
        <v>6</v>
      </c>
      <c r="T1275">
        <v>3</v>
      </c>
      <c r="U1275">
        <v>12</v>
      </c>
      <c r="V1275">
        <v>52</v>
      </c>
      <c r="W1275">
        <v>1</v>
      </c>
      <c r="X1275">
        <v>58</v>
      </c>
      <c r="Y1275">
        <v>171</v>
      </c>
      <c r="Z1275">
        <v>4</v>
      </c>
      <c r="AA1275">
        <v>0</v>
      </c>
      <c r="AB1275">
        <v>6</v>
      </c>
      <c r="AC1275">
        <v>2</v>
      </c>
      <c r="AD1275">
        <v>0</v>
      </c>
      <c r="AE1275">
        <v>0</v>
      </c>
      <c r="AF1275">
        <v>0</v>
      </c>
      <c r="AK1275">
        <v>3</v>
      </c>
      <c r="AL1275">
        <v>1</v>
      </c>
      <c r="AM1275">
        <v>1</v>
      </c>
      <c r="AN1275" t="s">
        <v>105</v>
      </c>
      <c r="AT1275">
        <v>1</v>
      </c>
      <c r="AZ1275">
        <v>6</v>
      </c>
      <c r="BA1275">
        <v>4</v>
      </c>
      <c r="BB1275">
        <v>5</v>
      </c>
      <c r="BC1275">
        <v>0</v>
      </c>
      <c r="BD1275">
        <v>0</v>
      </c>
      <c r="BE1275" t="s">
        <v>105</v>
      </c>
      <c r="BF1275">
        <v>449</v>
      </c>
      <c r="BG1275">
        <v>735</v>
      </c>
      <c r="BI1275" t="s">
        <v>106</v>
      </c>
      <c r="BJ1275">
        <v>1</v>
      </c>
      <c r="BL1275" t="s">
        <v>2681</v>
      </c>
      <c r="BM1275" s="4">
        <v>43283.242361111108</v>
      </c>
      <c r="BN1275" s="4">
        <v>43283.267962962964</v>
      </c>
      <c r="BO1275" s="4">
        <v>43283.267962962964</v>
      </c>
      <c r="BP1275" t="s">
        <v>92</v>
      </c>
      <c r="BQ1275" t="s">
        <v>93</v>
      </c>
      <c r="BR1275" t="s">
        <v>94</v>
      </c>
    </row>
    <row r="1276" spans="1:70" x14ac:dyDescent="0.3">
      <c r="A1276" t="str">
        <f>"200670C0100"</f>
        <v>200670C0100</v>
      </c>
      <c r="B1276" t="s">
        <v>2682</v>
      </c>
      <c r="C1276">
        <v>20</v>
      </c>
      <c r="D1276" t="s">
        <v>88</v>
      </c>
      <c r="E1276">
        <v>76</v>
      </c>
      <c r="F1276" t="s">
        <v>2666</v>
      </c>
      <c r="G1276">
        <v>670</v>
      </c>
      <c r="H1276">
        <v>1</v>
      </c>
      <c r="I1276" t="s">
        <v>98</v>
      </c>
      <c r="J1276">
        <v>0</v>
      </c>
      <c r="K1276">
        <v>1</v>
      </c>
      <c r="L1276">
        <v>5</v>
      </c>
      <c r="M1276">
        <v>280</v>
      </c>
      <c r="N1276">
        <v>759</v>
      </c>
      <c r="O1276">
        <v>5</v>
      </c>
      <c r="P1276">
        <v>479</v>
      </c>
      <c r="Q1276">
        <v>34</v>
      </c>
      <c r="R1276">
        <v>75</v>
      </c>
      <c r="S1276">
        <v>8</v>
      </c>
      <c r="T1276">
        <v>2</v>
      </c>
      <c r="U1276">
        <v>14</v>
      </c>
      <c r="V1276">
        <v>45</v>
      </c>
      <c r="W1276">
        <v>1</v>
      </c>
      <c r="X1276">
        <v>55</v>
      </c>
      <c r="Y1276">
        <v>195</v>
      </c>
      <c r="Z1276">
        <v>2</v>
      </c>
      <c r="AA1276">
        <v>0</v>
      </c>
      <c r="AB1276">
        <v>2</v>
      </c>
      <c r="AC1276">
        <v>1</v>
      </c>
      <c r="AD1276">
        <v>0</v>
      </c>
      <c r="AE1276">
        <v>2</v>
      </c>
      <c r="AF1276">
        <v>0</v>
      </c>
      <c r="AK1276">
        <v>3</v>
      </c>
      <c r="AL1276">
        <v>1</v>
      </c>
      <c r="AM1276">
        <v>0</v>
      </c>
      <c r="AN1276">
        <v>1</v>
      </c>
      <c r="AT1276">
        <v>1</v>
      </c>
      <c r="AZ1276">
        <v>8</v>
      </c>
      <c r="BA1276">
        <v>9</v>
      </c>
      <c r="BB1276">
        <v>13</v>
      </c>
      <c r="BC1276">
        <v>0</v>
      </c>
      <c r="BD1276">
        <v>7</v>
      </c>
      <c r="BE1276">
        <v>479</v>
      </c>
      <c r="BF1276">
        <v>479</v>
      </c>
      <c r="BG1276">
        <v>735</v>
      </c>
      <c r="BJ1276">
        <v>1</v>
      </c>
      <c r="BL1276" t="s">
        <v>2683</v>
      </c>
      <c r="BM1276" s="4">
        <v>43283.247916666667</v>
      </c>
      <c r="BN1276" s="4">
        <v>43283.274629629632</v>
      </c>
      <c r="BO1276" s="4">
        <v>43283.274629629632</v>
      </c>
      <c r="BP1276" t="s">
        <v>92</v>
      </c>
      <c r="BQ1276" t="s">
        <v>93</v>
      </c>
      <c r="BR1276" t="s">
        <v>94</v>
      </c>
    </row>
    <row r="1277" spans="1:70" x14ac:dyDescent="0.3">
      <c r="A1277" t="str">
        <f>"200670C0200"</f>
        <v>200670C0200</v>
      </c>
      <c r="B1277" t="s">
        <v>2684</v>
      </c>
      <c r="C1277">
        <v>20</v>
      </c>
      <c r="D1277" t="s">
        <v>88</v>
      </c>
      <c r="E1277">
        <v>76</v>
      </c>
      <c r="F1277" t="s">
        <v>2666</v>
      </c>
      <c r="G1277">
        <v>670</v>
      </c>
      <c r="H1277">
        <v>2</v>
      </c>
      <c r="I1277" t="s">
        <v>98</v>
      </c>
      <c r="J1277">
        <v>0</v>
      </c>
      <c r="K1277">
        <v>1</v>
      </c>
      <c r="L1277">
        <v>5</v>
      </c>
      <c r="M1277">
        <v>302</v>
      </c>
      <c r="N1277">
        <v>458</v>
      </c>
      <c r="O1277">
        <v>6</v>
      </c>
      <c r="P1277">
        <v>460</v>
      </c>
      <c r="Q1277">
        <v>36</v>
      </c>
      <c r="R1277">
        <v>70</v>
      </c>
      <c r="S1277">
        <v>8</v>
      </c>
      <c r="T1277">
        <v>1</v>
      </c>
      <c r="U1277">
        <v>9</v>
      </c>
      <c r="V1277">
        <v>52</v>
      </c>
      <c r="W1277">
        <v>0</v>
      </c>
      <c r="X1277">
        <v>55</v>
      </c>
      <c r="Y1277">
        <v>187</v>
      </c>
      <c r="Z1277">
        <v>0</v>
      </c>
      <c r="AA1277">
        <v>1</v>
      </c>
      <c r="AB1277">
        <v>3</v>
      </c>
      <c r="AC1277">
        <v>4</v>
      </c>
      <c r="AD1277">
        <v>0</v>
      </c>
      <c r="AE1277">
        <v>0</v>
      </c>
      <c r="AF1277">
        <v>0</v>
      </c>
      <c r="AK1277">
        <v>5</v>
      </c>
      <c r="AL1277">
        <v>0</v>
      </c>
      <c r="AM1277">
        <v>0</v>
      </c>
      <c r="AN1277">
        <v>0</v>
      </c>
      <c r="AT1277">
        <v>2</v>
      </c>
      <c r="AZ1277">
        <v>1</v>
      </c>
      <c r="BA1277">
        <v>11</v>
      </c>
      <c r="BB1277">
        <v>7</v>
      </c>
      <c r="BC1277">
        <v>0</v>
      </c>
      <c r="BD1277">
        <v>8</v>
      </c>
      <c r="BE1277">
        <v>460</v>
      </c>
      <c r="BF1277">
        <v>460</v>
      </c>
      <c r="BG1277">
        <v>735</v>
      </c>
      <c r="BJ1277">
        <v>1</v>
      </c>
      <c r="BL1277" t="s">
        <v>2685</v>
      </c>
      <c r="BM1277" s="4">
        <v>43283.252083333333</v>
      </c>
      <c r="BN1277" s="4">
        <v>43283.280138888891</v>
      </c>
      <c r="BO1277" s="4">
        <v>43283.280138888891</v>
      </c>
      <c r="BP1277" t="s">
        <v>92</v>
      </c>
      <c r="BQ1277" t="s">
        <v>93</v>
      </c>
      <c r="BR1277" t="s">
        <v>94</v>
      </c>
    </row>
    <row r="1278" spans="1:70" x14ac:dyDescent="0.3">
      <c r="A1278" t="str">
        <f>"200670C0300"</f>
        <v>200670C0300</v>
      </c>
      <c r="B1278" t="s">
        <v>2686</v>
      </c>
      <c r="C1278">
        <v>20</v>
      </c>
      <c r="D1278" t="s">
        <v>88</v>
      </c>
      <c r="E1278">
        <v>76</v>
      </c>
      <c r="F1278" t="s">
        <v>2666</v>
      </c>
      <c r="G1278">
        <v>670</v>
      </c>
      <c r="H1278">
        <v>3</v>
      </c>
      <c r="I1278" t="s">
        <v>98</v>
      </c>
      <c r="J1278">
        <v>0</v>
      </c>
      <c r="K1278">
        <v>1</v>
      </c>
      <c r="L1278">
        <v>5</v>
      </c>
      <c r="M1278" t="s">
        <v>127</v>
      </c>
      <c r="N1278" t="s">
        <v>127</v>
      </c>
      <c r="O1278" t="s">
        <v>127</v>
      </c>
      <c r="P1278" t="s">
        <v>127</v>
      </c>
      <c r="Q1278" t="s">
        <v>127</v>
      </c>
      <c r="R1278" t="s">
        <v>127</v>
      </c>
      <c r="S1278" t="s">
        <v>127</v>
      </c>
      <c r="T1278" t="s">
        <v>127</v>
      </c>
      <c r="U1278" t="s">
        <v>127</v>
      </c>
      <c r="V1278" t="s">
        <v>127</v>
      </c>
      <c r="W1278" t="s">
        <v>127</v>
      </c>
      <c r="X1278" t="s">
        <v>127</v>
      </c>
      <c r="Y1278" t="s">
        <v>127</v>
      </c>
      <c r="Z1278" t="s">
        <v>127</v>
      </c>
      <c r="AA1278" t="s">
        <v>127</v>
      </c>
      <c r="AB1278" t="s">
        <v>127</v>
      </c>
      <c r="AC1278" t="s">
        <v>127</v>
      </c>
      <c r="AD1278" t="s">
        <v>127</v>
      </c>
      <c r="AE1278" t="s">
        <v>127</v>
      </c>
      <c r="AF1278" t="s">
        <v>127</v>
      </c>
      <c r="AK1278" t="s">
        <v>127</v>
      </c>
      <c r="AL1278" t="s">
        <v>127</v>
      </c>
      <c r="AM1278" t="s">
        <v>127</v>
      </c>
      <c r="AN1278" t="s">
        <v>127</v>
      </c>
      <c r="AT1278" t="s">
        <v>127</v>
      </c>
      <c r="AZ1278" t="s">
        <v>127</v>
      </c>
      <c r="BA1278" t="s">
        <v>127</v>
      </c>
      <c r="BB1278" t="s">
        <v>127</v>
      </c>
      <c r="BC1278" t="s">
        <v>127</v>
      </c>
      <c r="BD1278" t="s">
        <v>127</v>
      </c>
      <c r="BG1278">
        <v>734</v>
      </c>
      <c r="BI1278" t="s">
        <v>1244</v>
      </c>
      <c r="BJ1278">
        <v>0</v>
      </c>
      <c r="BL1278" t="s">
        <v>2687</v>
      </c>
      <c r="BM1278" s="4">
        <v>43283.482638888891</v>
      </c>
      <c r="BN1278" s="4">
        <v>43283.503842592596</v>
      </c>
      <c r="BO1278" s="4">
        <v>43283.503842592596</v>
      </c>
      <c r="BP1278" t="s">
        <v>92</v>
      </c>
      <c r="BQ1278" t="s">
        <v>93</v>
      </c>
      <c r="BR1278" t="s">
        <v>94</v>
      </c>
    </row>
    <row r="1279" spans="1:70" x14ac:dyDescent="0.3">
      <c r="A1279" t="str">
        <f>"200671B0100"</f>
        <v>200671B0100</v>
      </c>
      <c r="B1279" t="s">
        <v>2688</v>
      </c>
      <c r="C1279">
        <v>20</v>
      </c>
      <c r="D1279" t="s">
        <v>88</v>
      </c>
      <c r="E1279">
        <v>76</v>
      </c>
      <c r="F1279" t="s">
        <v>2666</v>
      </c>
      <c r="G1279">
        <v>671</v>
      </c>
      <c r="H1279">
        <v>1</v>
      </c>
      <c r="I1279" t="s">
        <v>90</v>
      </c>
      <c r="J1279">
        <v>0</v>
      </c>
      <c r="K1279">
        <v>1</v>
      </c>
      <c r="L1279">
        <v>5</v>
      </c>
      <c r="M1279" t="s">
        <v>127</v>
      </c>
      <c r="N1279" t="s">
        <v>127</v>
      </c>
      <c r="O1279">
        <v>3</v>
      </c>
      <c r="P1279" t="s">
        <v>127</v>
      </c>
      <c r="Q1279" t="s">
        <v>127</v>
      </c>
      <c r="R1279" t="s">
        <v>105</v>
      </c>
      <c r="S1279" t="s">
        <v>105</v>
      </c>
      <c r="T1279">
        <v>5</v>
      </c>
      <c r="U1279" t="s">
        <v>105</v>
      </c>
      <c r="V1279" t="s">
        <v>105</v>
      </c>
      <c r="W1279">
        <v>2</v>
      </c>
      <c r="X1279">
        <v>63</v>
      </c>
      <c r="Y1279" t="s">
        <v>127</v>
      </c>
      <c r="Z1279">
        <v>4</v>
      </c>
      <c r="AA1279">
        <v>0</v>
      </c>
      <c r="AB1279">
        <v>2</v>
      </c>
      <c r="AC1279">
        <v>1</v>
      </c>
      <c r="AD1279">
        <v>1</v>
      </c>
      <c r="AE1279">
        <v>0</v>
      </c>
      <c r="AF1279">
        <v>2</v>
      </c>
      <c r="AK1279">
        <v>2</v>
      </c>
      <c r="AL1279">
        <v>3</v>
      </c>
      <c r="AM1279">
        <v>0</v>
      </c>
      <c r="AN1279" t="s">
        <v>105</v>
      </c>
      <c r="AT1279">
        <v>2</v>
      </c>
      <c r="AZ1279">
        <v>8</v>
      </c>
      <c r="BA1279">
        <v>14</v>
      </c>
      <c r="BB1279">
        <v>2</v>
      </c>
      <c r="BC1279">
        <v>0</v>
      </c>
      <c r="BD1279">
        <v>15</v>
      </c>
      <c r="BE1279" t="s">
        <v>105</v>
      </c>
      <c r="BF1279">
        <v>126</v>
      </c>
      <c r="BG1279">
        <v>736</v>
      </c>
      <c r="BI1279" t="s">
        <v>106</v>
      </c>
      <c r="BJ1279">
        <v>1</v>
      </c>
      <c r="BL1279" t="s">
        <v>2689</v>
      </c>
      <c r="BM1279" s="4">
        <v>43283.402083333334</v>
      </c>
      <c r="BN1279" s="4">
        <v>43283.411493055559</v>
      </c>
      <c r="BO1279" s="4">
        <v>43283.411493055559</v>
      </c>
      <c r="BP1279" t="s">
        <v>92</v>
      </c>
      <c r="BQ1279" t="s">
        <v>93</v>
      </c>
      <c r="BR1279" t="s">
        <v>94</v>
      </c>
    </row>
    <row r="1280" spans="1:70" x14ac:dyDescent="0.3">
      <c r="A1280" t="str">
        <f>"200671C0100"</f>
        <v>200671C0100</v>
      </c>
      <c r="B1280" t="s">
        <v>2690</v>
      </c>
      <c r="C1280">
        <v>20</v>
      </c>
      <c r="D1280" t="s">
        <v>88</v>
      </c>
      <c r="E1280">
        <v>76</v>
      </c>
      <c r="F1280" t="s">
        <v>2666</v>
      </c>
      <c r="G1280">
        <v>671</v>
      </c>
      <c r="H1280">
        <v>1</v>
      </c>
      <c r="I1280" t="s">
        <v>98</v>
      </c>
      <c r="J1280">
        <v>0</v>
      </c>
      <c r="K1280">
        <v>1</v>
      </c>
      <c r="L1280">
        <v>5</v>
      </c>
      <c r="M1280">
        <v>284</v>
      </c>
      <c r="N1280">
        <v>481</v>
      </c>
      <c r="O1280">
        <v>7</v>
      </c>
      <c r="P1280">
        <v>478</v>
      </c>
      <c r="Q1280">
        <v>29</v>
      </c>
      <c r="R1280">
        <v>110</v>
      </c>
      <c r="S1280">
        <v>5</v>
      </c>
      <c r="T1280">
        <v>4</v>
      </c>
      <c r="U1280">
        <v>8</v>
      </c>
      <c r="V1280">
        <v>43</v>
      </c>
      <c r="W1280">
        <v>0</v>
      </c>
      <c r="X1280">
        <v>66</v>
      </c>
      <c r="Y1280">
        <v>168</v>
      </c>
      <c r="Z1280">
        <v>4</v>
      </c>
      <c r="AA1280">
        <v>0</v>
      </c>
      <c r="AB1280">
        <v>3</v>
      </c>
      <c r="AC1280">
        <v>1</v>
      </c>
      <c r="AD1280">
        <v>1</v>
      </c>
      <c r="AE1280">
        <v>0</v>
      </c>
      <c r="AF1280">
        <v>0</v>
      </c>
      <c r="AK1280">
        <v>2</v>
      </c>
      <c r="AL1280">
        <v>1</v>
      </c>
      <c r="AM1280">
        <v>0</v>
      </c>
      <c r="AN1280">
        <v>0</v>
      </c>
      <c r="AT1280">
        <v>2</v>
      </c>
      <c r="AZ1280">
        <v>4</v>
      </c>
      <c r="BA1280">
        <v>9</v>
      </c>
      <c r="BB1280">
        <v>7</v>
      </c>
      <c r="BC1280">
        <v>0</v>
      </c>
      <c r="BD1280">
        <v>11</v>
      </c>
      <c r="BE1280">
        <v>478</v>
      </c>
      <c r="BF1280">
        <v>478</v>
      </c>
      <c r="BG1280">
        <v>736</v>
      </c>
      <c r="BJ1280">
        <v>1</v>
      </c>
      <c r="BL1280" t="s">
        <v>2691</v>
      </c>
      <c r="BM1280" s="4">
        <v>43283.223611111112</v>
      </c>
      <c r="BN1280" s="4">
        <v>43283.247847222221</v>
      </c>
      <c r="BO1280" s="4">
        <v>43283.247847222221</v>
      </c>
      <c r="BP1280" t="s">
        <v>92</v>
      </c>
      <c r="BQ1280" t="s">
        <v>93</v>
      </c>
      <c r="BR1280" t="s">
        <v>94</v>
      </c>
    </row>
    <row r="1281" spans="1:70" x14ac:dyDescent="0.3">
      <c r="A1281" t="str">
        <f>"200672B0100"</f>
        <v>200672B0100</v>
      </c>
      <c r="B1281" t="s">
        <v>2692</v>
      </c>
      <c r="C1281">
        <v>20</v>
      </c>
      <c r="D1281" t="s">
        <v>88</v>
      </c>
      <c r="E1281">
        <v>76</v>
      </c>
      <c r="F1281" t="s">
        <v>2666</v>
      </c>
      <c r="G1281">
        <v>672</v>
      </c>
      <c r="H1281">
        <v>1</v>
      </c>
      <c r="I1281" t="s">
        <v>90</v>
      </c>
      <c r="J1281">
        <v>0</v>
      </c>
      <c r="K1281">
        <v>1</v>
      </c>
      <c r="L1281">
        <v>5</v>
      </c>
      <c r="M1281">
        <v>240</v>
      </c>
      <c r="N1281">
        <v>371</v>
      </c>
      <c r="O1281">
        <v>11</v>
      </c>
      <c r="P1281">
        <v>371</v>
      </c>
      <c r="Q1281">
        <v>14</v>
      </c>
      <c r="R1281">
        <v>101</v>
      </c>
      <c r="S1281">
        <v>9</v>
      </c>
      <c r="T1281">
        <v>5</v>
      </c>
      <c r="U1281">
        <v>3</v>
      </c>
      <c r="V1281">
        <v>25</v>
      </c>
      <c r="W1281">
        <v>1</v>
      </c>
      <c r="X1281">
        <v>45</v>
      </c>
      <c r="Y1281">
        <v>127</v>
      </c>
      <c r="Z1281">
        <v>5</v>
      </c>
      <c r="AA1281">
        <v>0</v>
      </c>
      <c r="AB1281">
        <v>0</v>
      </c>
      <c r="AC1281">
        <v>2</v>
      </c>
      <c r="AD1281">
        <v>1</v>
      </c>
      <c r="AE1281">
        <v>0</v>
      </c>
      <c r="AF1281">
        <v>0</v>
      </c>
      <c r="AK1281">
        <v>2</v>
      </c>
      <c r="AL1281">
        <v>1</v>
      </c>
      <c r="AM1281">
        <v>0</v>
      </c>
      <c r="AN1281">
        <v>1</v>
      </c>
      <c r="AT1281">
        <v>2</v>
      </c>
      <c r="AZ1281">
        <v>8</v>
      </c>
      <c r="BA1281">
        <v>5</v>
      </c>
      <c r="BB1281">
        <v>5</v>
      </c>
      <c r="BC1281">
        <v>0</v>
      </c>
      <c r="BD1281">
        <v>10</v>
      </c>
      <c r="BE1281">
        <v>372</v>
      </c>
      <c r="BF1281">
        <v>372</v>
      </c>
      <c r="BG1281">
        <v>585</v>
      </c>
      <c r="BJ1281">
        <v>1</v>
      </c>
      <c r="BL1281" t="s">
        <v>2693</v>
      </c>
      <c r="BM1281" s="4">
        <v>43283.271527777775</v>
      </c>
      <c r="BN1281" s="4">
        <v>43283.298182870371</v>
      </c>
      <c r="BO1281" s="4">
        <v>43283.298182870371</v>
      </c>
      <c r="BP1281" t="s">
        <v>92</v>
      </c>
      <c r="BQ1281" t="s">
        <v>93</v>
      </c>
      <c r="BR1281" t="s">
        <v>94</v>
      </c>
    </row>
    <row r="1282" spans="1:70" x14ac:dyDescent="0.3">
      <c r="A1282" t="str">
        <f>"200672C0100"</f>
        <v>200672C0100</v>
      </c>
      <c r="B1282" t="s">
        <v>2694</v>
      </c>
      <c r="C1282">
        <v>20</v>
      </c>
      <c r="D1282" t="s">
        <v>88</v>
      </c>
      <c r="E1282">
        <v>76</v>
      </c>
      <c r="F1282" t="s">
        <v>2666</v>
      </c>
      <c r="G1282">
        <v>672</v>
      </c>
      <c r="H1282">
        <v>1</v>
      </c>
      <c r="I1282" t="s">
        <v>98</v>
      </c>
      <c r="J1282">
        <v>0</v>
      </c>
      <c r="K1282">
        <v>1</v>
      </c>
      <c r="L1282">
        <v>5</v>
      </c>
      <c r="M1282">
        <v>218</v>
      </c>
      <c r="N1282">
        <v>392</v>
      </c>
      <c r="O1282">
        <v>0</v>
      </c>
      <c r="P1282">
        <v>392</v>
      </c>
      <c r="Q1282">
        <v>21</v>
      </c>
      <c r="R1282">
        <v>98</v>
      </c>
      <c r="S1282">
        <v>9</v>
      </c>
      <c r="T1282">
        <v>5</v>
      </c>
      <c r="U1282">
        <v>4</v>
      </c>
      <c r="V1282">
        <v>26</v>
      </c>
      <c r="W1282">
        <v>3</v>
      </c>
      <c r="X1282">
        <v>47</v>
      </c>
      <c r="Y1282">
        <v>131</v>
      </c>
      <c r="Z1282">
        <v>3</v>
      </c>
      <c r="AA1282">
        <v>0</v>
      </c>
      <c r="AB1282">
        <v>3</v>
      </c>
      <c r="AC1282">
        <v>2</v>
      </c>
      <c r="AD1282">
        <v>1</v>
      </c>
      <c r="AE1282">
        <v>0</v>
      </c>
      <c r="AF1282">
        <v>1</v>
      </c>
      <c r="AK1282">
        <v>2</v>
      </c>
      <c r="AL1282">
        <v>2</v>
      </c>
      <c r="AM1282">
        <v>0</v>
      </c>
      <c r="AN1282">
        <v>0</v>
      </c>
      <c r="AT1282">
        <v>1</v>
      </c>
      <c r="AZ1282">
        <v>11</v>
      </c>
      <c r="BA1282">
        <v>3</v>
      </c>
      <c r="BB1282">
        <v>11</v>
      </c>
      <c r="BC1282">
        <v>0</v>
      </c>
      <c r="BD1282">
        <v>8</v>
      </c>
      <c r="BE1282">
        <v>392</v>
      </c>
      <c r="BF1282">
        <v>392</v>
      </c>
      <c r="BG1282">
        <v>585</v>
      </c>
      <c r="BJ1282">
        <v>1</v>
      </c>
      <c r="BL1282" t="s">
        <v>2695</v>
      </c>
      <c r="BM1282" s="4">
        <v>43283.269444444442</v>
      </c>
      <c r="BN1282" s="4">
        <v>43283.299768518518</v>
      </c>
      <c r="BO1282" s="4">
        <v>43283.299768518518</v>
      </c>
      <c r="BP1282" t="s">
        <v>92</v>
      </c>
      <c r="BQ1282" t="s">
        <v>93</v>
      </c>
      <c r="BR1282" t="s">
        <v>94</v>
      </c>
    </row>
    <row r="1283" spans="1:70" x14ac:dyDescent="0.3">
      <c r="A1283" t="str">
        <f>"200672C0200"</f>
        <v>200672C0200</v>
      </c>
      <c r="B1283" t="s">
        <v>2696</v>
      </c>
      <c r="C1283">
        <v>20</v>
      </c>
      <c r="D1283" t="s">
        <v>88</v>
      </c>
      <c r="E1283">
        <v>76</v>
      </c>
      <c r="F1283" t="s">
        <v>2666</v>
      </c>
      <c r="G1283">
        <v>672</v>
      </c>
      <c r="H1283">
        <v>2</v>
      </c>
      <c r="I1283" t="s">
        <v>98</v>
      </c>
      <c r="J1283">
        <v>0</v>
      </c>
      <c r="K1283">
        <v>1</v>
      </c>
      <c r="L1283">
        <v>5</v>
      </c>
      <c r="M1283">
        <v>220</v>
      </c>
      <c r="N1283">
        <v>391</v>
      </c>
      <c r="O1283">
        <v>3</v>
      </c>
      <c r="P1283">
        <v>391</v>
      </c>
      <c r="Q1283">
        <v>18</v>
      </c>
      <c r="R1283">
        <v>119</v>
      </c>
      <c r="S1283">
        <v>10</v>
      </c>
      <c r="T1283">
        <v>5</v>
      </c>
      <c r="U1283">
        <v>6</v>
      </c>
      <c r="V1283">
        <v>34</v>
      </c>
      <c r="W1283">
        <v>1</v>
      </c>
      <c r="X1283">
        <v>43</v>
      </c>
      <c r="Y1283">
        <v>110</v>
      </c>
      <c r="Z1283">
        <v>1</v>
      </c>
      <c r="AA1283">
        <v>0</v>
      </c>
      <c r="AB1283">
        <v>2</v>
      </c>
      <c r="AC1283">
        <v>4</v>
      </c>
      <c r="AD1283">
        <v>0</v>
      </c>
      <c r="AE1283">
        <v>0</v>
      </c>
      <c r="AF1283">
        <v>0</v>
      </c>
      <c r="AK1283">
        <v>2</v>
      </c>
      <c r="AL1283">
        <v>2</v>
      </c>
      <c r="AM1283">
        <v>0</v>
      </c>
      <c r="AN1283">
        <v>1</v>
      </c>
      <c r="AT1283">
        <v>1</v>
      </c>
      <c r="AZ1283">
        <v>7</v>
      </c>
      <c r="BA1283">
        <v>2</v>
      </c>
      <c r="BB1283">
        <v>7</v>
      </c>
      <c r="BC1283">
        <v>0</v>
      </c>
      <c r="BD1283">
        <v>16</v>
      </c>
      <c r="BE1283">
        <v>391</v>
      </c>
      <c r="BF1283">
        <v>391</v>
      </c>
      <c r="BG1283">
        <v>585</v>
      </c>
      <c r="BJ1283">
        <v>1</v>
      </c>
      <c r="BL1283" t="s">
        <v>2697</v>
      </c>
      <c r="BM1283" s="4">
        <v>43283.274305555555</v>
      </c>
      <c r="BN1283" s="4">
        <v>43283.301006944443</v>
      </c>
      <c r="BO1283" s="4">
        <v>43283.301006944443</v>
      </c>
      <c r="BP1283" t="s">
        <v>92</v>
      </c>
      <c r="BQ1283" t="s">
        <v>93</v>
      </c>
      <c r="BR1283" t="s">
        <v>94</v>
      </c>
    </row>
    <row r="1284" spans="1:70" x14ac:dyDescent="0.3">
      <c r="A1284" t="str">
        <f>"200673B0100"</f>
        <v>200673B0100</v>
      </c>
      <c r="B1284" t="s">
        <v>2698</v>
      </c>
      <c r="C1284">
        <v>20</v>
      </c>
      <c r="D1284" t="s">
        <v>88</v>
      </c>
      <c r="E1284">
        <v>76</v>
      </c>
      <c r="F1284" t="s">
        <v>2666</v>
      </c>
      <c r="G1284">
        <v>673</v>
      </c>
      <c r="H1284">
        <v>1</v>
      </c>
      <c r="I1284" t="s">
        <v>90</v>
      </c>
      <c r="J1284">
        <v>0</v>
      </c>
      <c r="K1284">
        <v>1</v>
      </c>
      <c r="L1284">
        <v>5</v>
      </c>
      <c r="M1284">
        <v>335</v>
      </c>
      <c r="N1284">
        <v>408</v>
      </c>
      <c r="O1284">
        <v>12</v>
      </c>
      <c r="P1284">
        <v>399</v>
      </c>
      <c r="Q1284">
        <v>24</v>
      </c>
      <c r="R1284">
        <v>95</v>
      </c>
      <c r="S1284">
        <v>9</v>
      </c>
      <c r="T1284">
        <v>5</v>
      </c>
      <c r="U1284">
        <v>11</v>
      </c>
      <c r="V1284">
        <v>30</v>
      </c>
      <c r="W1284">
        <v>1</v>
      </c>
      <c r="X1284">
        <v>54</v>
      </c>
      <c r="Y1284">
        <v>110</v>
      </c>
      <c r="Z1284">
        <v>3</v>
      </c>
      <c r="AA1284">
        <v>0</v>
      </c>
      <c r="AB1284">
        <v>8</v>
      </c>
      <c r="AC1284">
        <v>2</v>
      </c>
      <c r="AD1284">
        <v>1</v>
      </c>
      <c r="AE1284">
        <v>0</v>
      </c>
      <c r="AF1284">
        <v>0</v>
      </c>
      <c r="AK1284">
        <v>1</v>
      </c>
      <c r="AL1284">
        <v>1</v>
      </c>
      <c r="AM1284">
        <v>0</v>
      </c>
      <c r="AN1284">
        <v>0</v>
      </c>
      <c r="AT1284">
        <v>3</v>
      </c>
      <c r="AZ1284">
        <v>7</v>
      </c>
      <c r="BA1284">
        <v>5</v>
      </c>
      <c r="BB1284">
        <v>14</v>
      </c>
      <c r="BC1284">
        <v>0</v>
      </c>
      <c r="BD1284">
        <v>15</v>
      </c>
      <c r="BE1284">
        <v>399</v>
      </c>
      <c r="BF1284">
        <v>399</v>
      </c>
      <c r="BG1284">
        <v>715</v>
      </c>
      <c r="BJ1284">
        <v>1</v>
      </c>
      <c r="BL1284" t="s">
        <v>2699</v>
      </c>
      <c r="BM1284" s="4">
        <v>43283.370833333334</v>
      </c>
      <c r="BN1284" s="4">
        <v>43283.380115740743</v>
      </c>
      <c r="BO1284" s="4">
        <v>43283.380115740743</v>
      </c>
      <c r="BP1284" t="s">
        <v>92</v>
      </c>
      <c r="BQ1284" t="s">
        <v>93</v>
      </c>
      <c r="BR1284" t="s">
        <v>94</v>
      </c>
    </row>
    <row r="1285" spans="1:70" x14ac:dyDescent="0.3">
      <c r="A1285" t="str">
        <f>"200673C0100"</f>
        <v>200673C0100</v>
      </c>
      <c r="B1285" t="s">
        <v>2700</v>
      </c>
      <c r="C1285">
        <v>20</v>
      </c>
      <c r="D1285" t="s">
        <v>88</v>
      </c>
      <c r="E1285">
        <v>76</v>
      </c>
      <c r="F1285" t="s">
        <v>2666</v>
      </c>
      <c r="G1285">
        <v>673</v>
      </c>
      <c r="H1285">
        <v>1</v>
      </c>
      <c r="I1285" t="s">
        <v>98</v>
      </c>
      <c r="J1285">
        <v>0</v>
      </c>
      <c r="K1285">
        <v>1</v>
      </c>
      <c r="L1285">
        <v>5</v>
      </c>
      <c r="M1285">
        <v>303</v>
      </c>
      <c r="N1285">
        <v>436</v>
      </c>
      <c r="O1285">
        <v>6</v>
      </c>
      <c r="P1285">
        <v>439</v>
      </c>
      <c r="Q1285">
        <v>27</v>
      </c>
      <c r="R1285">
        <v>87</v>
      </c>
      <c r="S1285">
        <v>10</v>
      </c>
      <c r="T1285">
        <v>5</v>
      </c>
      <c r="U1285">
        <v>12</v>
      </c>
      <c r="V1285">
        <v>29</v>
      </c>
      <c r="W1285">
        <v>8</v>
      </c>
      <c r="X1285">
        <v>36</v>
      </c>
      <c r="Y1285">
        <v>166</v>
      </c>
      <c r="Z1285">
        <v>2</v>
      </c>
      <c r="AA1285">
        <v>0</v>
      </c>
      <c r="AB1285">
        <v>3</v>
      </c>
      <c r="AC1285">
        <v>1</v>
      </c>
      <c r="AD1285">
        <v>0</v>
      </c>
      <c r="AE1285">
        <v>0</v>
      </c>
      <c r="AF1285">
        <v>1</v>
      </c>
      <c r="AK1285">
        <v>3</v>
      </c>
      <c r="AL1285">
        <v>0</v>
      </c>
      <c r="AM1285">
        <v>0</v>
      </c>
      <c r="AN1285">
        <v>0</v>
      </c>
      <c r="AT1285">
        <v>2</v>
      </c>
      <c r="AZ1285">
        <v>8</v>
      </c>
      <c r="BA1285">
        <v>6</v>
      </c>
      <c r="BB1285">
        <v>8</v>
      </c>
      <c r="BC1285">
        <v>0</v>
      </c>
      <c r="BD1285">
        <v>18</v>
      </c>
      <c r="BE1285">
        <v>439</v>
      </c>
      <c r="BF1285">
        <v>432</v>
      </c>
      <c r="BG1285">
        <v>715</v>
      </c>
      <c r="BJ1285">
        <v>1</v>
      </c>
      <c r="BL1285" t="s">
        <v>2701</v>
      </c>
      <c r="BM1285" s="4">
        <v>43283.367361111108</v>
      </c>
      <c r="BN1285" s="4">
        <v>43283.398425925923</v>
      </c>
      <c r="BO1285" s="4">
        <v>43283.398425925923</v>
      </c>
      <c r="BP1285" t="s">
        <v>92</v>
      </c>
      <c r="BQ1285" t="s">
        <v>93</v>
      </c>
      <c r="BR1285" t="s">
        <v>94</v>
      </c>
    </row>
    <row r="1286" spans="1:70" x14ac:dyDescent="0.3">
      <c r="A1286" t="str">
        <f>"200673C0200"</f>
        <v>200673C0200</v>
      </c>
      <c r="B1286" t="s">
        <v>2702</v>
      </c>
      <c r="C1286">
        <v>20</v>
      </c>
      <c r="D1286" t="s">
        <v>88</v>
      </c>
      <c r="E1286">
        <v>76</v>
      </c>
      <c r="F1286" t="s">
        <v>2666</v>
      </c>
      <c r="G1286">
        <v>673</v>
      </c>
      <c r="H1286">
        <v>2</v>
      </c>
      <c r="I1286" t="s">
        <v>98</v>
      </c>
      <c r="J1286">
        <v>0</v>
      </c>
      <c r="K1286">
        <v>1</v>
      </c>
      <c r="L1286">
        <v>5</v>
      </c>
      <c r="M1286">
        <v>336</v>
      </c>
      <c r="N1286">
        <v>409</v>
      </c>
      <c r="O1286">
        <v>9</v>
      </c>
      <c r="P1286">
        <v>408</v>
      </c>
      <c r="Q1286">
        <v>24</v>
      </c>
      <c r="R1286">
        <v>95</v>
      </c>
      <c r="S1286">
        <v>6</v>
      </c>
      <c r="T1286">
        <v>5</v>
      </c>
      <c r="U1286">
        <v>9</v>
      </c>
      <c r="V1286">
        <v>33</v>
      </c>
      <c r="W1286">
        <v>3</v>
      </c>
      <c r="X1286">
        <v>32</v>
      </c>
      <c r="Y1286">
        <v>140</v>
      </c>
      <c r="Z1286">
        <v>3</v>
      </c>
      <c r="AA1286">
        <v>1</v>
      </c>
      <c r="AB1286">
        <v>5</v>
      </c>
      <c r="AC1286">
        <v>1</v>
      </c>
      <c r="AD1286">
        <v>0</v>
      </c>
      <c r="AE1286">
        <v>0</v>
      </c>
      <c r="AF1286">
        <v>0</v>
      </c>
      <c r="AK1286">
        <v>3</v>
      </c>
      <c r="AL1286">
        <v>6</v>
      </c>
      <c r="AM1286">
        <v>0</v>
      </c>
      <c r="AN1286">
        <v>2</v>
      </c>
      <c r="AT1286">
        <v>0</v>
      </c>
      <c r="AZ1286">
        <v>13</v>
      </c>
      <c r="BA1286">
        <v>5</v>
      </c>
      <c r="BB1286">
        <v>10</v>
      </c>
      <c r="BC1286">
        <v>0</v>
      </c>
      <c r="BD1286">
        <v>12</v>
      </c>
      <c r="BE1286">
        <v>408</v>
      </c>
      <c r="BF1286">
        <v>408</v>
      </c>
      <c r="BG1286">
        <v>714</v>
      </c>
      <c r="BJ1286">
        <v>1</v>
      </c>
      <c r="BL1286" t="s">
        <v>2703</v>
      </c>
      <c r="BM1286" s="4">
        <v>43283.365972222222</v>
      </c>
      <c r="BN1286" s="4">
        <v>43283.37568287037</v>
      </c>
      <c r="BO1286" s="4">
        <v>43283.37568287037</v>
      </c>
      <c r="BP1286" t="s">
        <v>92</v>
      </c>
      <c r="BQ1286" t="s">
        <v>93</v>
      </c>
      <c r="BR1286" t="s">
        <v>94</v>
      </c>
    </row>
    <row r="1287" spans="1:70" x14ac:dyDescent="0.3">
      <c r="A1287" t="str">
        <f>"200673C0300"</f>
        <v>200673C0300</v>
      </c>
      <c r="B1287" t="s">
        <v>2704</v>
      </c>
      <c r="C1287">
        <v>20</v>
      </c>
      <c r="D1287" t="s">
        <v>88</v>
      </c>
      <c r="E1287">
        <v>76</v>
      </c>
      <c r="F1287" t="s">
        <v>2666</v>
      </c>
      <c r="G1287">
        <v>673</v>
      </c>
      <c r="H1287">
        <v>3</v>
      </c>
      <c r="I1287" t="s">
        <v>98</v>
      </c>
      <c r="J1287">
        <v>0</v>
      </c>
      <c r="K1287">
        <v>1</v>
      </c>
      <c r="L1287">
        <v>5</v>
      </c>
      <c r="M1287">
        <v>303</v>
      </c>
      <c r="N1287">
        <v>436</v>
      </c>
      <c r="O1287">
        <v>6</v>
      </c>
      <c r="P1287">
        <v>439</v>
      </c>
      <c r="Q1287">
        <v>27</v>
      </c>
      <c r="R1287">
        <v>87</v>
      </c>
      <c r="S1287">
        <v>10</v>
      </c>
      <c r="T1287">
        <v>5</v>
      </c>
      <c r="U1287">
        <v>12</v>
      </c>
      <c r="V1287">
        <v>29</v>
      </c>
      <c r="W1287">
        <v>8</v>
      </c>
      <c r="X1287">
        <v>36</v>
      </c>
      <c r="Y1287">
        <v>166</v>
      </c>
      <c r="Z1287">
        <v>2</v>
      </c>
      <c r="AA1287">
        <v>0</v>
      </c>
      <c r="AB1287">
        <v>3</v>
      </c>
      <c r="AC1287">
        <v>1</v>
      </c>
      <c r="AD1287">
        <v>0</v>
      </c>
      <c r="AE1287">
        <v>0</v>
      </c>
      <c r="AF1287">
        <v>1</v>
      </c>
      <c r="AK1287">
        <v>3</v>
      </c>
      <c r="AL1287">
        <v>0</v>
      </c>
      <c r="AM1287">
        <v>0</v>
      </c>
      <c r="AN1287">
        <v>0</v>
      </c>
      <c r="AT1287">
        <v>2</v>
      </c>
      <c r="AZ1287">
        <v>8</v>
      </c>
      <c r="BA1287">
        <v>6</v>
      </c>
      <c r="BB1287">
        <v>8</v>
      </c>
      <c r="BC1287">
        <v>0</v>
      </c>
      <c r="BD1287">
        <v>18</v>
      </c>
      <c r="BE1287">
        <v>439</v>
      </c>
      <c r="BF1287">
        <v>432</v>
      </c>
      <c r="BG1287">
        <v>714</v>
      </c>
      <c r="BJ1287">
        <v>1</v>
      </c>
      <c r="BL1287" t="s">
        <v>2705</v>
      </c>
      <c r="BM1287" s="4">
        <v>43283.730555555558</v>
      </c>
      <c r="BN1287" s="4">
        <v>43283.736134259256</v>
      </c>
      <c r="BO1287" s="4">
        <v>43283.736134259256</v>
      </c>
      <c r="BP1287" t="s">
        <v>92</v>
      </c>
      <c r="BQ1287" t="s">
        <v>93</v>
      </c>
      <c r="BR1287" t="s">
        <v>94</v>
      </c>
    </row>
    <row r="1288" spans="1:70" x14ac:dyDescent="0.3">
      <c r="A1288" t="str">
        <f>"200673E0100"</f>
        <v>200673E0100</v>
      </c>
      <c r="B1288" s="2" t="s">
        <v>2706</v>
      </c>
      <c r="C1288">
        <v>20</v>
      </c>
      <c r="D1288" t="s">
        <v>88</v>
      </c>
      <c r="E1288">
        <v>76</v>
      </c>
      <c r="F1288" t="s">
        <v>2666</v>
      </c>
      <c r="G1288">
        <v>673</v>
      </c>
      <c r="H1288">
        <v>1</v>
      </c>
      <c r="I1288" t="s">
        <v>156</v>
      </c>
      <c r="J1288">
        <v>0</v>
      </c>
      <c r="K1288">
        <v>1</v>
      </c>
      <c r="L1288">
        <v>5</v>
      </c>
      <c r="M1288">
        <v>257</v>
      </c>
      <c r="N1288">
        <v>344</v>
      </c>
      <c r="O1288">
        <v>7</v>
      </c>
      <c r="P1288">
        <v>344</v>
      </c>
      <c r="Q1288">
        <v>14</v>
      </c>
      <c r="R1288">
        <v>70</v>
      </c>
      <c r="S1288">
        <v>6</v>
      </c>
      <c r="T1288">
        <v>3</v>
      </c>
      <c r="U1288">
        <v>11</v>
      </c>
      <c r="V1288">
        <v>21</v>
      </c>
      <c r="W1288">
        <v>2</v>
      </c>
      <c r="X1288">
        <v>48</v>
      </c>
      <c r="Y1288">
        <v>128</v>
      </c>
      <c r="Z1288">
        <v>1</v>
      </c>
      <c r="AA1288">
        <v>2</v>
      </c>
      <c r="AB1288">
        <v>0</v>
      </c>
      <c r="AC1288">
        <v>1</v>
      </c>
      <c r="AD1288">
        <v>0</v>
      </c>
      <c r="AE1288">
        <v>0</v>
      </c>
      <c r="AF1288">
        <v>0</v>
      </c>
      <c r="AK1288">
        <v>2</v>
      </c>
      <c r="AL1288">
        <v>0</v>
      </c>
      <c r="AM1288">
        <v>0</v>
      </c>
      <c r="AN1288">
        <v>1</v>
      </c>
      <c r="AT1288">
        <v>0</v>
      </c>
      <c r="AZ1288">
        <v>11</v>
      </c>
      <c r="BA1288">
        <v>3</v>
      </c>
      <c r="BB1288">
        <v>7</v>
      </c>
      <c r="BC1288">
        <v>0</v>
      </c>
      <c r="BD1288">
        <v>13</v>
      </c>
      <c r="BE1288">
        <v>344</v>
      </c>
      <c r="BF1288">
        <v>344</v>
      </c>
      <c r="BG1288">
        <v>575</v>
      </c>
      <c r="BJ1288">
        <v>1</v>
      </c>
      <c r="BL1288" t="s">
        <v>2707</v>
      </c>
      <c r="BM1288" s="4">
        <v>43283.372916666667</v>
      </c>
      <c r="BN1288" s="4">
        <v>43283.380011574074</v>
      </c>
      <c r="BO1288" s="4">
        <v>43283.380011574074</v>
      </c>
      <c r="BP1288" t="s">
        <v>92</v>
      </c>
      <c r="BQ1288" t="s">
        <v>93</v>
      </c>
      <c r="BR1288" t="s">
        <v>94</v>
      </c>
    </row>
    <row r="1289" spans="1:70" x14ac:dyDescent="0.3">
      <c r="A1289" t="str">
        <f>"200673E0101"</f>
        <v>200673E0101</v>
      </c>
      <c r="B1289" s="2" t="s">
        <v>2708</v>
      </c>
      <c r="C1289">
        <v>20</v>
      </c>
      <c r="D1289" t="s">
        <v>88</v>
      </c>
      <c r="E1289">
        <v>76</v>
      </c>
      <c r="F1289" t="s">
        <v>2666</v>
      </c>
      <c r="G1289">
        <v>673</v>
      </c>
      <c r="H1289">
        <v>1</v>
      </c>
      <c r="I1289" t="s">
        <v>156</v>
      </c>
      <c r="J1289">
        <v>1</v>
      </c>
      <c r="K1289">
        <v>1</v>
      </c>
      <c r="L1289">
        <v>5</v>
      </c>
      <c r="M1289">
        <v>257</v>
      </c>
      <c r="N1289">
        <v>343</v>
      </c>
      <c r="O1289">
        <v>5</v>
      </c>
      <c r="P1289">
        <v>347</v>
      </c>
      <c r="Q1289">
        <v>14</v>
      </c>
      <c r="R1289">
        <v>76</v>
      </c>
      <c r="S1289">
        <v>8</v>
      </c>
      <c r="T1289">
        <v>2</v>
      </c>
      <c r="U1289">
        <v>15</v>
      </c>
      <c r="V1289">
        <v>35</v>
      </c>
      <c r="W1289">
        <v>3</v>
      </c>
      <c r="X1289">
        <v>52</v>
      </c>
      <c r="Y1289">
        <v>114</v>
      </c>
      <c r="Z1289">
        <v>0</v>
      </c>
      <c r="AA1289">
        <v>0</v>
      </c>
      <c r="AB1289">
        <v>2</v>
      </c>
      <c r="AC1289">
        <v>0</v>
      </c>
      <c r="AD1289">
        <v>0</v>
      </c>
      <c r="AE1289">
        <v>0</v>
      </c>
      <c r="AF1289">
        <v>0</v>
      </c>
      <c r="AK1289">
        <v>3</v>
      </c>
      <c r="AL1289">
        <v>0</v>
      </c>
      <c r="AM1289">
        <v>0</v>
      </c>
      <c r="AN1289">
        <v>0</v>
      </c>
      <c r="AT1289">
        <v>1</v>
      </c>
      <c r="AZ1289">
        <v>9</v>
      </c>
      <c r="BA1289">
        <v>3</v>
      </c>
      <c r="BB1289">
        <v>2</v>
      </c>
      <c r="BC1289">
        <v>0</v>
      </c>
      <c r="BD1289">
        <v>8</v>
      </c>
      <c r="BE1289">
        <v>347</v>
      </c>
      <c r="BF1289">
        <v>347</v>
      </c>
      <c r="BG1289">
        <v>575</v>
      </c>
      <c r="BJ1289">
        <v>1</v>
      </c>
      <c r="BL1289" t="s">
        <v>2709</v>
      </c>
      <c r="BM1289" s="4">
        <v>43283.35833333333</v>
      </c>
      <c r="BN1289" s="4">
        <v>43283.371354166666</v>
      </c>
      <c r="BO1289" s="4">
        <v>43283.371354166666</v>
      </c>
      <c r="BP1289" t="s">
        <v>92</v>
      </c>
      <c r="BQ1289" t="s">
        <v>93</v>
      </c>
      <c r="BR1289" t="s">
        <v>94</v>
      </c>
    </row>
    <row r="1290" spans="1:70" x14ac:dyDescent="0.3">
      <c r="A1290" t="str">
        <f>"200673E0102"</f>
        <v>200673E0102</v>
      </c>
      <c r="B1290" s="2" t="s">
        <v>2710</v>
      </c>
      <c r="C1290">
        <v>20</v>
      </c>
      <c r="D1290" t="s">
        <v>88</v>
      </c>
      <c r="E1290">
        <v>76</v>
      </c>
      <c r="F1290" t="s">
        <v>2666</v>
      </c>
      <c r="G1290">
        <v>673</v>
      </c>
      <c r="H1290">
        <v>1</v>
      </c>
      <c r="I1290" t="s">
        <v>156</v>
      </c>
      <c r="J1290">
        <v>2</v>
      </c>
      <c r="K1290">
        <v>1</v>
      </c>
      <c r="L1290">
        <v>5</v>
      </c>
      <c r="BG1290">
        <v>575</v>
      </c>
      <c r="BI1290" t="s">
        <v>122</v>
      </c>
      <c r="BJ1290">
        <v>0</v>
      </c>
      <c r="BL1290" t="s">
        <v>2711</v>
      </c>
      <c r="BM1290" s="4">
        <v>43283.612500000003</v>
      </c>
      <c r="BN1290" s="4">
        <v>43283.637175925927</v>
      </c>
      <c r="BO1290" s="4">
        <v>43283.637175925927</v>
      </c>
      <c r="BP1290" t="s">
        <v>92</v>
      </c>
      <c r="BQ1290" t="s">
        <v>93</v>
      </c>
      <c r="BR1290" t="s">
        <v>94</v>
      </c>
    </row>
    <row r="1291" spans="1:70" x14ac:dyDescent="0.3">
      <c r="A1291" t="str">
        <f>"200673E0103"</f>
        <v>200673E0103</v>
      </c>
      <c r="B1291" s="2" t="s">
        <v>2712</v>
      </c>
      <c r="C1291">
        <v>20</v>
      </c>
      <c r="D1291" t="s">
        <v>88</v>
      </c>
      <c r="E1291">
        <v>76</v>
      </c>
      <c r="F1291" t="s">
        <v>2666</v>
      </c>
      <c r="G1291">
        <v>673</v>
      </c>
      <c r="H1291">
        <v>1</v>
      </c>
      <c r="I1291" t="s">
        <v>156</v>
      </c>
      <c r="J1291">
        <v>3</v>
      </c>
      <c r="K1291">
        <v>1</v>
      </c>
      <c r="L1291">
        <v>5</v>
      </c>
      <c r="M1291">
        <v>256</v>
      </c>
      <c r="N1291">
        <v>345</v>
      </c>
      <c r="O1291">
        <v>11</v>
      </c>
      <c r="P1291" t="s">
        <v>105</v>
      </c>
      <c r="Q1291">
        <v>27</v>
      </c>
      <c r="R1291">
        <v>78</v>
      </c>
      <c r="S1291">
        <v>5</v>
      </c>
      <c r="T1291">
        <v>2</v>
      </c>
      <c r="U1291">
        <v>9</v>
      </c>
      <c r="V1291">
        <v>18</v>
      </c>
      <c r="W1291">
        <v>2</v>
      </c>
      <c r="X1291">
        <v>60</v>
      </c>
      <c r="Y1291">
        <v>105</v>
      </c>
      <c r="Z1291">
        <v>4</v>
      </c>
      <c r="AA1291">
        <v>0</v>
      </c>
      <c r="AB1291">
        <v>1</v>
      </c>
      <c r="AC1291">
        <v>2</v>
      </c>
      <c r="AD1291">
        <v>1</v>
      </c>
      <c r="AE1291">
        <v>0</v>
      </c>
      <c r="AF1291">
        <v>0</v>
      </c>
      <c r="AK1291">
        <v>0</v>
      </c>
      <c r="AL1291">
        <v>4</v>
      </c>
      <c r="AM1291">
        <v>0</v>
      </c>
      <c r="AN1291">
        <v>0</v>
      </c>
      <c r="AT1291">
        <v>1</v>
      </c>
      <c r="AZ1291">
        <v>10</v>
      </c>
      <c r="BA1291">
        <v>4</v>
      </c>
      <c r="BB1291">
        <v>5</v>
      </c>
      <c r="BC1291">
        <v>0</v>
      </c>
      <c r="BD1291">
        <v>7</v>
      </c>
      <c r="BE1291">
        <v>345</v>
      </c>
      <c r="BF1291">
        <v>345</v>
      </c>
      <c r="BG1291">
        <v>575</v>
      </c>
      <c r="BJ1291">
        <v>1</v>
      </c>
      <c r="BL1291" s="2" t="s">
        <v>2713</v>
      </c>
      <c r="BM1291" s="4">
        <v>43283.671527777777</v>
      </c>
      <c r="BN1291" s="4">
        <v>43283.676550925928</v>
      </c>
      <c r="BO1291" s="4">
        <v>43283.676550925928</v>
      </c>
      <c r="BP1291" t="s">
        <v>92</v>
      </c>
      <c r="BQ1291" t="s">
        <v>93</v>
      </c>
      <c r="BR1291" t="s">
        <v>94</v>
      </c>
    </row>
    <row r="1292" spans="1:70" x14ac:dyDescent="0.3">
      <c r="A1292" t="str">
        <f>"200674B0100"</f>
        <v>200674B0100</v>
      </c>
      <c r="B1292" t="s">
        <v>2714</v>
      </c>
      <c r="C1292">
        <v>20</v>
      </c>
      <c r="D1292" t="s">
        <v>88</v>
      </c>
      <c r="E1292">
        <v>76</v>
      </c>
      <c r="F1292" t="s">
        <v>2666</v>
      </c>
      <c r="G1292">
        <v>674</v>
      </c>
      <c r="H1292">
        <v>1</v>
      </c>
      <c r="I1292" t="s">
        <v>90</v>
      </c>
      <c r="J1292">
        <v>0</v>
      </c>
      <c r="K1292">
        <v>1</v>
      </c>
      <c r="L1292">
        <v>5</v>
      </c>
      <c r="BG1292">
        <v>750</v>
      </c>
      <c r="BI1292" t="s">
        <v>365</v>
      </c>
      <c r="BJ1292">
        <v>0</v>
      </c>
      <c r="BL1292" t="s">
        <v>2715</v>
      </c>
      <c r="BM1292" s="4">
        <v>43283.605555555558</v>
      </c>
      <c r="BN1292" s="4">
        <v>43283.643645833334</v>
      </c>
      <c r="BO1292" s="4">
        <v>43283.643645833334</v>
      </c>
      <c r="BP1292" t="s">
        <v>92</v>
      </c>
      <c r="BQ1292" t="s">
        <v>93</v>
      </c>
      <c r="BR1292" t="s">
        <v>94</v>
      </c>
    </row>
    <row r="1293" spans="1:70" x14ac:dyDescent="0.3">
      <c r="A1293" t="str">
        <f>"200674C0100"</f>
        <v>200674C0100</v>
      </c>
      <c r="B1293" t="s">
        <v>2716</v>
      </c>
      <c r="C1293">
        <v>20</v>
      </c>
      <c r="D1293" t="s">
        <v>88</v>
      </c>
      <c r="E1293">
        <v>76</v>
      </c>
      <c r="F1293" t="s">
        <v>2666</v>
      </c>
      <c r="G1293">
        <v>674</v>
      </c>
      <c r="H1293">
        <v>1</v>
      </c>
      <c r="I1293" t="s">
        <v>98</v>
      </c>
      <c r="J1293">
        <v>0</v>
      </c>
      <c r="K1293">
        <v>1</v>
      </c>
      <c r="L1293">
        <v>5</v>
      </c>
      <c r="M1293">
        <v>248</v>
      </c>
      <c r="N1293">
        <v>527</v>
      </c>
      <c r="O1293">
        <v>6</v>
      </c>
      <c r="P1293">
        <v>525</v>
      </c>
      <c r="Q1293">
        <v>39</v>
      </c>
      <c r="R1293">
        <v>115</v>
      </c>
      <c r="S1293">
        <v>10</v>
      </c>
      <c r="T1293">
        <v>2</v>
      </c>
      <c r="U1293">
        <v>6</v>
      </c>
      <c r="V1293">
        <v>66</v>
      </c>
      <c r="W1293">
        <v>3</v>
      </c>
      <c r="X1293">
        <v>61</v>
      </c>
      <c r="Y1293">
        <v>158</v>
      </c>
      <c r="Z1293">
        <v>3</v>
      </c>
      <c r="AA1293">
        <v>1</v>
      </c>
      <c r="AB1293">
        <v>1</v>
      </c>
      <c r="AC1293">
        <v>4</v>
      </c>
      <c r="AD1293">
        <v>0</v>
      </c>
      <c r="AE1293">
        <v>0</v>
      </c>
      <c r="AF1293">
        <v>0</v>
      </c>
      <c r="AK1293">
        <v>3</v>
      </c>
      <c r="AL1293">
        <v>2</v>
      </c>
      <c r="AM1293">
        <v>0</v>
      </c>
      <c r="AN1293">
        <v>0</v>
      </c>
      <c r="AT1293">
        <v>3</v>
      </c>
      <c r="AZ1293">
        <v>9</v>
      </c>
      <c r="BA1293">
        <v>9</v>
      </c>
      <c r="BB1293">
        <v>9</v>
      </c>
      <c r="BC1293">
        <v>3</v>
      </c>
      <c r="BD1293">
        <v>18</v>
      </c>
      <c r="BE1293">
        <v>525</v>
      </c>
      <c r="BF1293">
        <v>525</v>
      </c>
      <c r="BG1293">
        <v>749</v>
      </c>
      <c r="BJ1293">
        <v>1</v>
      </c>
      <c r="BL1293" t="s">
        <v>2717</v>
      </c>
      <c r="BM1293" s="4">
        <v>43283.07708333333</v>
      </c>
      <c r="BN1293" s="4">
        <v>43283.082094907404</v>
      </c>
      <c r="BO1293" s="4">
        <v>43283.082094907404</v>
      </c>
      <c r="BP1293" t="s">
        <v>92</v>
      </c>
      <c r="BQ1293" t="s">
        <v>93</v>
      </c>
      <c r="BR1293" t="s">
        <v>94</v>
      </c>
    </row>
    <row r="1294" spans="1:70" x14ac:dyDescent="0.3">
      <c r="A1294" t="str">
        <f>"200675B0100"</f>
        <v>200675B0100</v>
      </c>
      <c r="B1294" t="s">
        <v>2718</v>
      </c>
      <c r="C1294">
        <v>20</v>
      </c>
      <c r="D1294" t="s">
        <v>88</v>
      </c>
      <c r="E1294">
        <v>76</v>
      </c>
      <c r="F1294" t="s">
        <v>2666</v>
      </c>
      <c r="G1294">
        <v>675</v>
      </c>
      <c r="H1294">
        <v>1</v>
      </c>
      <c r="I1294" t="s">
        <v>90</v>
      </c>
      <c r="J1294">
        <v>0</v>
      </c>
      <c r="K1294">
        <v>1</v>
      </c>
      <c r="L1294">
        <v>5</v>
      </c>
      <c r="M1294">
        <v>292</v>
      </c>
      <c r="N1294">
        <v>473</v>
      </c>
      <c r="O1294">
        <v>3</v>
      </c>
      <c r="P1294">
        <v>473</v>
      </c>
      <c r="Q1294">
        <v>23</v>
      </c>
      <c r="R1294">
        <v>102</v>
      </c>
      <c r="S1294">
        <v>10</v>
      </c>
      <c r="T1294">
        <v>7</v>
      </c>
      <c r="U1294">
        <v>8</v>
      </c>
      <c r="V1294">
        <v>32</v>
      </c>
      <c r="W1294">
        <v>3</v>
      </c>
      <c r="X1294">
        <v>48</v>
      </c>
      <c r="Y1294">
        <v>192</v>
      </c>
      <c r="Z1294">
        <v>8</v>
      </c>
      <c r="AA1294">
        <v>1</v>
      </c>
      <c r="AB1294">
        <v>1</v>
      </c>
      <c r="AC1294">
        <v>3</v>
      </c>
      <c r="AD1294">
        <v>0</v>
      </c>
      <c r="AE1294">
        <v>0</v>
      </c>
      <c r="AF1294">
        <v>0</v>
      </c>
      <c r="AK1294">
        <v>0</v>
      </c>
      <c r="AL1294">
        <v>1</v>
      </c>
      <c r="AM1294">
        <v>0</v>
      </c>
      <c r="AN1294">
        <v>1</v>
      </c>
      <c r="AT1294">
        <v>2</v>
      </c>
      <c r="AZ1294">
        <v>4</v>
      </c>
      <c r="BA1294">
        <v>6</v>
      </c>
      <c r="BB1294">
        <v>7</v>
      </c>
      <c r="BC1294">
        <v>0</v>
      </c>
      <c r="BD1294">
        <v>14</v>
      </c>
      <c r="BE1294">
        <v>473</v>
      </c>
      <c r="BF1294">
        <v>473</v>
      </c>
      <c r="BG1294">
        <v>739</v>
      </c>
      <c r="BJ1294">
        <v>1</v>
      </c>
      <c r="BL1294" t="s">
        <v>2719</v>
      </c>
      <c r="BM1294" s="4">
        <v>43283.101388888892</v>
      </c>
      <c r="BN1294" s="4">
        <v>43283.105173611111</v>
      </c>
      <c r="BO1294" s="4">
        <v>43283.105173611111</v>
      </c>
      <c r="BP1294" t="s">
        <v>92</v>
      </c>
      <c r="BQ1294" t="s">
        <v>93</v>
      </c>
      <c r="BR1294" t="s">
        <v>94</v>
      </c>
    </row>
    <row r="1295" spans="1:70" x14ac:dyDescent="0.3">
      <c r="A1295" t="str">
        <f>"200675C0100"</f>
        <v>200675C0100</v>
      </c>
      <c r="B1295" t="s">
        <v>2720</v>
      </c>
      <c r="C1295">
        <v>20</v>
      </c>
      <c r="D1295" t="s">
        <v>88</v>
      </c>
      <c r="E1295">
        <v>76</v>
      </c>
      <c r="F1295" t="s">
        <v>2666</v>
      </c>
      <c r="G1295">
        <v>675</v>
      </c>
      <c r="H1295">
        <v>1</v>
      </c>
      <c r="I1295" t="s">
        <v>98</v>
      </c>
      <c r="J1295">
        <v>0</v>
      </c>
      <c r="K1295">
        <v>1</v>
      </c>
      <c r="L1295">
        <v>5</v>
      </c>
      <c r="M1295">
        <v>264</v>
      </c>
      <c r="N1295">
        <v>501</v>
      </c>
      <c r="O1295" t="s">
        <v>105</v>
      </c>
      <c r="P1295">
        <v>501</v>
      </c>
      <c r="Q1295">
        <v>33</v>
      </c>
      <c r="R1295">
        <v>123</v>
      </c>
      <c r="S1295">
        <v>9</v>
      </c>
      <c r="T1295">
        <v>4</v>
      </c>
      <c r="U1295">
        <v>12</v>
      </c>
      <c r="V1295">
        <v>37</v>
      </c>
      <c r="W1295">
        <v>6</v>
      </c>
      <c r="X1295">
        <v>47</v>
      </c>
      <c r="Y1295">
        <v>183</v>
      </c>
      <c r="Z1295">
        <v>1</v>
      </c>
      <c r="AA1295" t="s">
        <v>105</v>
      </c>
      <c r="AB1295">
        <v>4</v>
      </c>
      <c r="AC1295" t="s">
        <v>105</v>
      </c>
      <c r="AD1295" t="s">
        <v>105</v>
      </c>
      <c r="AE1295" t="s">
        <v>105</v>
      </c>
      <c r="AF1295" t="s">
        <v>105</v>
      </c>
      <c r="AK1295">
        <v>3</v>
      </c>
      <c r="AL1295">
        <v>1</v>
      </c>
      <c r="AM1295">
        <v>2</v>
      </c>
      <c r="AN1295" t="s">
        <v>105</v>
      </c>
      <c r="AT1295">
        <v>3</v>
      </c>
      <c r="AZ1295">
        <v>6</v>
      </c>
      <c r="BA1295">
        <v>11</v>
      </c>
      <c r="BB1295">
        <v>4</v>
      </c>
      <c r="BC1295" t="s">
        <v>105</v>
      </c>
      <c r="BD1295">
        <v>12</v>
      </c>
      <c r="BE1295">
        <v>501</v>
      </c>
      <c r="BF1295">
        <v>501</v>
      </c>
      <c r="BG1295">
        <v>739</v>
      </c>
      <c r="BI1295" t="s">
        <v>106</v>
      </c>
      <c r="BJ1295">
        <v>1</v>
      </c>
      <c r="BL1295" t="s">
        <v>2721</v>
      </c>
      <c r="BM1295" s="4">
        <v>43283.104861111111</v>
      </c>
      <c r="BN1295" s="4">
        <v>43283.112835648149</v>
      </c>
      <c r="BO1295" s="4">
        <v>43283.112835648149</v>
      </c>
      <c r="BP1295" t="s">
        <v>92</v>
      </c>
      <c r="BQ1295" t="s">
        <v>93</v>
      </c>
      <c r="BR1295" t="s">
        <v>94</v>
      </c>
    </row>
    <row r="1296" spans="1:70" x14ac:dyDescent="0.3">
      <c r="A1296" t="str">
        <f>"200676B0100"</f>
        <v>200676B0100</v>
      </c>
      <c r="B1296" t="s">
        <v>2722</v>
      </c>
      <c r="C1296">
        <v>20</v>
      </c>
      <c r="D1296" t="s">
        <v>88</v>
      </c>
      <c r="E1296">
        <v>76</v>
      </c>
      <c r="F1296" t="s">
        <v>2666</v>
      </c>
      <c r="G1296">
        <v>676</v>
      </c>
      <c r="H1296">
        <v>1</v>
      </c>
      <c r="I1296" t="s">
        <v>90</v>
      </c>
      <c r="J1296">
        <v>0</v>
      </c>
      <c r="K1296">
        <v>1</v>
      </c>
      <c r="L1296">
        <v>5</v>
      </c>
      <c r="M1296">
        <v>177</v>
      </c>
      <c r="N1296">
        <v>434</v>
      </c>
      <c r="O1296">
        <v>5</v>
      </c>
      <c r="P1296">
        <v>434</v>
      </c>
      <c r="Q1296">
        <v>24</v>
      </c>
      <c r="R1296">
        <v>187</v>
      </c>
      <c r="S1296">
        <v>7</v>
      </c>
      <c r="T1296">
        <v>11</v>
      </c>
      <c r="U1296">
        <v>2</v>
      </c>
      <c r="V1296">
        <v>28</v>
      </c>
      <c r="W1296">
        <v>0</v>
      </c>
      <c r="X1296">
        <v>17</v>
      </c>
      <c r="Y1296">
        <v>119</v>
      </c>
      <c r="Z1296">
        <v>3</v>
      </c>
      <c r="AA1296">
        <v>0</v>
      </c>
      <c r="AB1296">
        <v>1</v>
      </c>
      <c r="AC1296">
        <v>1</v>
      </c>
      <c r="AD1296">
        <v>0</v>
      </c>
      <c r="AE1296">
        <v>0</v>
      </c>
      <c r="AF1296">
        <v>0</v>
      </c>
      <c r="AK1296">
        <v>2</v>
      </c>
      <c r="AL1296">
        <v>0</v>
      </c>
      <c r="AM1296">
        <v>0</v>
      </c>
      <c r="AN1296">
        <v>1</v>
      </c>
      <c r="AT1296">
        <v>2</v>
      </c>
      <c r="AZ1296">
        <v>12</v>
      </c>
      <c r="BA1296">
        <v>7</v>
      </c>
      <c r="BB1296">
        <v>5</v>
      </c>
      <c r="BC1296">
        <v>0</v>
      </c>
      <c r="BD1296">
        <v>7</v>
      </c>
      <c r="BE1296">
        <v>435</v>
      </c>
      <c r="BF1296">
        <v>436</v>
      </c>
      <c r="BG1296">
        <v>586</v>
      </c>
      <c r="BJ1296">
        <v>1</v>
      </c>
      <c r="BL1296" t="s">
        <v>2723</v>
      </c>
      <c r="BM1296" s="4">
        <v>43283.227777777778</v>
      </c>
      <c r="BN1296" s="4">
        <v>43283.250937500001</v>
      </c>
      <c r="BO1296" s="4">
        <v>43283.250937500001</v>
      </c>
      <c r="BP1296" t="s">
        <v>92</v>
      </c>
      <c r="BQ1296" t="s">
        <v>93</v>
      </c>
      <c r="BR1296" t="s">
        <v>94</v>
      </c>
    </row>
    <row r="1297" spans="1:70" x14ac:dyDescent="0.3">
      <c r="A1297" t="str">
        <f>"200676C0100"</f>
        <v>200676C0100</v>
      </c>
      <c r="B1297" t="s">
        <v>2724</v>
      </c>
      <c r="C1297">
        <v>20</v>
      </c>
      <c r="D1297" t="s">
        <v>88</v>
      </c>
      <c r="E1297">
        <v>76</v>
      </c>
      <c r="F1297" t="s">
        <v>2666</v>
      </c>
      <c r="G1297">
        <v>676</v>
      </c>
      <c r="H1297">
        <v>1</v>
      </c>
      <c r="I1297" t="s">
        <v>98</v>
      </c>
      <c r="J1297">
        <v>0</v>
      </c>
      <c r="K1297">
        <v>1</v>
      </c>
      <c r="L1297">
        <v>5</v>
      </c>
      <c r="BG1297">
        <v>585</v>
      </c>
      <c r="BI1297" t="s">
        <v>365</v>
      </c>
      <c r="BJ1297">
        <v>0</v>
      </c>
      <c r="BL1297" t="s">
        <v>2725</v>
      </c>
      <c r="BM1297" s="4">
        <v>43283.602083333331</v>
      </c>
      <c r="BN1297" s="4">
        <v>43283.646863425929</v>
      </c>
      <c r="BO1297" s="4">
        <v>43283.646863425929</v>
      </c>
      <c r="BP1297" t="s">
        <v>92</v>
      </c>
      <c r="BQ1297" t="s">
        <v>93</v>
      </c>
      <c r="BR1297" t="s">
        <v>94</v>
      </c>
    </row>
    <row r="1298" spans="1:70" x14ac:dyDescent="0.3">
      <c r="A1298" t="str">
        <f>"200677B0100"</f>
        <v>200677B0100</v>
      </c>
      <c r="B1298" t="s">
        <v>2726</v>
      </c>
      <c r="C1298">
        <v>20</v>
      </c>
      <c r="D1298" t="s">
        <v>88</v>
      </c>
      <c r="E1298">
        <v>76</v>
      </c>
      <c r="F1298" t="s">
        <v>2666</v>
      </c>
      <c r="G1298">
        <v>677</v>
      </c>
      <c r="H1298">
        <v>1</v>
      </c>
      <c r="I1298" t="s">
        <v>90</v>
      </c>
      <c r="J1298">
        <v>0</v>
      </c>
      <c r="K1298">
        <v>1</v>
      </c>
      <c r="L1298">
        <v>5</v>
      </c>
      <c r="M1298">
        <v>238</v>
      </c>
      <c r="N1298">
        <v>513</v>
      </c>
      <c r="O1298">
        <v>5</v>
      </c>
      <c r="P1298">
        <v>515</v>
      </c>
      <c r="Q1298">
        <v>35</v>
      </c>
      <c r="R1298">
        <v>186</v>
      </c>
      <c r="S1298">
        <v>11</v>
      </c>
      <c r="T1298">
        <v>8</v>
      </c>
      <c r="U1298">
        <v>10</v>
      </c>
      <c r="V1298">
        <v>24</v>
      </c>
      <c r="W1298">
        <v>7</v>
      </c>
      <c r="X1298">
        <v>32</v>
      </c>
      <c r="Y1298">
        <v>169</v>
      </c>
      <c r="Z1298">
        <v>2</v>
      </c>
      <c r="AA1298">
        <v>1</v>
      </c>
      <c r="AB1298">
        <v>3</v>
      </c>
      <c r="AC1298">
        <v>1</v>
      </c>
      <c r="AD1298">
        <v>1</v>
      </c>
      <c r="AE1298">
        <v>0</v>
      </c>
      <c r="AF1298">
        <v>0</v>
      </c>
      <c r="AK1298">
        <v>2</v>
      </c>
      <c r="AL1298">
        <v>1</v>
      </c>
      <c r="AM1298">
        <v>1</v>
      </c>
      <c r="AN1298">
        <v>0</v>
      </c>
      <c r="AT1298">
        <v>1</v>
      </c>
      <c r="AZ1298">
        <v>10</v>
      </c>
      <c r="BA1298">
        <v>7</v>
      </c>
      <c r="BB1298">
        <v>0</v>
      </c>
      <c r="BC1298">
        <v>1</v>
      </c>
      <c r="BD1298">
        <v>2</v>
      </c>
      <c r="BE1298">
        <v>515</v>
      </c>
      <c r="BF1298">
        <v>515</v>
      </c>
      <c r="BG1298">
        <v>730</v>
      </c>
      <c r="BJ1298">
        <v>1</v>
      </c>
      <c r="BL1298" t="s">
        <v>2727</v>
      </c>
      <c r="BM1298" s="4">
        <v>43283.394444444442</v>
      </c>
      <c r="BN1298" s="4">
        <v>43283.402025462965</v>
      </c>
      <c r="BO1298" s="4">
        <v>43283.402025462965</v>
      </c>
      <c r="BP1298" t="s">
        <v>92</v>
      </c>
      <c r="BQ1298" t="s">
        <v>93</v>
      </c>
      <c r="BR1298" t="s">
        <v>94</v>
      </c>
    </row>
    <row r="1299" spans="1:70" x14ac:dyDescent="0.3">
      <c r="A1299" t="str">
        <f>"200677C0100"</f>
        <v>200677C0100</v>
      </c>
      <c r="B1299" t="s">
        <v>2728</v>
      </c>
      <c r="C1299">
        <v>20</v>
      </c>
      <c r="D1299" t="s">
        <v>88</v>
      </c>
      <c r="E1299">
        <v>76</v>
      </c>
      <c r="F1299" t="s">
        <v>2666</v>
      </c>
      <c r="G1299">
        <v>677</v>
      </c>
      <c r="H1299">
        <v>1</v>
      </c>
      <c r="I1299" t="s">
        <v>98</v>
      </c>
      <c r="J1299">
        <v>0</v>
      </c>
      <c r="K1299">
        <v>1</v>
      </c>
      <c r="L1299">
        <v>5</v>
      </c>
      <c r="M1299" t="s">
        <v>105</v>
      </c>
      <c r="N1299" t="s">
        <v>127</v>
      </c>
      <c r="O1299">
        <v>8</v>
      </c>
      <c r="P1299">
        <v>523</v>
      </c>
      <c r="Q1299">
        <v>30</v>
      </c>
      <c r="R1299">
        <v>135</v>
      </c>
      <c r="S1299">
        <v>5</v>
      </c>
      <c r="T1299">
        <v>5</v>
      </c>
      <c r="U1299">
        <v>10</v>
      </c>
      <c r="V1299">
        <v>37</v>
      </c>
      <c r="W1299">
        <v>3</v>
      </c>
      <c r="X1299">
        <v>36</v>
      </c>
      <c r="Y1299">
        <v>182</v>
      </c>
      <c r="Z1299">
        <v>4</v>
      </c>
      <c r="AA1299">
        <v>1</v>
      </c>
      <c r="AB1299">
        <v>4</v>
      </c>
      <c r="AC1299">
        <v>0</v>
      </c>
      <c r="AD1299">
        <v>0</v>
      </c>
      <c r="AE1299">
        <v>0</v>
      </c>
      <c r="AF1299" t="s">
        <v>105</v>
      </c>
      <c r="AK1299" t="s">
        <v>105</v>
      </c>
      <c r="AL1299" t="s">
        <v>105</v>
      </c>
      <c r="AM1299" t="s">
        <v>105</v>
      </c>
      <c r="AN1299" t="s">
        <v>105</v>
      </c>
      <c r="AT1299" t="s">
        <v>105</v>
      </c>
      <c r="AZ1299" t="s">
        <v>105</v>
      </c>
      <c r="BA1299" t="s">
        <v>105</v>
      </c>
      <c r="BB1299" t="s">
        <v>105</v>
      </c>
      <c r="BC1299" t="s">
        <v>105</v>
      </c>
      <c r="BD1299" t="s">
        <v>105</v>
      </c>
      <c r="BE1299" t="s">
        <v>105</v>
      </c>
      <c r="BF1299">
        <v>452</v>
      </c>
      <c r="BG1299">
        <v>729</v>
      </c>
      <c r="BI1299" t="s">
        <v>106</v>
      </c>
      <c r="BJ1299">
        <v>1</v>
      </c>
      <c r="BL1299" t="s">
        <v>2729</v>
      </c>
      <c r="BM1299" s="4">
        <v>43283.397222222222</v>
      </c>
      <c r="BN1299" s="4">
        <v>43283.407986111109</v>
      </c>
      <c r="BO1299" s="4">
        <v>43283.407986111109</v>
      </c>
      <c r="BP1299" t="s">
        <v>92</v>
      </c>
      <c r="BQ1299" t="s">
        <v>93</v>
      </c>
      <c r="BR1299" t="s">
        <v>94</v>
      </c>
    </row>
    <row r="1300" spans="1:70" x14ac:dyDescent="0.3">
      <c r="A1300" t="str">
        <f>"200678B0100"</f>
        <v>200678B0100</v>
      </c>
      <c r="B1300" t="s">
        <v>2730</v>
      </c>
      <c r="C1300">
        <v>20</v>
      </c>
      <c r="D1300" t="s">
        <v>88</v>
      </c>
      <c r="E1300">
        <v>76</v>
      </c>
      <c r="F1300" t="s">
        <v>2666</v>
      </c>
      <c r="G1300">
        <v>678</v>
      </c>
      <c r="H1300">
        <v>1</v>
      </c>
      <c r="I1300" t="s">
        <v>90</v>
      </c>
      <c r="J1300">
        <v>0</v>
      </c>
      <c r="K1300">
        <v>1</v>
      </c>
      <c r="L1300">
        <v>5</v>
      </c>
      <c r="M1300">
        <v>250</v>
      </c>
      <c r="N1300">
        <v>344</v>
      </c>
      <c r="O1300">
        <v>6</v>
      </c>
      <c r="P1300">
        <v>344</v>
      </c>
      <c r="Q1300">
        <v>25</v>
      </c>
      <c r="R1300">
        <v>101</v>
      </c>
      <c r="S1300">
        <v>3</v>
      </c>
      <c r="T1300">
        <v>0</v>
      </c>
      <c r="U1300">
        <v>10</v>
      </c>
      <c r="V1300">
        <v>29</v>
      </c>
      <c r="W1300">
        <v>0</v>
      </c>
      <c r="X1300">
        <v>15</v>
      </c>
      <c r="Y1300">
        <v>126</v>
      </c>
      <c r="Z1300">
        <v>3</v>
      </c>
      <c r="AA1300">
        <v>0</v>
      </c>
      <c r="AB1300">
        <v>3</v>
      </c>
      <c r="AC1300">
        <v>0</v>
      </c>
      <c r="AD1300">
        <v>0</v>
      </c>
      <c r="AE1300">
        <v>0</v>
      </c>
      <c r="AF1300">
        <v>0</v>
      </c>
      <c r="AK1300">
        <v>0</v>
      </c>
      <c r="AL1300">
        <v>2</v>
      </c>
      <c r="AM1300">
        <v>0</v>
      </c>
      <c r="AN1300">
        <v>0</v>
      </c>
      <c r="AT1300">
        <v>2</v>
      </c>
      <c r="AZ1300">
        <v>12</v>
      </c>
      <c r="BA1300">
        <v>5</v>
      </c>
      <c r="BB1300">
        <v>5</v>
      </c>
      <c r="BC1300">
        <v>0</v>
      </c>
      <c r="BD1300">
        <v>4</v>
      </c>
      <c r="BE1300">
        <v>344</v>
      </c>
      <c r="BF1300">
        <v>345</v>
      </c>
      <c r="BG1300">
        <v>568</v>
      </c>
      <c r="BJ1300">
        <v>1</v>
      </c>
      <c r="BL1300" t="s">
        <v>2731</v>
      </c>
      <c r="BM1300" s="4">
        <v>43283.265972222223</v>
      </c>
      <c r="BN1300" s="4">
        <v>43283.292858796296</v>
      </c>
      <c r="BO1300" s="4">
        <v>43283.292858796296</v>
      </c>
      <c r="BP1300" t="s">
        <v>92</v>
      </c>
      <c r="BQ1300" t="s">
        <v>93</v>
      </c>
      <c r="BR1300" t="s">
        <v>94</v>
      </c>
    </row>
    <row r="1301" spans="1:70" x14ac:dyDescent="0.3">
      <c r="A1301" t="str">
        <f>"200678C0100"</f>
        <v>200678C0100</v>
      </c>
      <c r="B1301" t="s">
        <v>2732</v>
      </c>
      <c r="C1301">
        <v>20</v>
      </c>
      <c r="D1301" t="s">
        <v>88</v>
      </c>
      <c r="E1301">
        <v>76</v>
      </c>
      <c r="F1301" t="s">
        <v>2666</v>
      </c>
      <c r="G1301">
        <v>678</v>
      </c>
      <c r="H1301">
        <v>1</v>
      </c>
      <c r="I1301" t="s">
        <v>98</v>
      </c>
      <c r="J1301">
        <v>0</v>
      </c>
      <c r="K1301">
        <v>1</v>
      </c>
      <c r="L1301">
        <v>5</v>
      </c>
      <c r="M1301">
        <v>276</v>
      </c>
      <c r="N1301">
        <v>318</v>
      </c>
      <c r="O1301">
        <v>9</v>
      </c>
      <c r="P1301">
        <v>318</v>
      </c>
      <c r="Q1301">
        <v>26</v>
      </c>
      <c r="R1301">
        <v>77</v>
      </c>
      <c r="S1301">
        <v>7</v>
      </c>
      <c r="T1301">
        <v>6</v>
      </c>
      <c r="U1301">
        <v>5</v>
      </c>
      <c r="V1301">
        <v>23</v>
      </c>
      <c r="W1301">
        <v>1</v>
      </c>
      <c r="X1301">
        <v>25</v>
      </c>
      <c r="Y1301">
        <v>114</v>
      </c>
      <c r="Z1301">
        <v>3</v>
      </c>
      <c r="AA1301">
        <v>1</v>
      </c>
      <c r="AB1301">
        <v>2</v>
      </c>
      <c r="AC1301">
        <v>1</v>
      </c>
      <c r="AD1301">
        <v>0</v>
      </c>
      <c r="AE1301">
        <v>0</v>
      </c>
      <c r="AF1301">
        <v>0</v>
      </c>
      <c r="AK1301">
        <v>2</v>
      </c>
      <c r="AL1301">
        <v>1</v>
      </c>
      <c r="AM1301">
        <v>0</v>
      </c>
      <c r="AN1301">
        <v>1</v>
      </c>
      <c r="AT1301">
        <v>1</v>
      </c>
      <c r="AZ1301">
        <v>14</v>
      </c>
      <c r="BA1301">
        <v>2</v>
      </c>
      <c r="BB1301">
        <v>0</v>
      </c>
      <c r="BC1301">
        <v>0</v>
      </c>
      <c r="BD1301">
        <v>6</v>
      </c>
      <c r="BE1301">
        <v>317</v>
      </c>
      <c r="BF1301">
        <v>318</v>
      </c>
      <c r="BG1301">
        <v>568</v>
      </c>
      <c r="BJ1301">
        <v>1</v>
      </c>
      <c r="BL1301" t="s">
        <v>2733</v>
      </c>
      <c r="BM1301" s="4">
        <v>43283.256944444445</v>
      </c>
      <c r="BN1301" s="4">
        <v>43283.287164351852</v>
      </c>
      <c r="BO1301" s="4">
        <v>43283.287164351852</v>
      </c>
      <c r="BP1301" t="s">
        <v>92</v>
      </c>
      <c r="BQ1301" t="s">
        <v>93</v>
      </c>
      <c r="BR1301" t="s">
        <v>94</v>
      </c>
    </row>
    <row r="1302" spans="1:70" x14ac:dyDescent="0.3">
      <c r="A1302" t="str">
        <f>"200678C0200"</f>
        <v>200678C0200</v>
      </c>
      <c r="B1302" t="s">
        <v>2734</v>
      </c>
      <c r="C1302">
        <v>20</v>
      </c>
      <c r="D1302" t="s">
        <v>88</v>
      </c>
      <c r="E1302">
        <v>76</v>
      </c>
      <c r="F1302" t="s">
        <v>2666</v>
      </c>
      <c r="G1302">
        <v>678</v>
      </c>
      <c r="H1302">
        <v>2</v>
      </c>
      <c r="I1302" t="s">
        <v>98</v>
      </c>
      <c r="J1302">
        <v>0</v>
      </c>
      <c r="K1302">
        <v>1</v>
      </c>
      <c r="L1302">
        <v>5</v>
      </c>
      <c r="M1302">
        <v>237</v>
      </c>
      <c r="N1302">
        <v>356</v>
      </c>
      <c r="O1302">
        <v>7</v>
      </c>
      <c r="P1302">
        <v>356</v>
      </c>
      <c r="Q1302">
        <v>21</v>
      </c>
      <c r="R1302">
        <v>86</v>
      </c>
      <c r="S1302">
        <v>7</v>
      </c>
      <c r="T1302">
        <v>2</v>
      </c>
      <c r="U1302">
        <v>6</v>
      </c>
      <c r="V1302">
        <v>34</v>
      </c>
      <c r="W1302">
        <v>5</v>
      </c>
      <c r="X1302">
        <v>22</v>
      </c>
      <c r="Y1302">
        <v>124</v>
      </c>
      <c r="Z1302">
        <v>4</v>
      </c>
      <c r="AA1302" t="s">
        <v>105</v>
      </c>
      <c r="AB1302">
        <v>2</v>
      </c>
      <c r="AC1302">
        <v>1</v>
      </c>
      <c r="AD1302" t="s">
        <v>105</v>
      </c>
      <c r="AE1302">
        <v>1</v>
      </c>
      <c r="AF1302" t="s">
        <v>105</v>
      </c>
      <c r="AK1302" t="s">
        <v>105</v>
      </c>
      <c r="AL1302" t="s">
        <v>105</v>
      </c>
      <c r="AM1302" t="s">
        <v>105</v>
      </c>
      <c r="AN1302">
        <v>3</v>
      </c>
      <c r="AT1302">
        <v>1</v>
      </c>
      <c r="AZ1302">
        <v>18</v>
      </c>
      <c r="BA1302">
        <v>4</v>
      </c>
      <c r="BB1302">
        <v>9</v>
      </c>
      <c r="BC1302" t="s">
        <v>105</v>
      </c>
      <c r="BD1302">
        <v>6</v>
      </c>
      <c r="BE1302">
        <v>356</v>
      </c>
      <c r="BF1302">
        <v>356</v>
      </c>
      <c r="BG1302">
        <v>567</v>
      </c>
      <c r="BI1302" t="s">
        <v>106</v>
      </c>
      <c r="BJ1302">
        <v>1</v>
      </c>
      <c r="BL1302" t="s">
        <v>2735</v>
      </c>
      <c r="BM1302" s="4">
        <v>43283.261111111111</v>
      </c>
      <c r="BN1302" s="4">
        <v>43283.287314814814</v>
      </c>
      <c r="BO1302" s="4">
        <v>43283.287314814814</v>
      </c>
      <c r="BP1302" t="s">
        <v>92</v>
      </c>
      <c r="BQ1302" t="s">
        <v>93</v>
      </c>
      <c r="BR1302" t="s">
        <v>94</v>
      </c>
    </row>
    <row r="1303" spans="1:70" x14ac:dyDescent="0.3">
      <c r="A1303" t="str">
        <f>"200679B0100"</f>
        <v>200679B0100</v>
      </c>
      <c r="B1303" t="s">
        <v>2736</v>
      </c>
      <c r="C1303">
        <v>20</v>
      </c>
      <c r="D1303" t="s">
        <v>88</v>
      </c>
      <c r="E1303">
        <v>76</v>
      </c>
      <c r="F1303" t="s">
        <v>2666</v>
      </c>
      <c r="G1303">
        <v>679</v>
      </c>
      <c r="H1303">
        <v>1</v>
      </c>
      <c r="I1303" t="s">
        <v>90</v>
      </c>
      <c r="J1303">
        <v>0</v>
      </c>
      <c r="K1303">
        <v>1</v>
      </c>
      <c r="L1303">
        <v>5</v>
      </c>
      <c r="M1303">
        <v>250</v>
      </c>
      <c r="N1303">
        <v>362</v>
      </c>
      <c r="O1303">
        <v>1</v>
      </c>
      <c r="P1303">
        <v>362</v>
      </c>
      <c r="Q1303">
        <v>22</v>
      </c>
      <c r="R1303">
        <v>88</v>
      </c>
      <c r="S1303">
        <v>8</v>
      </c>
      <c r="T1303">
        <v>5</v>
      </c>
      <c r="U1303">
        <v>8</v>
      </c>
      <c r="V1303">
        <v>28</v>
      </c>
      <c r="W1303">
        <v>3</v>
      </c>
      <c r="X1303">
        <v>23</v>
      </c>
      <c r="Y1303">
        <v>115</v>
      </c>
      <c r="Z1303">
        <v>5</v>
      </c>
      <c r="AA1303">
        <v>0</v>
      </c>
      <c r="AB1303">
        <v>4</v>
      </c>
      <c r="AC1303">
        <v>3</v>
      </c>
      <c r="AD1303">
        <v>1</v>
      </c>
      <c r="AE1303">
        <v>1</v>
      </c>
      <c r="AF1303">
        <v>0</v>
      </c>
      <c r="AK1303">
        <v>5</v>
      </c>
      <c r="AL1303">
        <v>0</v>
      </c>
      <c r="AM1303">
        <v>0</v>
      </c>
      <c r="AN1303">
        <v>1</v>
      </c>
      <c r="AT1303">
        <v>2</v>
      </c>
      <c r="AZ1303">
        <v>10</v>
      </c>
      <c r="BA1303">
        <v>6</v>
      </c>
      <c r="BB1303">
        <v>12</v>
      </c>
      <c r="BC1303" t="s">
        <v>105</v>
      </c>
      <c r="BD1303">
        <v>11</v>
      </c>
      <c r="BE1303">
        <v>362</v>
      </c>
      <c r="BF1303">
        <v>361</v>
      </c>
      <c r="BG1303">
        <v>586</v>
      </c>
      <c r="BI1303" t="s">
        <v>106</v>
      </c>
      <c r="BJ1303">
        <v>1</v>
      </c>
      <c r="BL1303" t="s">
        <v>2737</v>
      </c>
      <c r="BM1303" s="4">
        <v>43283.425694444442</v>
      </c>
      <c r="BN1303" s="4">
        <v>43283.429791666669</v>
      </c>
      <c r="BO1303" s="4">
        <v>43283.429791666669</v>
      </c>
      <c r="BP1303" t="s">
        <v>92</v>
      </c>
      <c r="BQ1303" t="s">
        <v>93</v>
      </c>
      <c r="BR1303" t="s">
        <v>94</v>
      </c>
    </row>
    <row r="1304" spans="1:70" x14ac:dyDescent="0.3">
      <c r="A1304" t="str">
        <f>"200679C0100"</f>
        <v>200679C0100</v>
      </c>
      <c r="B1304" t="s">
        <v>2738</v>
      </c>
      <c r="C1304">
        <v>20</v>
      </c>
      <c r="D1304" t="s">
        <v>88</v>
      </c>
      <c r="E1304">
        <v>76</v>
      </c>
      <c r="F1304" t="s">
        <v>2666</v>
      </c>
      <c r="G1304">
        <v>679</v>
      </c>
      <c r="H1304">
        <v>1</v>
      </c>
      <c r="I1304" t="s">
        <v>98</v>
      </c>
      <c r="J1304">
        <v>0</v>
      </c>
      <c r="K1304">
        <v>1</v>
      </c>
      <c r="L1304">
        <v>5</v>
      </c>
      <c r="M1304">
        <v>232</v>
      </c>
      <c r="N1304">
        <v>378</v>
      </c>
      <c r="O1304">
        <v>3</v>
      </c>
      <c r="P1304">
        <v>379</v>
      </c>
      <c r="Q1304">
        <v>9</v>
      </c>
      <c r="R1304">
        <v>45</v>
      </c>
      <c r="S1304">
        <v>6</v>
      </c>
      <c r="T1304">
        <v>7</v>
      </c>
      <c r="U1304">
        <v>10</v>
      </c>
      <c r="V1304">
        <v>20</v>
      </c>
      <c r="W1304">
        <v>6</v>
      </c>
      <c r="X1304">
        <v>5</v>
      </c>
      <c r="Y1304">
        <v>206</v>
      </c>
      <c r="Z1304">
        <v>6</v>
      </c>
      <c r="AA1304">
        <v>1</v>
      </c>
      <c r="AB1304">
        <v>7</v>
      </c>
      <c r="AC1304">
        <v>1</v>
      </c>
      <c r="AD1304">
        <v>2</v>
      </c>
      <c r="AE1304" t="s">
        <v>105</v>
      </c>
      <c r="AF1304" t="s">
        <v>105</v>
      </c>
      <c r="AK1304">
        <v>4</v>
      </c>
      <c r="AL1304" t="s">
        <v>105</v>
      </c>
      <c r="AM1304">
        <v>1</v>
      </c>
      <c r="AN1304" t="s">
        <v>105</v>
      </c>
      <c r="AT1304">
        <v>7</v>
      </c>
      <c r="AZ1304" t="s">
        <v>105</v>
      </c>
      <c r="BA1304">
        <v>4</v>
      </c>
      <c r="BB1304" t="s">
        <v>105</v>
      </c>
      <c r="BC1304">
        <v>37</v>
      </c>
      <c r="BD1304">
        <v>37</v>
      </c>
      <c r="BE1304">
        <v>379</v>
      </c>
      <c r="BF1304">
        <v>421</v>
      </c>
      <c r="BG1304">
        <v>586</v>
      </c>
      <c r="BI1304" t="s">
        <v>106</v>
      </c>
      <c r="BJ1304">
        <v>1</v>
      </c>
      <c r="BL1304" t="s">
        <v>2739</v>
      </c>
      <c r="BM1304" s="4">
        <v>43283.431250000001</v>
      </c>
      <c r="BN1304" s="4">
        <v>43283.436145833337</v>
      </c>
      <c r="BO1304" s="4">
        <v>43283.436145833337</v>
      </c>
      <c r="BP1304" t="s">
        <v>92</v>
      </c>
      <c r="BQ1304" t="s">
        <v>93</v>
      </c>
      <c r="BR1304" t="s">
        <v>94</v>
      </c>
    </row>
    <row r="1305" spans="1:70" x14ac:dyDescent="0.3">
      <c r="A1305" t="str">
        <f>"200679C0200"</f>
        <v>200679C0200</v>
      </c>
      <c r="B1305" t="s">
        <v>2740</v>
      </c>
      <c r="C1305">
        <v>20</v>
      </c>
      <c r="D1305" t="s">
        <v>88</v>
      </c>
      <c r="E1305">
        <v>76</v>
      </c>
      <c r="F1305" t="s">
        <v>2666</v>
      </c>
      <c r="G1305">
        <v>679</v>
      </c>
      <c r="H1305">
        <v>2</v>
      </c>
      <c r="I1305" t="s">
        <v>98</v>
      </c>
      <c r="J1305">
        <v>0</v>
      </c>
      <c r="K1305">
        <v>1</v>
      </c>
      <c r="L1305">
        <v>5</v>
      </c>
      <c r="M1305">
        <v>235</v>
      </c>
      <c r="N1305">
        <v>377</v>
      </c>
      <c r="O1305">
        <v>5</v>
      </c>
      <c r="P1305">
        <v>377</v>
      </c>
      <c r="Q1305">
        <v>21</v>
      </c>
      <c r="R1305">
        <v>73</v>
      </c>
      <c r="S1305">
        <v>9</v>
      </c>
      <c r="T1305">
        <v>5</v>
      </c>
      <c r="U1305">
        <v>16</v>
      </c>
      <c r="V1305">
        <v>37</v>
      </c>
      <c r="W1305">
        <v>3</v>
      </c>
      <c r="X1305">
        <v>30</v>
      </c>
      <c r="Y1305">
        <v>115</v>
      </c>
      <c r="Z1305">
        <v>3</v>
      </c>
      <c r="AA1305">
        <v>1</v>
      </c>
      <c r="AB1305">
        <v>0</v>
      </c>
      <c r="AC1305">
        <v>3</v>
      </c>
      <c r="AD1305">
        <v>1</v>
      </c>
      <c r="AE1305">
        <v>0</v>
      </c>
      <c r="AF1305">
        <v>0</v>
      </c>
      <c r="AK1305">
        <v>4</v>
      </c>
      <c r="AL1305">
        <v>0</v>
      </c>
      <c r="AM1305">
        <v>0</v>
      </c>
      <c r="AN1305">
        <v>0</v>
      </c>
      <c r="AT1305">
        <v>2</v>
      </c>
      <c r="AZ1305">
        <v>10</v>
      </c>
      <c r="BA1305">
        <v>4</v>
      </c>
      <c r="BB1305">
        <v>15</v>
      </c>
      <c r="BC1305">
        <v>0</v>
      </c>
      <c r="BD1305">
        <v>25</v>
      </c>
      <c r="BE1305">
        <v>377</v>
      </c>
      <c r="BF1305">
        <v>377</v>
      </c>
      <c r="BG1305">
        <v>585</v>
      </c>
      <c r="BJ1305">
        <v>1</v>
      </c>
      <c r="BL1305" t="s">
        <v>2741</v>
      </c>
      <c r="BM1305" s="4">
        <v>43283.42083333333</v>
      </c>
      <c r="BN1305" s="4">
        <v>43283.425162037034</v>
      </c>
      <c r="BO1305" s="4">
        <v>43283.425162037034</v>
      </c>
      <c r="BP1305" t="s">
        <v>92</v>
      </c>
      <c r="BQ1305" t="s">
        <v>93</v>
      </c>
      <c r="BR1305" t="s">
        <v>94</v>
      </c>
    </row>
    <row r="1306" spans="1:70" x14ac:dyDescent="0.3">
      <c r="A1306" t="str">
        <f>"200679C0300"</f>
        <v>200679C0300</v>
      </c>
      <c r="B1306" t="s">
        <v>2742</v>
      </c>
      <c r="C1306">
        <v>20</v>
      </c>
      <c r="D1306" t="s">
        <v>88</v>
      </c>
      <c r="E1306">
        <v>76</v>
      </c>
      <c r="F1306" t="s">
        <v>2666</v>
      </c>
      <c r="G1306">
        <v>679</v>
      </c>
      <c r="H1306">
        <v>3</v>
      </c>
      <c r="I1306" t="s">
        <v>98</v>
      </c>
      <c r="J1306">
        <v>0</v>
      </c>
      <c r="K1306">
        <v>1</v>
      </c>
      <c r="L1306">
        <v>5</v>
      </c>
      <c r="M1306">
        <v>245</v>
      </c>
      <c r="N1306">
        <v>375</v>
      </c>
      <c r="O1306">
        <v>2</v>
      </c>
      <c r="P1306">
        <v>375</v>
      </c>
      <c r="Q1306">
        <v>22</v>
      </c>
      <c r="R1306">
        <v>75</v>
      </c>
      <c r="S1306">
        <v>9</v>
      </c>
      <c r="T1306">
        <v>4</v>
      </c>
      <c r="U1306">
        <v>16</v>
      </c>
      <c r="V1306">
        <v>38</v>
      </c>
      <c r="W1306">
        <v>1</v>
      </c>
      <c r="X1306">
        <v>42</v>
      </c>
      <c r="Y1306">
        <v>109</v>
      </c>
      <c r="Z1306">
        <v>3</v>
      </c>
      <c r="AA1306">
        <v>1</v>
      </c>
      <c r="AB1306">
        <v>2</v>
      </c>
      <c r="AC1306">
        <v>2</v>
      </c>
      <c r="AD1306">
        <v>2</v>
      </c>
      <c r="AE1306">
        <v>0</v>
      </c>
      <c r="AF1306">
        <v>0</v>
      </c>
      <c r="AK1306">
        <v>1</v>
      </c>
      <c r="AL1306">
        <v>0</v>
      </c>
      <c r="AM1306">
        <v>0</v>
      </c>
      <c r="AN1306">
        <v>0</v>
      </c>
      <c r="AT1306">
        <v>5</v>
      </c>
      <c r="AZ1306">
        <v>6</v>
      </c>
      <c r="BA1306">
        <v>6</v>
      </c>
      <c r="BB1306">
        <v>14</v>
      </c>
      <c r="BC1306">
        <v>0</v>
      </c>
      <c r="BD1306">
        <v>19</v>
      </c>
      <c r="BE1306">
        <v>375</v>
      </c>
      <c r="BF1306">
        <v>377</v>
      </c>
      <c r="BG1306">
        <v>585</v>
      </c>
      <c r="BJ1306">
        <v>1</v>
      </c>
      <c r="BL1306" t="s">
        <v>2743</v>
      </c>
      <c r="BM1306" s="4">
        <v>43283.672222222223</v>
      </c>
      <c r="BN1306" s="4">
        <v>43283.680185185185</v>
      </c>
      <c r="BO1306" s="4">
        <v>43283.680185185185</v>
      </c>
      <c r="BP1306" t="s">
        <v>92</v>
      </c>
      <c r="BQ1306" t="s">
        <v>93</v>
      </c>
      <c r="BR1306" t="s">
        <v>94</v>
      </c>
    </row>
    <row r="1307" spans="1:70" x14ac:dyDescent="0.3">
      <c r="A1307" t="str">
        <f>"200680B0100"</f>
        <v>200680B0100</v>
      </c>
      <c r="B1307" t="s">
        <v>2744</v>
      </c>
      <c r="C1307">
        <v>20</v>
      </c>
      <c r="D1307" t="s">
        <v>88</v>
      </c>
      <c r="E1307">
        <v>76</v>
      </c>
      <c r="F1307" t="s">
        <v>2666</v>
      </c>
      <c r="G1307">
        <v>680</v>
      </c>
      <c r="H1307">
        <v>1</v>
      </c>
      <c r="I1307" t="s">
        <v>90</v>
      </c>
      <c r="J1307">
        <v>0</v>
      </c>
      <c r="K1307">
        <v>1</v>
      </c>
      <c r="L1307">
        <v>5</v>
      </c>
      <c r="M1307">
        <v>291</v>
      </c>
      <c r="N1307">
        <v>448</v>
      </c>
      <c r="O1307">
        <v>4</v>
      </c>
      <c r="P1307">
        <v>448</v>
      </c>
      <c r="Q1307">
        <v>24</v>
      </c>
      <c r="R1307">
        <v>113</v>
      </c>
      <c r="S1307">
        <v>9</v>
      </c>
      <c r="T1307">
        <v>7</v>
      </c>
      <c r="U1307">
        <v>2</v>
      </c>
      <c r="V1307">
        <v>33</v>
      </c>
      <c r="W1307">
        <v>1</v>
      </c>
      <c r="X1307">
        <v>38</v>
      </c>
      <c r="Y1307">
        <v>165</v>
      </c>
      <c r="Z1307">
        <v>6</v>
      </c>
      <c r="AA1307">
        <v>0</v>
      </c>
      <c r="AB1307">
        <v>3</v>
      </c>
      <c r="AC1307">
        <v>3</v>
      </c>
      <c r="AD1307">
        <v>0</v>
      </c>
      <c r="AE1307">
        <v>0</v>
      </c>
      <c r="AF1307">
        <v>0</v>
      </c>
      <c r="AK1307">
        <v>1</v>
      </c>
      <c r="AL1307">
        <v>1</v>
      </c>
      <c r="AM1307">
        <v>0</v>
      </c>
      <c r="AN1307">
        <v>1</v>
      </c>
      <c r="AT1307">
        <v>4</v>
      </c>
      <c r="AZ1307">
        <v>3</v>
      </c>
      <c r="BA1307">
        <v>3</v>
      </c>
      <c r="BB1307">
        <v>5</v>
      </c>
      <c r="BC1307">
        <v>0</v>
      </c>
      <c r="BD1307">
        <v>16</v>
      </c>
      <c r="BE1307">
        <v>448</v>
      </c>
      <c r="BF1307">
        <v>438</v>
      </c>
      <c r="BG1307">
        <v>713</v>
      </c>
      <c r="BJ1307">
        <v>1</v>
      </c>
      <c r="BL1307" t="s">
        <v>2745</v>
      </c>
      <c r="BM1307" s="4">
        <v>43283.428472222222</v>
      </c>
      <c r="BN1307" s="4">
        <v>43283.433923611112</v>
      </c>
      <c r="BO1307" s="4">
        <v>43283.433923611112</v>
      </c>
      <c r="BP1307" t="s">
        <v>92</v>
      </c>
      <c r="BQ1307" t="s">
        <v>93</v>
      </c>
      <c r="BR1307" t="s">
        <v>94</v>
      </c>
    </row>
    <row r="1308" spans="1:70" x14ac:dyDescent="0.3">
      <c r="A1308" t="str">
        <f>"200680C0100"</f>
        <v>200680C0100</v>
      </c>
      <c r="B1308" t="s">
        <v>2746</v>
      </c>
      <c r="C1308">
        <v>20</v>
      </c>
      <c r="D1308" t="s">
        <v>88</v>
      </c>
      <c r="E1308">
        <v>76</v>
      </c>
      <c r="F1308" t="s">
        <v>2666</v>
      </c>
      <c r="G1308">
        <v>680</v>
      </c>
      <c r="H1308">
        <v>1</v>
      </c>
      <c r="I1308" t="s">
        <v>98</v>
      </c>
      <c r="J1308">
        <v>0</v>
      </c>
      <c r="K1308">
        <v>1</v>
      </c>
      <c r="L1308">
        <v>5</v>
      </c>
      <c r="M1308">
        <v>343</v>
      </c>
      <c r="N1308">
        <v>401</v>
      </c>
      <c r="O1308">
        <v>5</v>
      </c>
      <c r="P1308">
        <v>401</v>
      </c>
      <c r="Q1308">
        <v>16</v>
      </c>
      <c r="R1308">
        <v>90</v>
      </c>
      <c r="S1308">
        <v>5</v>
      </c>
      <c r="T1308">
        <v>7</v>
      </c>
      <c r="U1308">
        <v>9</v>
      </c>
      <c r="V1308">
        <v>27</v>
      </c>
      <c r="W1308">
        <v>5</v>
      </c>
      <c r="X1308">
        <v>36</v>
      </c>
      <c r="Y1308">
        <v>154</v>
      </c>
      <c r="Z1308">
        <v>2</v>
      </c>
      <c r="AA1308">
        <v>0</v>
      </c>
      <c r="AB1308">
        <v>4</v>
      </c>
      <c r="AC1308">
        <v>0</v>
      </c>
      <c r="AD1308">
        <v>0</v>
      </c>
      <c r="AE1308">
        <v>0</v>
      </c>
      <c r="AF1308">
        <v>0</v>
      </c>
      <c r="AK1308">
        <v>4</v>
      </c>
      <c r="AL1308">
        <v>2</v>
      </c>
      <c r="AM1308">
        <v>0</v>
      </c>
      <c r="AN1308">
        <v>1</v>
      </c>
      <c r="AT1308">
        <v>4</v>
      </c>
      <c r="AZ1308">
        <v>8</v>
      </c>
      <c r="BA1308">
        <v>4</v>
      </c>
      <c r="BB1308">
        <v>4</v>
      </c>
      <c r="BC1308">
        <v>0</v>
      </c>
      <c r="BD1308">
        <v>14</v>
      </c>
      <c r="BE1308">
        <v>401</v>
      </c>
      <c r="BF1308">
        <v>396</v>
      </c>
      <c r="BG1308">
        <v>712</v>
      </c>
      <c r="BJ1308">
        <v>1</v>
      </c>
      <c r="BL1308" t="s">
        <v>2747</v>
      </c>
      <c r="BM1308" s="4">
        <v>43283.430555555555</v>
      </c>
      <c r="BN1308" s="4">
        <v>43283.434374999997</v>
      </c>
      <c r="BO1308" s="4">
        <v>43283.434374999997</v>
      </c>
      <c r="BP1308" t="s">
        <v>92</v>
      </c>
      <c r="BQ1308" t="s">
        <v>93</v>
      </c>
      <c r="BR1308" t="s">
        <v>94</v>
      </c>
    </row>
    <row r="1309" spans="1:70" x14ac:dyDescent="0.3">
      <c r="A1309" t="str">
        <f>"200680S0100"</f>
        <v>200680S0100</v>
      </c>
      <c r="B1309" t="s">
        <v>2748</v>
      </c>
      <c r="C1309">
        <v>20</v>
      </c>
      <c r="D1309" t="s">
        <v>88</v>
      </c>
      <c r="E1309">
        <v>76</v>
      </c>
      <c r="F1309" t="s">
        <v>2666</v>
      </c>
      <c r="G1309">
        <v>680</v>
      </c>
      <c r="H1309">
        <v>1</v>
      </c>
      <c r="I1309" t="s">
        <v>113</v>
      </c>
      <c r="J1309">
        <v>0</v>
      </c>
      <c r="K1309">
        <v>1</v>
      </c>
      <c r="L1309">
        <v>6</v>
      </c>
      <c r="M1309">
        <v>761</v>
      </c>
      <c r="N1309">
        <v>14</v>
      </c>
      <c r="O1309">
        <v>0</v>
      </c>
      <c r="P1309">
        <v>14</v>
      </c>
      <c r="Q1309">
        <v>0</v>
      </c>
      <c r="R1309">
        <v>1</v>
      </c>
      <c r="S1309">
        <v>0</v>
      </c>
      <c r="T1309">
        <v>0</v>
      </c>
      <c r="U1309">
        <v>1</v>
      </c>
      <c r="V1309">
        <v>0</v>
      </c>
      <c r="W1309">
        <v>0</v>
      </c>
      <c r="X1309">
        <v>0</v>
      </c>
      <c r="Y1309">
        <v>4</v>
      </c>
      <c r="Z1309">
        <v>0</v>
      </c>
      <c r="AA1309">
        <v>0</v>
      </c>
      <c r="AB1309">
        <v>2</v>
      </c>
      <c r="AC1309">
        <v>1</v>
      </c>
      <c r="AD1309">
        <v>0</v>
      </c>
      <c r="AE1309">
        <v>0</v>
      </c>
      <c r="AF1309">
        <v>0</v>
      </c>
      <c r="AK1309">
        <v>1</v>
      </c>
      <c r="AL1309">
        <v>1</v>
      </c>
      <c r="AM1309">
        <v>0</v>
      </c>
      <c r="AN1309">
        <v>0</v>
      </c>
      <c r="AT1309">
        <v>0</v>
      </c>
      <c r="AZ1309">
        <v>0</v>
      </c>
      <c r="BA1309">
        <v>1</v>
      </c>
      <c r="BB1309">
        <v>2</v>
      </c>
      <c r="BC1309">
        <v>0</v>
      </c>
      <c r="BD1309">
        <v>0</v>
      </c>
      <c r="BE1309">
        <v>14</v>
      </c>
      <c r="BF1309">
        <v>14</v>
      </c>
      <c r="BG1309">
        <v>0</v>
      </c>
      <c r="BJ1309">
        <v>1</v>
      </c>
      <c r="BL1309" t="s">
        <v>2749</v>
      </c>
      <c r="BM1309" s="4">
        <v>43283.427083333336</v>
      </c>
      <c r="BN1309" s="4">
        <v>43283.430173611108</v>
      </c>
      <c r="BO1309" s="4">
        <v>43283.430173611108</v>
      </c>
      <c r="BP1309" t="s">
        <v>92</v>
      </c>
      <c r="BQ1309" t="s">
        <v>93</v>
      </c>
      <c r="BR1309" t="s">
        <v>94</v>
      </c>
    </row>
    <row r="1310" spans="1:70" x14ac:dyDescent="0.3">
      <c r="A1310" t="str">
        <f>"200681B0100"</f>
        <v>200681B0100</v>
      </c>
      <c r="B1310" t="s">
        <v>2750</v>
      </c>
      <c r="C1310">
        <v>20</v>
      </c>
      <c r="D1310" t="s">
        <v>88</v>
      </c>
      <c r="E1310">
        <v>76</v>
      </c>
      <c r="F1310" t="s">
        <v>2666</v>
      </c>
      <c r="G1310">
        <v>681</v>
      </c>
      <c r="H1310">
        <v>1</v>
      </c>
      <c r="I1310" t="s">
        <v>90</v>
      </c>
      <c r="J1310">
        <v>0</v>
      </c>
      <c r="K1310">
        <v>1</v>
      </c>
      <c r="L1310">
        <v>5</v>
      </c>
      <c r="BG1310">
        <v>617</v>
      </c>
      <c r="BI1310" t="s">
        <v>365</v>
      </c>
      <c r="BJ1310">
        <v>0</v>
      </c>
      <c r="BL1310" t="s">
        <v>2751</v>
      </c>
      <c r="BM1310" s="4">
        <v>43283.603472222225</v>
      </c>
      <c r="BN1310" s="4">
        <v>43283.646643518521</v>
      </c>
      <c r="BO1310" s="4">
        <v>43283.646643518521</v>
      </c>
      <c r="BP1310" t="s">
        <v>92</v>
      </c>
      <c r="BQ1310" t="s">
        <v>93</v>
      </c>
      <c r="BR1310" t="s">
        <v>94</v>
      </c>
    </row>
    <row r="1311" spans="1:70" x14ac:dyDescent="0.3">
      <c r="A1311" t="str">
        <f>"200681C0100"</f>
        <v>200681C0100</v>
      </c>
      <c r="B1311" t="s">
        <v>2752</v>
      </c>
      <c r="C1311">
        <v>20</v>
      </c>
      <c r="D1311" t="s">
        <v>88</v>
      </c>
      <c r="E1311">
        <v>76</v>
      </c>
      <c r="F1311" t="s">
        <v>2666</v>
      </c>
      <c r="G1311">
        <v>681</v>
      </c>
      <c r="H1311">
        <v>1</v>
      </c>
      <c r="I1311" t="s">
        <v>98</v>
      </c>
      <c r="J1311">
        <v>0</v>
      </c>
      <c r="K1311">
        <v>1</v>
      </c>
      <c r="L1311">
        <v>5</v>
      </c>
      <c r="M1311" t="s">
        <v>127</v>
      </c>
      <c r="N1311" t="s">
        <v>127</v>
      </c>
      <c r="O1311" t="s">
        <v>127</v>
      </c>
      <c r="P1311" t="s">
        <v>127</v>
      </c>
      <c r="Q1311">
        <v>24</v>
      </c>
      <c r="R1311">
        <v>72</v>
      </c>
      <c r="S1311">
        <v>6</v>
      </c>
      <c r="T1311">
        <v>6</v>
      </c>
      <c r="U1311">
        <v>2</v>
      </c>
      <c r="V1311">
        <v>45</v>
      </c>
      <c r="W1311">
        <v>2</v>
      </c>
      <c r="X1311">
        <v>53</v>
      </c>
      <c r="Y1311">
        <v>134</v>
      </c>
      <c r="Z1311">
        <v>3</v>
      </c>
      <c r="AA1311">
        <v>0</v>
      </c>
      <c r="AB1311">
        <v>1</v>
      </c>
      <c r="AC1311" t="s">
        <v>105</v>
      </c>
      <c r="AD1311" t="s">
        <v>105</v>
      </c>
      <c r="AE1311" t="s">
        <v>105</v>
      </c>
      <c r="AF1311" t="s">
        <v>105</v>
      </c>
      <c r="AK1311">
        <v>2</v>
      </c>
      <c r="AL1311" t="s">
        <v>105</v>
      </c>
      <c r="AM1311" t="s">
        <v>105</v>
      </c>
      <c r="AN1311" t="s">
        <v>105</v>
      </c>
      <c r="AT1311">
        <v>3</v>
      </c>
      <c r="AZ1311" t="s">
        <v>105</v>
      </c>
      <c r="BA1311" t="s">
        <v>105</v>
      </c>
      <c r="BB1311" t="s">
        <v>105</v>
      </c>
      <c r="BC1311" t="s">
        <v>105</v>
      </c>
      <c r="BD1311">
        <v>254</v>
      </c>
      <c r="BE1311">
        <v>643</v>
      </c>
      <c r="BF1311">
        <v>607</v>
      </c>
      <c r="BG1311">
        <v>617</v>
      </c>
      <c r="BI1311" t="s">
        <v>106</v>
      </c>
      <c r="BJ1311">
        <v>1</v>
      </c>
      <c r="BL1311" t="s">
        <v>2753</v>
      </c>
      <c r="BM1311" s="4">
        <v>43283.194444444445</v>
      </c>
      <c r="BN1311" s="4">
        <v>43283.211053240739</v>
      </c>
      <c r="BO1311" s="4">
        <v>43283.211053240739</v>
      </c>
      <c r="BP1311" t="s">
        <v>92</v>
      </c>
      <c r="BQ1311" t="s">
        <v>93</v>
      </c>
      <c r="BR1311" t="s">
        <v>94</v>
      </c>
    </row>
    <row r="1312" spans="1:70" x14ac:dyDescent="0.3">
      <c r="A1312" t="str">
        <f>"200682B0100"</f>
        <v>200682B0100</v>
      </c>
      <c r="B1312" t="s">
        <v>2754</v>
      </c>
      <c r="C1312">
        <v>20</v>
      </c>
      <c r="D1312" t="s">
        <v>88</v>
      </c>
      <c r="E1312">
        <v>76</v>
      </c>
      <c r="F1312" t="s">
        <v>2666</v>
      </c>
      <c r="G1312">
        <v>682</v>
      </c>
      <c r="H1312">
        <v>1</v>
      </c>
      <c r="I1312" t="s">
        <v>90</v>
      </c>
      <c r="J1312">
        <v>0</v>
      </c>
      <c r="K1312">
        <v>1</v>
      </c>
      <c r="L1312">
        <v>5</v>
      </c>
      <c r="M1312">
        <v>211</v>
      </c>
      <c r="N1312">
        <v>316</v>
      </c>
      <c r="O1312">
        <v>4</v>
      </c>
      <c r="P1312">
        <v>316</v>
      </c>
      <c r="Q1312">
        <v>16</v>
      </c>
      <c r="R1312">
        <v>45</v>
      </c>
      <c r="S1312">
        <v>5</v>
      </c>
      <c r="T1312">
        <v>1</v>
      </c>
      <c r="U1312">
        <v>6</v>
      </c>
      <c r="V1312">
        <v>33</v>
      </c>
      <c r="W1312">
        <v>8</v>
      </c>
      <c r="X1312">
        <v>25</v>
      </c>
      <c r="Y1312">
        <v>128</v>
      </c>
      <c r="Z1312">
        <v>5</v>
      </c>
      <c r="AA1312">
        <v>0</v>
      </c>
      <c r="AB1312">
        <v>0</v>
      </c>
      <c r="AC1312">
        <v>1</v>
      </c>
      <c r="AD1312">
        <v>0</v>
      </c>
      <c r="AE1312">
        <v>0</v>
      </c>
      <c r="AF1312">
        <v>0</v>
      </c>
      <c r="AK1312">
        <v>1</v>
      </c>
      <c r="AL1312">
        <v>3</v>
      </c>
      <c r="AM1312">
        <v>1</v>
      </c>
      <c r="AN1312">
        <v>0</v>
      </c>
      <c r="AT1312">
        <v>0</v>
      </c>
      <c r="AZ1312">
        <v>5</v>
      </c>
      <c r="BA1312">
        <v>7</v>
      </c>
      <c r="BB1312">
        <v>12</v>
      </c>
      <c r="BC1312">
        <v>0</v>
      </c>
      <c r="BD1312">
        <v>14</v>
      </c>
      <c r="BE1312">
        <v>306</v>
      </c>
      <c r="BF1312">
        <v>316</v>
      </c>
      <c r="BG1312">
        <v>501</v>
      </c>
      <c r="BJ1312">
        <v>1</v>
      </c>
      <c r="BL1312" t="s">
        <v>2755</v>
      </c>
      <c r="BM1312" s="4">
        <v>43283.21597222222</v>
      </c>
      <c r="BN1312" s="4">
        <v>43283.239861111113</v>
      </c>
      <c r="BO1312" s="4">
        <v>43283.239861111113</v>
      </c>
      <c r="BP1312" t="s">
        <v>92</v>
      </c>
      <c r="BQ1312" t="s">
        <v>93</v>
      </c>
      <c r="BR1312" t="s">
        <v>94</v>
      </c>
    </row>
    <row r="1313" spans="1:70" x14ac:dyDescent="0.3">
      <c r="A1313" t="str">
        <f>"200682C0100"</f>
        <v>200682C0100</v>
      </c>
      <c r="B1313" t="s">
        <v>2756</v>
      </c>
      <c r="C1313">
        <v>20</v>
      </c>
      <c r="D1313" t="s">
        <v>88</v>
      </c>
      <c r="E1313">
        <v>76</v>
      </c>
      <c r="F1313" t="s">
        <v>2666</v>
      </c>
      <c r="G1313">
        <v>682</v>
      </c>
      <c r="H1313">
        <v>1</v>
      </c>
      <c r="I1313" t="s">
        <v>98</v>
      </c>
      <c r="J1313">
        <v>0</v>
      </c>
      <c r="K1313">
        <v>1</v>
      </c>
      <c r="L1313">
        <v>5</v>
      </c>
      <c r="M1313">
        <v>212</v>
      </c>
      <c r="N1313">
        <v>314</v>
      </c>
      <c r="O1313">
        <v>2</v>
      </c>
      <c r="P1313">
        <v>317</v>
      </c>
      <c r="Q1313">
        <v>15</v>
      </c>
      <c r="R1313">
        <v>59</v>
      </c>
      <c r="S1313">
        <v>10</v>
      </c>
      <c r="T1313">
        <v>7</v>
      </c>
      <c r="U1313">
        <v>11</v>
      </c>
      <c r="V1313">
        <v>35</v>
      </c>
      <c r="W1313">
        <v>7</v>
      </c>
      <c r="X1313">
        <v>25</v>
      </c>
      <c r="Y1313">
        <v>98</v>
      </c>
      <c r="Z1313">
        <v>4</v>
      </c>
      <c r="AA1313">
        <v>0</v>
      </c>
      <c r="AB1313">
        <v>2</v>
      </c>
      <c r="AC1313">
        <v>2</v>
      </c>
      <c r="AD1313">
        <v>1</v>
      </c>
      <c r="AE1313">
        <v>0</v>
      </c>
      <c r="AF1313">
        <v>0</v>
      </c>
      <c r="AK1313">
        <v>4</v>
      </c>
      <c r="AL1313">
        <v>1</v>
      </c>
      <c r="AM1313">
        <v>0</v>
      </c>
      <c r="AN1313">
        <v>0</v>
      </c>
      <c r="AT1313">
        <v>0</v>
      </c>
      <c r="AZ1313">
        <v>3</v>
      </c>
      <c r="BA1313">
        <v>9</v>
      </c>
      <c r="BB1313">
        <v>11</v>
      </c>
      <c r="BC1313">
        <v>0</v>
      </c>
      <c r="BD1313">
        <v>13</v>
      </c>
      <c r="BE1313">
        <v>317</v>
      </c>
      <c r="BF1313">
        <v>317</v>
      </c>
      <c r="BG1313">
        <v>500</v>
      </c>
      <c r="BJ1313">
        <v>1</v>
      </c>
      <c r="BL1313" t="s">
        <v>2757</v>
      </c>
      <c r="BM1313" s="4">
        <v>43283.213888888888</v>
      </c>
      <c r="BN1313" s="4">
        <v>43283.235590277778</v>
      </c>
      <c r="BO1313" s="4">
        <v>43283.235590277778</v>
      </c>
      <c r="BP1313" t="s">
        <v>92</v>
      </c>
      <c r="BQ1313" t="s">
        <v>93</v>
      </c>
      <c r="BR1313" t="s">
        <v>94</v>
      </c>
    </row>
    <row r="1314" spans="1:70" x14ac:dyDescent="0.3">
      <c r="A1314" t="str">
        <f>"200682C0200"</f>
        <v>200682C0200</v>
      </c>
      <c r="B1314" t="s">
        <v>2758</v>
      </c>
      <c r="C1314">
        <v>20</v>
      </c>
      <c r="D1314" t="s">
        <v>88</v>
      </c>
      <c r="E1314">
        <v>76</v>
      </c>
      <c r="F1314" t="s">
        <v>2666</v>
      </c>
      <c r="G1314">
        <v>682</v>
      </c>
      <c r="H1314">
        <v>2</v>
      </c>
      <c r="I1314" t="s">
        <v>98</v>
      </c>
      <c r="J1314">
        <v>0</v>
      </c>
      <c r="K1314">
        <v>1</v>
      </c>
      <c r="L1314">
        <v>5</v>
      </c>
      <c r="M1314">
        <v>205</v>
      </c>
      <c r="N1314">
        <v>321</v>
      </c>
      <c r="O1314">
        <v>6</v>
      </c>
      <c r="P1314">
        <v>321</v>
      </c>
      <c r="Q1314">
        <v>15</v>
      </c>
      <c r="R1314">
        <v>55</v>
      </c>
      <c r="S1314">
        <v>9</v>
      </c>
      <c r="T1314">
        <v>2</v>
      </c>
      <c r="U1314">
        <v>8</v>
      </c>
      <c r="V1314">
        <v>31</v>
      </c>
      <c r="W1314">
        <v>5</v>
      </c>
      <c r="X1314">
        <v>37</v>
      </c>
      <c r="Y1314">
        <v>107</v>
      </c>
      <c r="Z1314">
        <v>6</v>
      </c>
      <c r="AA1314">
        <v>0</v>
      </c>
      <c r="AB1314">
        <v>3</v>
      </c>
      <c r="AC1314">
        <v>1</v>
      </c>
      <c r="AD1314">
        <v>2</v>
      </c>
      <c r="AE1314">
        <v>0</v>
      </c>
      <c r="AF1314">
        <v>0</v>
      </c>
      <c r="AK1314">
        <v>1</v>
      </c>
      <c r="AL1314">
        <v>2</v>
      </c>
      <c r="AM1314">
        <v>1</v>
      </c>
      <c r="AN1314">
        <v>1</v>
      </c>
      <c r="AT1314">
        <v>0</v>
      </c>
      <c r="AZ1314">
        <v>4</v>
      </c>
      <c r="BA1314">
        <v>4</v>
      </c>
      <c r="BB1314">
        <v>8</v>
      </c>
      <c r="BC1314">
        <v>11</v>
      </c>
      <c r="BD1314">
        <v>10</v>
      </c>
      <c r="BE1314">
        <v>323</v>
      </c>
      <c r="BF1314">
        <v>323</v>
      </c>
      <c r="BG1314">
        <v>500</v>
      </c>
      <c r="BJ1314">
        <v>1</v>
      </c>
      <c r="BL1314" t="s">
        <v>2759</v>
      </c>
      <c r="BM1314" s="4">
        <v>43283.210416666669</v>
      </c>
      <c r="BN1314" s="4">
        <v>43283.232465277775</v>
      </c>
      <c r="BO1314" s="4">
        <v>43283.232465277775</v>
      </c>
      <c r="BP1314" t="s">
        <v>92</v>
      </c>
      <c r="BQ1314" t="s">
        <v>93</v>
      </c>
      <c r="BR1314" t="s">
        <v>94</v>
      </c>
    </row>
    <row r="1315" spans="1:70" x14ac:dyDescent="0.3">
      <c r="A1315" t="str">
        <f>"200683B0100"</f>
        <v>200683B0100</v>
      </c>
      <c r="B1315" t="s">
        <v>2760</v>
      </c>
      <c r="C1315">
        <v>20</v>
      </c>
      <c r="D1315" t="s">
        <v>88</v>
      </c>
      <c r="E1315">
        <v>76</v>
      </c>
      <c r="F1315" t="s">
        <v>2666</v>
      </c>
      <c r="G1315">
        <v>683</v>
      </c>
      <c r="H1315">
        <v>1</v>
      </c>
      <c r="I1315" t="s">
        <v>90</v>
      </c>
      <c r="J1315">
        <v>0</v>
      </c>
      <c r="K1315">
        <v>1</v>
      </c>
      <c r="L1315">
        <v>5</v>
      </c>
      <c r="M1315">
        <v>318</v>
      </c>
      <c r="N1315">
        <v>423</v>
      </c>
      <c r="O1315">
        <v>8</v>
      </c>
      <c r="P1315">
        <v>423</v>
      </c>
      <c r="Q1315">
        <v>30</v>
      </c>
      <c r="R1315">
        <v>63</v>
      </c>
      <c r="S1315">
        <v>7</v>
      </c>
      <c r="T1315">
        <v>6</v>
      </c>
      <c r="U1315">
        <v>16</v>
      </c>
      <c r="V1315">
        <v>46</v>
      </c>
      <c r="W1315">
        <v>3</v>
      </c>
      <c r="X1315">
        <v>35</v>
      </c>
      <c r="Y1315">
        <v>142</v>
      </c>
      <c r="Z1315">
        <v>8</v>
      </c>
      <c r="AA1315">
        <v>0</v>
      </c>
      <c r="AB1315">
        <v>7</v>
      </c>
      <c r="AC1315">
        <v>0</v>
      </c>
      <c r="AD1315">
        <v>0</v>
      </c>
      <c r="AE1315">
        <v>2</v>
      </c>
      <c r="AF1315">
        <v>2</v>
      </c>
      <c r="AK1315">
        <v>4</v>
      </c>
      <c r="AL1315">
        <v>0</v>
      </c>
      <c r="AM1315">
        <v>0</v>
      </c>
      <c r="AN1315">
        <v>0</v>
      </c>
      <c r="AT1315">
        <v>4</v>
      </c>
      <c r="AZ1315">
        <v>5</v>
      </c>
      <c r="BA1315">
        <v>3</v>
      </c>
      <c r="BB1315">
        <v>22</v>
      </c>
      <c r="BC1315">
        <v>0</v>
      </c>
      <c r="BD1315">
        <v>18</v>
      </c>
      <c r="BE1315">
        <v>423</v>
      </c>
      <c r="BF1315">
        <v>423</v>
      </c>
      <c r="BG1315">
        <v>718</v>
      </c>
      <c r="BJ1315">
        <v>1</v>
      </c>
      <c r="BL1315" t="s">
        <v>2761</v>
      </c>
      <c r="BM1315" s="4">
        <v>43283.217361111114</v>
      </c>
      <c r="BN1315" s="4">
        <v>43283.240555555552</v>
      </c>
      <c r="BO1315" s="4">
        <v>43283.240555555552</v>
      </c>
      <c r="BP1315" t="s">
        <v>92</v>
      </c>
      <c r="BQ1315" t="s">
        <v>93</v>
      </c>
      <c r="BR1315" t="s">
        <v>94</v>
      </c>
    </row>
    <row r="1316" spans="1:70" x14ac:dyDescent="0.3">
      <c r="A1316" t="str">
        <f>"200683C0100"</f>
        <v>200683C0100</v>
      </c>
      <c r="B1316" t="s">
        <v>2762</v>
      </c>
      <c r="C1316">
        <v>20</v>
      </c>
      <c r="D1316" t="s">
        <v>88</v>
      </c>
      <c r="E1316">
        <v>76</v>
      </c>
      <c r="F1316" t="s">
        <v>2666</v>
      </c>
      <c r="G1316">
        <v>683</v>
      </c>
      <c r="H1316">
        <v>1</v>
      </c>
      <c r="I1316" t="s">
        <v>98</v>
      </c>
      <c r="J1316">
        <v>0</v>
      </c>
      <c r="K1316">
        <v>1</v>
      </c>
      <c r="L1316">
        <v>5</v>
      </c>
      <c r="M1316">
        <v>313</v>
      </c>
      <c r="N1316">
        <v>430</v>
      </c>
      <c r="O1316">
        <v>6</v>
      </c>
      <c r="P1316">
        <v>427</v>
      </c>
      <c r="Q1316">
        <v>28</v>
      </c>
      <c r="R1316">
        <v>77</v>
      </c>
      <c r="S1316">
        <v>10</v>
      </c>
      <c r="T1316">
        <v>6</v>
      </c>
      <c r="U1316">
        <v>12</v>
      </c>
      <c r="V1316">
        <v>44</v>
      </c>
      <c r="W1316">
        <v>5</v>
      </c>
      <c r="X1316">
        <v>41</v>
      </c>
      <c r="Y1316">
        <v>127</v>
      </c>
      <c r="Z1316">
        <v>1</v>
      </c>
      <c r="AA1316">
        <v>0</v>
      </c>
      <c r="AB1316">
        <v>0</v>
      </c>
      <c r="AC1316">
        <v>1</v>
      </c>
      <c r="AD1316">
        <v>0</v>
      </c>
      <c r="AE1316">
        <v>0</v>
      </c>
      <c r="AF1316">
        <v>0</v>
      </c>
      <c r="AK1316">
        <v>1</v>
      </c>
      <c r="AL1316">
        <v>1</v>
      </c>
      <c r="AM1316">
        <v>1</v>
      </c>
      <c r="AN1316">
        <v>0</v>
      </c>
      <c r="AT1316">
        <v>2</v>
      </c>
      <c r="AZ1316">
        <v>10</v>
      </c>
      <c r="BA1316">
        <v>9</v>
      </c>
      <c r="BB1316">
        <v>35</v>
      </c>
      <c r="BC1316">
        <v>0</v>
      </c>
      <c r="BD1316">
        <v>16</v>
      </c>
      <c r="BE1316">
        <v>427</v>
      </c>
      <c r="BF1316">
        <v>427</v>
      </c>
      <c r="BG1316">
        <v>717</v>
      </c>
      <c r="BJ1316">
        <v>1</v>
      </c>
      <c r="BL1316" t="s">
        <v>2763</v>
      </c>
      <c r="BM1316" s="4">
        <v>43283.045138888891</v>
      </c>
      <c r="BN1316" s="4">
        <v>43283.052025462966</v>
      </c>
      <c r="BO1316" s="4">
        <v>43283.052025462966</v>
      </c>
      <c r="BP1316" t="s">
        <v>92</v>
      </c>
      <c r="BQ1316" t="s">
        <v>93</v>
      </c>
      <c r="BR1316" t="s">
        <v>94</v>
      </c>
    </row>
    <row r="1317" spans="1:70" x14ac:dyDescent="0.3">
      <c r="A1317" t="str">
        <f>"200683C0200"</f>
        <v>200683C0200</v>
      </c>
      <c r="B1317" t="s">
        <v>2764</v>
      </c>
      <c r="C1317">
        <v>20</v>
      </c>
      <c r="D1317" t="s">
        <v>88</v>
      </c>
      <c r="E1317">
        <v>76</v>
      </c>
      <c r="F1317" t="s">
        <v>2666</v>
      </c>
      <c r="G1317">
        <v>683</v>
      </c>
      <c r="H1317">
        <v>2</v>
      </c>
      <c r="I1317" t="s">
        <v>98</v>
      </c>
      <c r="J1317">
        <v>0</v>
      </c>
      <c r="K1317">
        <v>1</v>
      </c>
      <c r="L1317">
        <v>5</v>
      </c>
      <c r="M1317" t="s">
        <v>105</v>
      </c>
      <c r="N1317" t="s">
        <v>105</v>
      </c>
      <c r="O1317" t="s">
        <v>105</v>
      </c>
      <c r="P1317" t="s">
        <v>127</v>
      </c>
      <c r="Q1317">
        <v>32</v>
      </c>
      <c r="R1317">
        <v>70</v>
      </c>
      <c r="S1317">
        <v>6</v>
      </c>
      <c r="T1317">
        <v>10</v>
      </c>
      <c r="U1317">
        <v>12</v>
      </c>
      <c r="V1317">
        <v>44</v>
      </c>
      <c r="W1317">
        <v>0</v>
      </c>
      <c r="X1317">
        <v>40</v>
      </c>
      <c r="Y1317">
        <v>153</v>
      </c>
      <c r="Z1317">
        <v>4</v>
      </c>
      <c r="AA1317">
        <v>0</v>
      </c>
      <c r="AB1317">
        <v>1</v>
      </c>
      <c r="AC1317">
        <v>5</v>
      </c>
      <c r="AD1317">
        <v>0</v>
      </c>
      <c r="AE1317">
        <v>2</v>
      </c>
      <c r="AF1317">
        <v>0</v>
      </c>
      <c r="AK1317">
        <v>5</v>
      </c>
      <c r="AL1317">
        <v>1</v>
      </c>
      <c r="AM1317">
        <v>0</v>
      </c>
      <c r="AN1317">
        <v>0</v>
      </c>
      <c r="AT1317">
        <v>3</v>
      </c>
      <c r="AZ1317">
        <v>5</v>
      </c>
      <c r="BA1317">
        <v>11</v>
      </c>
      <c r="BB1317">
        <v>31</v>
      </c>
      <c r="BC1317">
        <v>0</v>
      </c>
      <c r="BD1317">
        <v>18</v>
      </c>
      <c r="BE1317">
        <v>435</v>
      </c>
      <c r="BF1317">
        <v>453</v>
      </c>
      <c r="BG1317">
        <v>717</v>
      </c>
      <c r="BJ1317">
        <v>1</v>
      </c>
      <c r="BL1317" t="s">
        <v>2765</v>
      </c>
      <c r="BM1317" s="4">
        <v>43283.214583333334</v>
      </c>
      <c r="BN1317" s="4">
        <v>43283.239212962966</v>
      </c>
      <c r="BO1317" s="4">
        <v>43283.239212962966</v>
      </c>
      <c r="BP1317" t="s">
        <v>92</v>
      </c>
      <c r="BQ1317" t="s">
        <v>93</v>
      </c>
      <c r="BR1317" t="s">
        <v>94</v>
      </c>
    </row>
    <row r="1318" spans="1:70" x14ac:dyDescent="0.3">
      <c r="A1318" t="str">
        <f>"200684B0100"</f>
        <v>200684B0100</v>
      </c>
      <c r="B1318" t="s">
        <v>2766</v>
      </c>
      <c r="C1318">
        <v>20</v>
      </c>
      <c r="D1318" t="s">
        <v>88</v>
      </c>
      <c r="E1318">
        <v>76</v>
      </c>
      <c r="F1318" t="s">
        <v>2666</v>
      </c>
      <c r="G1318">
        <v>684</v>
      </c>
      <c r="H1318">
        <v>1</v>
      </c>
      <c r="I1318" t="s">
        <v>90</v>
      </c>
      <c r="J1318">
        <v>0</v>
      </c>
      <c r="K1318">
        <v>1</v>
      </c>
      <c r="L1318">
        <v>5</v>
      </c>
      <c r="M1318">
        <v>243</v>
      </c>
      <c r="N1318">
        <v>382</v>
      </c>
      <c r="O1318">
        <v>8</v>
      </c>
      <c r="P1318">
        <v>381</v>
      </c>
      <c r="Q1318">
        <v>12</v>
      </c>
      <c r="R1318">
        <v>74</v>
      </c>
      <c r="S1318">
        <v>8</v>
      </c>
      <c r="T1318">
        <v>5</v>
      </c>
      <c r="U1318">
        <v>9</v>
      </c>
      <c r="V1318">
        <v>23</v>
      </c>
      <c r="W1318">
        <v>4</v>
      </c>
      <c r="X1318">
        <v>51</v>
      </c>
      <c r="Y1318">
        <v>149</v>
      </c>
      <c r="Z1318">
        <v>3</v>
      </c>
      <c r="AA1318">
        <v>0</v>
      </c>
      <c r="AB1318">
        <v>1</v>
      </c>
      <c r="AC1318">
        <v>0</v>
      </c>
      <c r="AD1318">
        <v>1</v>
      </c>
      <c r="AE1318">
        <v>0</v>
      </c>
      <c r="AF1318">
        <v>1</v>
      </c>
      <c r="AK1318">
        <v>2</v>
      </c>
      <c r="AL1318">
        <v>2</v>
      </c>
      <c r="AM1318">
        <v>0</v>
      </c>
      <c r="AN1318">
        <v>3</v>
      </c>
      <c r="AT1318">
        <v>0</v>
      </c>
      <c r="AZ1318">
        <v>6</v>
      </c>
      <c r="BA1318">
        <v>7</v>
      </c>
      <c r="BB1318">
        <v>8</v>
      </c>
      <c r="BC1318">
        <v>0</v>
      </c>
      <c r="BD1318">
        <v>12</v>
      </c>
      <c r="BE1318">
        <v>381</v>
      </c>
      <c r="BF1318">
        <v>381</v>
      </c>
      <c r="BG1318">
        <v>599</v>
      </c>
      <c r="BJ1318">
        <v>1</v>
      </c>
      <c r="BL1318" t="s">
        <v>2767</v>
      </c>
      <c r="BM1318" s="4">
        <v>43283.198611111111</v>
      </c>
      <c r="BN1318" s="4">
        <v>43283.217129629629</v>
      </c>
      <c r="BO1318" s="4">
        <v>43283.217129629629</v>
      </c>
      <c r="BP1318" t="s">
        <v>92</v>
      </c>
      <c r="BQ1318" t="s">
        <v>93</v>
      </c>
      <c r="BR1318" t="s">
        <v>94</v>
      </c>
    </row>
    <row r="1319" spans="1:70" x14ac:dyDescent="0.3">
      <c r="A1319" t="str">
        <f>"200684C0100"</f>
        <v>200684C0100</v>
      </c>
      <c r="B1319" t="s">
        <v>2768</v>
      </c>
      <c r="C1319">
        <v>20</v>
      </c>
      <c r="D1319" t="s">
        <v>88</v>
      </c>
      <c r="E1319">
        <v>76</v>
      </c>
      <c r="F1319" t="s">
        <v>2666</v>
      </c>
      <c r="G1319">
        <v>684</v>
      </c>
      <c r="H1319">
        <v>1</v>
      </c>
      <c r="I1319" t="s">
        <v>98</v>
      </c>
      <c r="J1319">
        <v>0</v>
      </c>
      <c r="K1319">
        <v>1</v>
      </c>
      <c r="L1319">
        <v>5</v>
      </c>
      <c r="M1319">
        <v>260</v>
      </c>
      <c r="N1319">
        <v>625</v>
      </c>
      <c r="O1319">
        <v>0</v>
      </c>
      <c r="P1319">
        <v>625</v>
      </c>
      <c r="Q1319">
        <v>15</v>
      </c>
      <c r="R1319">
        <v>69</v>
      </c>
      <c r="S1319">
        <v>4</v>
      </c>
      <c r="T1319">
        <v>8</v>
      </c>
      <c r="U1319">
        <v>14</v>
      </c>
      <c r="V1319">
        <v>21</v>
      </c>
      <c r="W1319">
        <v>3</v>
      </c>
      <c r="X1319">
        <v>48</v>
      </c>
      <c r="Y1319">
        <v>141</v>
      </c>
      <c r="Z1319">
        <v>2</v>
      </c>
      <c r="AA1319">
        <v>0</v>
      </c>
      <c r="AB1319">
        <v>1</v>
      </c>
      <c r="AC1319">
        <v>0</v>
      </c>
      <c r="AD1319">
        <v>0</v>
      </c>
      <c r="AE1319">
        <v>0</v>
      </c>
      <c r="AF1319">
        <v>0</v>
      </c>
      <c r="AK1319">
        <v>2</v>
      </c>
      <c r="AL1319">
        <v>2</v>
      </c>
      <c r="AM1319">
        <v>0</v>
      </c>
      <c r="AN1319">
        <v>0</v>
      </c>
      <c r="AT1319">
        <v>1</v>
      </c>
      <c r="AZ1319">
        <v>4</v>
      </c>
      <c r="BA1319">
        <v>10</v>
      </c>
      <c r="BB1319">
        <v>8</v>
      </c>
      <c r="BC1319">
        <v>0</v>
      </c>
      <c r="BD1319">
        <v>14</v>
      </c>
      <c r="BE1319" t="s">
        <v>105</v>
      </c>
      <c r="BF1319">
        <v>367</v>
      </c>
      <c r="BG1319">
        <v>599</v>
      </c>
      <c r="BJ1319">
        <v>1</v>
      </c>
      <c r="BL1319" t="s">
        <v>2769</v>
      </c>
      <c r="BM1319" s="4">
        <v>43283.298611111109</v>
      </c>
      <c r="BN1319" s="4">
        <v>43283.326608796298</v>
      </c>
      <c r="BO1319" s="4">
        <v>43283.326608796298</v>
      </c>
      <c r="BP1319" t="s">
        <v>92</v>
      </c>
      <c r="BQ1319" t="s">
        <v>93</v>
      </c>
      <c r="BR1319" t="s">
        <v>94</v>
      </c>
    </row>
    <row r="1320" spans="1:70" x14ac:dyDescent="0.3">
      <c r="A1320" t="str">
        <f>"200684C0200"</f>
        <v>200684C0200</v>
      </c>
      <c r="B1320" t="s">
        <v>2770</v>
      </c>
      <c r="C1320">
        <v>20</v>
      </c>
      <c r="D1320" t="s">
        <v>88</v>
      </c>
      <c r="E1320">
        <v>76</v>
      </c>
      <c r="F1320" t="s">
        <v>2666</v>
      </c>
      <c r="G1320">
        <v>684</v>
      </c>
      <c r="H1320">
        <v>2</v>
      </c>
      <c r="I1320" t="s">
        <v>98</v>
      </c>
      <c r="J1320">
        <v>0</v>
      </c>
      <c r="K1320">
        <v>1</v>
      </c>
      <c r="L1320">
        <v>5</v>
      </c>
      <c r="M1320">
        <v>267</v>
      </c>
      <c r="N1320">
        <v>357</v>
      </c>
      <c r="O1320">
        <v>8</v>
      </c>
      <c r="P1320" t="s">
        <v>105</v>
      </c>
      <c r="Q1320">
        <v>9</v>
      </c>
      <c r="R1320">
        <v>80</v>
      </c>
      <c r="S1320">
        <v>7</v>
      </c>
      <c r="T1320">
        <v>5</v>
      </c>
      <c r="U1320">
        <v>9</v>
      </c>
      <c r="V1320">
        <v>14</v>
      </c>
      <c r="W1320">
        <v>2</v>
      </c>
      <c r="X1320">
        <v>52</v>
      </c>
      <c r="Y1320">
        <v>134</v>
      </c>
      <c r="Z1320">
        <v>1</v>
      </c>
      <c r="AA1320">
        <v>0</v>
      </c>
      <c r="AB1320">
        <v>1</v>
      </c>
      <c r="AC1320">
        <v>0</v>
      </c>
      <c r="AD1320">
        <v>1</v>
      </c>
      <c r="AE1320">
        <v>0</v>
      </c>
      <c r="AF1320">
        <v>0</v>
      </c>
      <c r="AK1320">
        <v>2</v>
      </c>
      <c r="AL1320">
        <v>1</v>
      </c>
      <c r="AM1320">
        <v>1</v>
      </c>
      <c r="AN1320">
        <v>2</v>
      </c>
      <c r="AT1320">
        <v>1</v>
      </c>
      <c r="AZ1320">
        <v>0</v>
      </c>
      <c r="BA1320">
        <v>0</v>
      </c>
      <c r="BB1320">
        <v>0</v>
      </c>
      <c r="BC1320" t="s">
        <v>105</v>
      </c>
      <c r="BD1320">
        <v>20</v>
      </c>
      <c r="BE1320">
        <v>356</v>
      </c>
      <c r="BF1320">
        <v>342</v>
      </c>
      <c r="BG1320">
        <v>598</v>
      </c>
      <c r="BI1320" t="s">
        <v>106</v>
      </c>
      <c r="BJ1320">
        <v>1</v>
      </c>
      <c r="BL1320" t="s">
        <v>2771</v>
      </c>
      <c r="BM1320" s="4">
        <v>43283.203472222223</v>
      </c>
      <c r="BN1320" s="4">
        <v>43283.220486111109</v>
      </c>
      <c r="BO1320" s="4">
        <v>43283.220486111109</v>
      </c>
      <c r="BP1320" t="s">
        <v>92</v>
      </c>
      <c r="BQ1320" t="s">
        <v>93</v>
      </c>
      <c r="BR1320" t="s">
        <v>94</v>
      </c>
    </row>
    <row r="1321" spans="1:70" x14ac:dyDescent="0.3">
      <c r="A1321" t="str">
        <f>"200685B0100"</f>
        <v>200685B0100</v>
      </c>
      <c r="B1321" t="s">
        <v>2772</v>
      </c>
      <c r="C1321">
        <v>20</v>
      </c>
      <c r="D1321" t="s">
        <v>88</v>
      </c>
      <c r="E1321">
        <v>76</v>
      </c>
      <c r="F1321" t="s">
        <v>2666</v>
      </c>
      <c r="G1321">
        <v>685</v>
      </c>
      <c r="H1321">
        <v>1</v>
      </c>
      <c r="I1321" t="s">
        <v>90</v>
      </c>
      <c r="J1321">
        <v>0</v>
      </c>
      <c r="K1321">
        <v>1</v>
      </c>
      <c r="L1321">
        <v>5</v>
      </c>
      <c r="BG1321">
        <v>503</v>
      </c>
      <c r="BI1321" t="s">
        <v>365</v>
      </c>
      <c r="BJ1321">
        <v>0</v>
      </c>
      <c r="BL1321" t="s">
        <v>2773</v>
      </c>
      <c r="BM1321" s="4">
        <v>43283.603472222225</v>
      </c>
      <c r="BN1321" s="4">
        <v>43283.646469907406</v>
      </c>
      <c r="BO1321" s="4">
        <v>43283.646469907406</v>
      </c>
      <c r="BP1321" t="s">
        <v>92</v>
      </c>
      <c r="BQ1321" t="s">
        <v>93</v>
      </c>
      <c r="BR1321" t="s">
        <v>94</v>
      </c>
    </row>
    <row r="1322" spans="1:70" x14ac:dyDescent="0.3">
      <c r="A1322" t="str">
        <f>"200685C0100"</f>
        <v>200685C0100</v>
      </c>
      <c r="B1322" t="s">
        <v>2774</v>
      </c>
      <c r="C1322">
        <v>20</v>
      </c>
      <c r="D1322" t="s">
        <v>88</v>
      </c>
      <c r="E1322">
        <v>76</v>
      </c>
      <c r="F1322" t="s">
        <v>2666</v>
      </c>
      <c r="G1322">
        <v>685</v>
      </c>
      <c r="H1322">
        <v>1</v>
      </c>
      <c r="I1322" t="s">
        <v>98</v>
      </c>
      <c r="J1322">
        <v>0</v>
      </c>
      <c r="K1322">
        <v>1</v>
      </c>
      <c r="L1322">
        <v>5</v>
      </c>
      <c r="BG1322">
        <v>503</v>
      </c>
      <c r="BI1322" t="s">
        <v>122</v>
      </c>
      <c r="BJ1322">
        <v>0</v>
      </c>
      <c r="BL1322" t="s">
        <v>2775</v>
      </c>
      <c r="BM1322" s="4">
        <v>43283.744444444441</v>
      </c>
      <c r="BN1322" s="4">
        <v>43283.747048611112</v>
      </c>
      <c r="BO1322" s="4">
        <v>43283.747048611112</v>
      </c>
      <c r="BP1322" t="s">
        <v>92</v>
      </c>
      <c r="BQ1322" t="s">
        <v>93</v>
      </c>
      <c r="BR1322" t="s">
        <v>94</v>
      </c>
    </row>
    <row r="1323" spans="1:70" x14ac:dyDescent="0.3">
      <c r="A1323" t="str">
        <f>"200685C0200"</f>
        <v>200685C0200</v>
      </c>
      <c r="B1323" t="s">
        <v>2776</v>
      </c>
      <c r="C1323">
        <v>20</v>
      </c>
      <c r="D1323" t="s">
        <v>88</v>
      </c>
      <c r="E1323">
        <v>76</v>
      </c>
      <c r="F1323" t="s">
        <v>2666</v>
      </c>
      <c r="G1323">
        <v>685</v>
      </c>
      <c r="H1323">
        <v>2</v>
      </c>
      <c r="I1323" t="s">
        <v>98</v>
      </c>
      <c r="J1323">
        <v>0</v>
      </c>
      <c r="K1323">
        <v>1</v>
      </c>
      <c r="L1323">
        <v>5</v>
      </c>
      <c r="M1323">
        <v>188</v>
      </c>
      <c r="N1323">
        <v>349</v>
      </c>
      <c r="O1323">
        <v>3</v>
      </c>
      <c r="P1323">
        <v>31</v>
      </c>
      <c r="Q1323">
        <v>24</v>
      </c>
      <c r="R1323">
        <v>75</v>
      </c>
      <c r="S1323">
        <v>4</v>
      </c>
      <c r="T1323">
        <v>5</v>
      </c>
      <c r="U1323">
        <v>6</v>
      </c>
      <c r="V1323">
        <v>35</v>
      </c>
      <c r="W1323">
        <v>2</v>
      </c>
      <c r="X1323">
        <v>25</v>
      </c>
      <c r="Y1323">
        <v>123</v>
      </c>
      <c r="Z1323">
        <v>3</v>
      </c>
      <c r="AA1323" t="s">
        <v>105</v>
      </c>
      <c r="AB1323">
        <v>1</v>
      </c>
      <c r="AC1323">
        <v>3</v>
      </c>
      <c r="AD1323" t="s">
        <v>105</v>
      </c>
      <c r="AE1323" t="s">
        <v>105</v>
      </c>
      <c r="AF1323">
        <v>2</v>
      </c>
      <c r="AK1323" t="s">
        <v>105</v>
      </c>
      <c r="AL1323">
        <v>1</v>
      </c>
      <c r="AM1323">
        <v>1</v>
      </c>
      <c r="AN1323" t="s">
        <v>105</v>
      </c>
      <c r="AT1323">
        <v>3</v>
      </c>
      <c r="AZ1323">
        <v>6</v>
      </c>
      <c r="BA1323">
        <v>8</v>
      </c>
      <c r="BB1323">
        <v>13</v>
      </c>
      <c r="BC1323" t="s">
        <v>105</v>
      </c>
      <c r="BD1323">
        <v>6</v>
      </c>
      <c r="BE1323">
        <v>349</v>
      </c>
      <c r="BF1323">
        <v>346</v>
      </c>
      <c r="BG1323">
        <v>502</v>
      </c>
      <c r="BI1323" t="s">
        <v>106</v>
      </c>
      <c r="BJ1323">
        <v>1</v>
      </c>
      <c r="BL1323" t="s">
        <v>2777</v>
      </c>
      <c r="BM1323" s="4">
        <v>43283.20208333333</v>
      </c>
      <c r="BN1323" s="4">
        <v>43283.218333333331</v>
      </c>
      <c r="BO1323" s="4">
        <v>43283.218333333331</v>
      </c>
      <c r="BP1323" t="s">
        <v>92</v>
      </c>
      <c r="BQ1323" t="s">
        <v>93</v>
      </c>
      <c r="BR1323" t="s">
        <v>94</v>
      </c>
    </row>
    <row r="1324" spans="1:70" x14ac:dyDescent="0.3">
      <c r="A1324" t="str">
        <f>"200686B0100"</f>
        <v>200686B0100</v>
      </c>
      <c r="B1324" t="s">
        <v>2778</v>
      </c>
      <c r="C1324">
        <v>20</v>
      </c>
      <c r="D1324" t="s">
        <v>88</v>
      </c>
      <c r="E1324">
        <v>76</v>
      </c>
      <c r="F1324" t="s">
        <v>2666</v>
      </c>
      <c r="G1324">
        <v>686</v>
      </c>
      <c r="H1324">
        <v>1</v>
      </c>
      <c r="I1324" t="s">
        <v>90</v>
      </c>
      <c r="J1324">
        <v>0</v>
      </c>
      <c r="K1324">
        <v>1</v>
      </c>
      <c r="L1324">
        <v>5</v>
      </c>
      <c r="M1324">
        <v>336</v>
      </c>
      <c r="N1324">
        <v>382</v>
      </c>
      <c r="O1324">
        <v>9</v>
      </c>
      <c r="P1324">
        <v>384</v>
      </c>
      <c r="Q1324">
        <v>21</v>
      </c>
      <c r="R1324">
        <v>59</v>
      </c>
      <c r="S1324">
        <v>3</v>
      </c>
      <c r="T1324">
        <v>5</v>
      </c>
      <c r="U1324">
        <v>8</v>
      </c>
      <c r="V1324">
        <v>31</v>
      </c>
      <c r="W1324">
        <v>0</v>
      </c>
      <c r="X1324">
        <v>50</v>
      </c>
      <c r="Y1324">
        <v>156</v>
      </c>
      <c r="Z1324">
        <v>4</v>
      </c>
      <c r="AA1324">
        <v>0</v>
      </c>
      <c r="AB1324">
        <v>1</v>
      </c>
      <c r="AC1324">
        <v>0</v>
      </c>
      <c r="AD1324">
        <v>0</v>
      </c>
      <c r="AE1324">
        <v>1</v>
      </c>
      <c r="AF1324">
        <v>1</v>
      </c>
      <c r="AK1324">
        <v>1</v>
      </c>
      <c r="AL1324">
        <v>0</v>
      </c>
      <c r="AM1324">
        <v>0</v>
      </c>
      <c r="AN1324">
        <v>0</v>
      </c>
      <c r="AT1324">
        <v>1</v>
      </c>
      <c r="AZ1324">
        <v>4</v>
      </c>
      <c r="BA1324">
        <v>5</v>
      </c>
      <c r="BB1324">
        <v>15</v>
      </c>
      <c r="BC1324">
        <v>0</v>
      </c>
      <c r="BD1324">
        <v>17</v>
      </c>
      <c r="BE1324">
        <v>384</v>
      </c>
      <c r="BF1324">
        <v>383</v>
      </c>
      <c r="BG1324">
        <v>692</v>
      </c>
      <c r="BJ1324">
        <v>1</v>
      </c>
      <c r="BL1324" t="s">
        <v>2779</v>
      </c>
      <c r="BM1324" s="4">
        <v>43283.432638888888</v>
      </c>
      <c r="BN1324" s="4">
        <v>43283.439259259256</v>
      </c>
      <c r="BO1324" s="4">
        <v>43283.439259259256</v>
      </c>
      <c r="BP1324" t="s">
        <v>92</v>
      </c>
      <c r="BQ1324" t="s">
        <v>93</v>
      </c>
      <c r="BR1324" t="s">
        <v>94</v>
      </c>
    </row>
    <row r="1325" spans="1:70" x14ac:dyDescent="0.3">
      <c r="A1325" t="str">
        <f>"200686C0100"</f>
        <v>200686C0100</v>
      </c>
      <c r="B1325" t="s">
        <v>2780</v>
      </c>
      <c r="C1325">
        <v>20</v>
      </c>
      <c r="D1325" t="s">
        <v>88</v>
      </c>
      <c r="E1325">
        <v>76</v>
      </c>
      <c r="F1325" t="s">
        <v>2666</v>
      </c>
      <c r="G1325">
        <v>686</v>
      </c>
      <c r="H1325">
        <v>1</v>
      </c>
      <c r="I1325" t="s">
        <v>98</v>
      </c>
      <c r="J1325">
        <v>0</v>
      </c>
      <c r="K1325">
        <v>1</v>
      </c>
      <c r="L1325">
        <v>5</v>
      </c>
      <c r="M1325">
        <v>319</v>
      </c>
      <c r="N1325">
        <v>398</v>
      </c>
      <c r="O1325">
        <v>3</v>
      </c>
      <c r="P1325">
        <v>401</v>
      </c>
      <c r="Q1325">
        <v>23</v>
      </c>
      <c r="R1325">
        <v>76</v>
      </c>
      <c r="S1325">
        <v>6</v>
      </c>
      <c r="T1325">
        <v>4</v>
      </c>
      <c r="U1325">
        <v>12</v>
      </c>
      <c r="V1325">
        <v>37</v>
      </c>
      <c r="W1325">
        <v>4</v>
      </c>
      <c r="X1325">
        <v>50</v>
      </c>
      <c r="Y1325">
        <v>119</v>
      </c>
      <c r="Z1325">
        <v>6</v>
      </c>
      <c r="AA1325">
        <v>0</v>
      </c>
      <c r="AB1325">
        <v>1</v>
      </c>
      <c r="AC1325">
        <v>0</v>
      </c>
      <c r="AD1325">
        <v>0</v>
      </c>
      <c r="AE1325">
        <v>0</v>
      </c>
      <c r="AF1325">
        <v>0</v>
      </c>
      <c r="AK1325">
        <v>3</v>
      </c>
      <c r="AL1325">
        <v>2</v>
      </c>
      <c r="AM1325">
        <v>0</v>
      </c>
      <c r="AN1325">
        <v>1</v>
      </c>
      <c r="AT1325">
        <v>1</v>
      </c>
      <c r="AZ1325">
        <v>10</v>
      </c>
      <c r="BA1325">
        <v>3</v>
      </c>
      <c r="BB1325">
        <v>26</v>
      </c>
      <c r="BC1325">
        <v>1</v>
      </c>
      <c r="BD1325">
        <v>16</v>
      </c>
      <c r="BE1325">
        <v>401</v>
      </c>
      <c r="BF1325">
        <v>401</v>
      </c>
      <c r="BG1325">
        <v>691</v>
      </c>
      <c r="BJ1325">
        <v>1</v>
      </c>
      <c r="BL1325" t="s">
        <v>2781</v>
      </c>
      <c r="BM1325" s="4">
        <v>43283.423611111109</v>
      </c>
      <c r="BN1325" s="4">
        <v>43283.427928240744</v>
      </c>
      <c r="BO1325" s="4">
        <v>43283.427928240744</v>
      </c>
      <c r="BP1325" t="s">
        <v>92</v>
      </c>
      <c r="BQ1325" t="s">
        <v>93</v>
      </c>
      <c r="BR1325" t="s">
        <v>94</v>
      </c>
    </row>
    <row r="1326" spans="1:70" x14ac:dyDescent="0.3">
      <c r="A1326" t="str">
        <f>"200686C0200"</f>
        <v>200686C0200</v>
      </c>
      <c r="B1326" t="s">
        <v>2782</v>
      </c>
      <c r="C1326">
        <v>20</v>
      </c>
      <c r="D1326" t="s">
        <v>88</v>
      </c>
      <c r="E1326">
        <v>76</v>
      </c>
      <c r="F1326" t="s">
        <v>2666</v>
      </c>
      <c r="G1326">
        <v>686</v>
      </c>
      <c r="H1326">
        <v>2</v>
      </c>
      <c r="I1326" t="s">
        <v>98</v>
      </c>
      <c r="J1326">
        <v>0</v>
      </c>
      <c r="K1326">
        <v>1</v>
      </c>
      <c r="L1326">
        <v>5</v>
      </c>
      <c r="M1326">
        <v>332</v>
      </c>
      <c r="N1326">
        <v>717</v>
      </c>
      <c r="O1326">
        <v>4</v>
      </c>
      <c r="P1326" t="s">
        <v>105</v>
      </c>
      <c r="Q1326">
        <v>14</v>
      </c>
      <c r="R1326">
        <v>74</v>
      </c>
      <c r="S1326">
        <v>10</v>
      </c>
      <c r="T1326">
        <v>4</v>
      </c>
      <c r="U1326">
        <v>6</v>
      </c>
      <c r="V1326">
        <v>31</v>
      </c>
      <c r="W1326">
        <v>5</v>
      </c>
      <c r="X1326">
        <v>40</v>
      </c>
      <c r="Y1326">
        <v>147</v>
      </c>
      <c r="Z1326">
        <v>2</v>
      </c>
      <c r="AA1326">
        <v>1</v>
      </c>
      <c r="AB1326">
        <v>4</v>
      </c>
      <c r="AC1326">
        <v>1</v>
      </c>
      <c r="AD1326">
        <v>0</v>
      </c>
      <c r="AE1326">
        <v>0</v>
      </c>
      <c r="AF1326">
        <v>0</v>
      </c>
      <c r="AK1326">
        <v>2</v>
      </c>
      <c r="AL1326">
        <v>1</v>
      </c>
      <c r="AM1326">
        <v>0</v>
      </c>
      <c r="AN1326">
        <v>2</v>
      </c>
      <c r="AT1326">
        <v>1</v>
      </c>
      <c r="AZ1326">
        <v>10</v>
      </c>
      <c r="BA1326">
        <v>4</v>
      </c>
      <c r="BB1326">
        <v>9</v>
      </c>
      <c r="BC1326">
        <v>1</v>
      </c>
      <c r="BD1326">
        <v>12</v>
      </c>
      <c r="BE1326">
        <v>381</v>
      </c>
      <c r="BF1326">
        <v>381</v>
      </c>
      <c r="BG1326">
        <v>691</v>
      </c>
      <c r="BJ1326">
        <v>1</v>
      </c>
      <c r="BL1326" t="s">
        <v>2783</v>
      </c>
      <c r="BM1326" s="4">
        <v>43283.438194444447</v>
      </c>
      <c r="BN1326" s="4">
        <v>43283.444791666669</v>
      </c>
      <c r="BO1326" s="4">
        <v>43283.444791666669</v>
      </c>
      <c r="BP1326" t="s">
        <v>92</v>
      </c>
      <c r="BQ1326" t="s">
        <v>93</v>
      </c>
      <c r="BR1326" t="s">
        <v>94</v>
      </c>
    </row>
    <row r="1327" spans="1:70" x14ac:dyDescent="0.3">
      <c r="A1327" t="str">
        <f>"200686C0300"</f>
        <v>200686C0300</v>
      </c>
      <c r="B1327" t="s">
        <v>2784</v>
      </c>
      <c r="C1327">
        <v>20</v>
      </c>
      <c r="D1327" t="s">
        <v>88</v>
      </c>
      <c r="E1327">
        <v>76</v>
      </c>
      <c r="F1327" t="s">
        <v>2666</v>
      </c>
      <c r="G1327">
        <v>686</v>
      </c>
      <c r="H1327">
        <v>3</v>
      </c>
      <c r="I1327" t="s">
        <v>98</v>
      </c>
      <c r="J1327">
        <v>0</v>
      </c>
      <c r="K1327">
        <v>1</v>
      </c>
      <c r="L1327">
        <v>5</v>
      </c>
      <c r="M1327">
        <v>320</v>
      </c>
      <c r="N1327">
        <v>397</v>
      </c>
      <c r="O1327">
        <v>5</v>
      </c>
      <c r="P1327">
        <v>403</v>
      </c>
      <c r="Q1327">
        <v>21</v>
      </c>
      <c r="R1327">
        <v>67</v>
      </c>
      <c r="S1327">
        <v>8</v>
      </c>
      <c r="T1327">
        <v>4</v>
      </c>
      <c r="U1327">
        <v>8</v>
      </c>
      <c r="V1327">
        <v>33</v>
      </c>
      <c r="W1327">
        <v>2</v>
      </c>
      <c r="X1327">
        <v>43</v>
      </c>
      <c r="Y1327">
        <v>150</v>
      </c>
      <c r="Z1327">
        <v>5</v>
      </c>
      <c r="AA1327">
        <v>0</v>
      </c>
      <c r="AB1327">
        <v>1</v>
      </c>
      <c r="AC1327">
        <v>1</v>
      </c>
      <c r="AD1327">
        <v>0</v>
      </c>
      <c r="AE1327">
        <v>1</v>
      </c>
      <c r="AF1327">
        <v>0</v>
      </c>
      <c r="AK1327">
        <v>2</v>
      </c>
      <c r="AL1327">
        <v>1</v>
      </c>
      <c r="AM1327">
        <v>0</v>
      </c>
      <c r="AN1327">
        <v>1</v>
      </c>
      <c r="AT1327">
        <v>2</v>
      </c>
      <c r="AZ1327">
        <v>8</v>
      </c>
      <c r="BA1327">
        <v>7</v>
      </c>
      <c r="BB1327">
        <v>18</v>
      </c>
      <c r="BC1327">
        <v>1</v>
      </c>
      <c r="BD1327">
        <v>19</v>
      </c>
      <c r="BE1327">
        <v>403</v>
      </c>
      <c r="BF1327">
        <v>403</v>
      </c>
      <c r="BG1327">
        <v>691</v>
      </c>
      <c r="BJ1327">
        <v>1</v>
      </c>
      <c r="BL1327" t="s">
        <v>2785</v>
      </c>
      <c r="BM1327" s="4">
        <v>43283.435416666667</v>
      </c>
      <c r="BN1327" s="4">
        <v>43283.439062500001</v>
      </c>
      <c r="BO1327" s="4">
        <v>43283.439062500001</v>
      </c>
      <c r="BP1327" t="s">
        <v>92</v>
      </c>
      <c r="BQ1327" t="s">
        <v>93</v>
      </c>
      <c r="BR1327" t="s">
        <v>94</v>
      </c>
    </row>
    <row r="1328" spans="1:70" x14ac:dyDescent="0.3">
      <c r="A1328" t="str">
        <f>"200687B0100"</f>
        <v>200687B0100</v>
      </c>
      <c r="B1328" t="s">
        <v>2786</v>
      </c>
      <c r="C1328">
        <v>20</v>
      </c>
      <c r="D1328" t="s">
        <v>88</v>
      </c>
      <c r="E1328">
        <v>76</v>
      </c>
      <c r="F1328" t="s">
        <v>2666</v>
      </c>
      <c r="G1328">
        <v>687</v>
      </c>
      <c r="H1328">
        <v>1</v>
      </c>
      <c r="I1328" t="s">
        <v>90</v>
      </c>
      <c r="J1328">
        <v>0</v>
      </c>
      <c r="K1328">
        <v>1</v>
      </c>
      <c r="L1328">
        <v>5</v>
      </c>
      <c r="M1328">
        <v>253</v>
      </c>
      <c r="N1328">
        <v>337</v>
      </c>
      <c r="O1328">
        <v>12</v>
      </c>
      <c r="P1328">
        <v>16</v>
      </c>
      <c r="Q1328">
        <v>7</v>
      </c>
      <c r="R1328">
        <v>67</v>
      </c>
      <c r="S1328">
        <v>8</v>
      </c>
      <c r="T1328">
        <v>5</v>
      </c>
      <c r="U1328">
        <v>10</v>
      </c>
      <c r="V1328">
        <v>18</v>
      </c>
      <c r="W1328">
        <v>10</v>
      </c>
      <c r="X1328">
        <v>30</v>
      </c>
      <c r="Y1328">
        <v>137</v>
      </c>
      <c r="Z1328">
        <v>8</v>
      </c>
      <c r="AA1328">
        <v>1</v>
      </c>
      <c r="AB1328">
        <v>1</v>
      </c>
      <c r="AC1328">
        <v>1</v>
      </c>
      <c r="AD1328">
        <v>0</v>
      </c>
      <c r="AE1328">
        <v>0</v>
      </c>
      <c r="AF1328">
        <v>1</v>
      </c>
      <c r="AK1328">
        <v>2</v>
      </c>
      <c r="AL1328">
        <v>0</v>
      </c>
      <c r="AM1328">
        <v>1</v>
      </c>
      <c r="AN1328">
        <v>1</v>
      </c>
      <c r="AT1328">
        <v>1</v>
      </c>
      <c r="AZ1328">
        <v>20</v>
      </c>
      <c r="BA1328">
        <v>7</v>
      </c>
      <c r="BB1328">
        <v>10</v>
      </c>
      <c r="BC1328">
        <v>0</v>
      </c>
      <c r="BD1328">
        <v>10</v>
      </c>
      <c r="BE1328">
        <v>341</v>
      </c>
      <c r="BF1328">
        <v>356</v>
      </c>
      <c r="BG1328">
        <v>578</v>
      </c>
      <c r="BJ1328">
        <v>1</v>
      </c>
      <c r="BL1328" t="s">
        <v>2787</v>
      </c>
      <c r="BM1328" s="4">
        <v>43283.250694444447</v>
      </c>
      <c r="BN1328" s="4">
        <v>43283.278009259258</v>
      </c>
      <c r="BO1328" s="4">
        <v>43283.278009259258</v>
      </c>
      <c r="BP1328" t="s">
        <v>92</v>
      </c>
      <c r="BQ1328" t="s">
        <v>93</v>
      </c>
      <c r="BR1328" t="s">
        <v>94</v>
      </c>
    </row>
    <row r="1329" spans="1:70" x14ac:dyDescent="0.3">
      <c r="A1329" t="str">
        <f>"200687C0100"</f>
        <v>200687C0100</v>
      </c>
      <c r="B1329" t="s">
        <v>2788</v>
      </c>
      <c r="C1329">
        <v>20</v>
      </c>
      <c r="D1329" t="s">
        <v>88</v>
      </c>
      <c r="E1329">
        <v>76</v>
      </c>
      <c r="F1329" t="s">
        <v>2666</v>
      </c>
      <c r="G1329">
        <v>687</v>
      </c>
      <c r="H1329">
        <v>1</v>
      </c>
      <c r="I1329" t="s">
        <v>98</v>
      </c>
      <c r="J1329">
        <v>0</v>
      </c>
      <c r="K1329">
        <v>1</v>
      </c>
      <c r="L1329">
        <v>5</v>
      </c>
      <c r="M1329" t="s">
        <v>127</v>
      </c>
      <c r="N1329" t="s">
        <v>127</v>
      </c>
      <c r="O1329" t="s">
        <v>127</v>
      </c>
      <c r="P1329" t="s">
        <v>127</v>
      </c>
      <c r="Q1329">
        <v>11</v>
      </c>
      <c r="R1329">
        <v>64</v>
      </c>
      <c r="S1329">
        <v>4</v>
      </c>
      <c r="T1329">
        <v>2</v>
      </c>
      <c r="U1329">
        <v>12</v>
      </c>
      <c r="V1329">
        <v>20</v>
      </c>
      <c r="W1329">
        <v>7</v>
      </c>
      <c r="X1329">
        <v>32</v>
      </c>
      <c r="Y1329">
        <v>156</v>
      </c>
      <c r="Z1329">
        <v>8</v>
      </c>
      <c r="AA1329">
        <v>0</v>
      </c>
      <c r="AB1329">
        <v>0</v>
      </c>
      <c r="AC1329">
        <v>1</v>
      </c>
      <c r="AD1329">
        <v>0</v>
      </c>
      <c r="AE1329">
        <v>0</v>
      </c>
      <c r="AF1329">
        <v>0</v>
      </c>
      <c r="AK1329">
        <v>5</v>
      </c>
      <c r="AL1329">
        <v>2</v>
      </c>
      <c r="AM1329">
        <v>0</v>
      </c>
      <c r="AN1329">
        <v>1</v>
      </c>
      <c r="AT1329">
        <v>0</v>
      </c>
      <c r="AZ1329">
        <v>12</v>
      </c>
      <c r="BA1329">
        <v>6</v>
      </c>
      <c r="BB1329">
        <v>9</v>
      </c>
      <c r="BC1329">
        <v>0</v>
      </c>
      <c r="BD1329">
        <v>7</v>
      </c>
      <c r="BE1329" t="s">
        <v>127</v>
      </c>
      <c r="BF1329">
        <v>359</v>
      </c>
      <c r="BG1329">
        <v>578</v>
      </c>
      <c r="BJ1329">
        <v>1</v>
      </c>
      <c r="BL1329" t="s">
        <v>2789</v>
      </c>
      <c r="BM1329" s="4">
        <v>43283.474305555559</v>
      </c>
      <c r="BN1329" s="4">
        <v>43283.491446759261</v>
      </c>
      <c r="BO1329" s="4">
        <v>43283.491446759261</v>
      </c>
      <c r="BP1329" t="s">
        <v>92</v>
      </c>
      <c r="BQ1329" t="s">
        <v>93</v>
      </c>
      <c r="BR1329" t="s">
        <v>94</v>
      </c>
    </row>
    <row r="1330" spans="1:70" x14ac:dyDescent="0.3">
      <c r="A1330" t="str">
        <f>"200687C0200"</f>
        <v>200687C0200</v>
      </c>
      <c r="B1330" t="s">
        <v>2790</v>
      </c>
      <c r="C1330">
        <v>20</v>
      </c>
      <c r="D1330" t="s">
        <v>88</v>
      </c>
      <c r="E1330">
        <v>76</v>
      </c>
      <c r="F1330" t="s">
        <v>2666</v>
      </c>
      <c r="G1330">
        <v>687</v>
      </c>
      <c r="H1330">
        <v>2</v>
      </c>
      <c r="I1330" t="s">
        <v>98</v>
      </c>
      <c r="J1330">
        <v>0</v>
      </c>
      <c r="K1330">
        <v>1</v>
      </c>
      <c r="L1330">
        <v>5</v>
      </c>
      <c r="M1330">
        <v>268</v>
      </c>
      <c r="N1330">
        <v>334</v>
      </c>
      <c r="O1330">
        <v>6</v>
      </c>
      <c r="P1330">
        <v>340</v>
      </c>
      <c r="Q1330">
        <v>8</v>
      </c>
      <c r="R1330">
        <v>48</v>
      </c>
      <c r="S1330">
        <v>6</v>
      </c>
      <c r="T1330">
        <v>4</v>
      </c>
      <c r="U1330">
        <v>12</v>
      </c>
      <c r="V1330">
        <v>24</v>
      </c>
      <c r="W1330">
        <v>15</v>
      </c>
      <c r="X1330">
        <v>36</v>
      </c>
      <c r="Y1330">
        <v>136</v>
      </c>
      <c r="Z1330">
        <v>5</v>
      </c>
      <c r="AA1330">
        <v>0</v>
      </c>
      <c r="AB1330">
        <v>1</v>
      </c>
      <c r="AC1330">
        <v>0</v>
      </c>
      <c r="AD1330">
        <v>0</v>
      </c>
      <c r="AE1330">
        <v>0</v>
      </c>
      <c r="AF1330">
        <v>0</v>
      </c>
      <c r="AK1330">
        <v>6</v>
      </c>
      <c r="AL1330">
        <v>0</v>
      </c>
      <c r="AM1330">
        <v>0</v>
      </c>
      <c r="AN1330">
        <v>0</v>
      </c>
      <c r="AT1330">
        <v>1</v>
      </c>
      <c r="AZ1330">
        <v>7</v>
      </c>
      <c r="BA1330">
        <v>6</v>
      </c>
      <c r="BB1330">
        <v>5</v>
      </c>
      <c r="BC1330">
        <v>0</v>
      </c>
      <c r="BD1330">
        <v>13</v>
      </c>
      <c r="BE1330">
        <v>233</v>
      </c>
      <c r="BF1330">
        <v>333</v>
      </c>
      <c r="BG1330">
        <v>577</v>
      </c>
      <c r="BJ1330">
        <v>1</v>
      </c>
      <c r="BL1330" t="s">
        <v>2791</v>
      </c>
      <c r="BM1330" s="4">
        <v>43283.254861111112</v>
      </c>
      <c r="BN1330" s="4">
        <v>43283.281990740739</v>
      </c>
      <c r="BO1330" s="4">
        <v>43283.281990740739</v>
      </c>
      <c r="BP1330" t="s">
        <v>92</v>
      </c>
      <c r="BQ1330" t="s">
        <v>93</v>
      </c>
      <c r="BR1330" t="s">
        <v>94</v>
      </c>
    </row>
    <row r="1331" spans="1:70" x14ac:dyDescent="0.3">
      <c r="A1331" t="str">
        <f>"200688B0100"</f>
        <v>200688B0100</v>
      </c>
      <c r="B1331" t="s">
        <v>2792</v>
      </c>
      <c r="C1331">
        <v>20</v>
      </c>
      <c r="D1331" t="s">
        <v>88</v>
      </c>
      <c r="E1331">
        <v>76</v>
      </c>
      <c r="F1331" t="s">
        <v>2666</v>
      </c>
      <c r="G1331">
        <v>688</v>
      </c>
      <c r="H1331">
        <v>1</v>
      </c>
      <c r="I1331" t="s">
        <v>90</v>
      </c>
      <c r="J1331">
        <v>0</v>
      </c>
      <c r="K1331">
        <v>1</v>
      </c>
      <c r="L1331">
        <v>5</v>
      </c>
      <c r="M1331">
        <v>265</v>
      </c>
      <c r="N1331">
        <v>504</v>
      </c>
      <c r="O1331">
        <v>3</v>
      </c>
      <c r="P1331">
        <v>504</v>
      </c>
      <c r="Q1331">
        <v>28</v>
      </c>
      <c r="R1331">
        <v>132</v>
      </c>
      <c r="S1331">
        <v>9</v>
      </c>
      <c r="T1331">
        <v>11</v>
      </c>
      <c r="U1331">
        <v>19</v>
      </c>
      <c r="V1331">
        <v>47</v>
      </c>
      <c r="W1331">
        <v>7</v>
      </c>
      <c r="X1331">
        <v>31</v>
      </c>
      <c r="Y1331">
        <v>173</v>
      </c>
      <c r="Z1331">
        <v>3</v>
      </c>
      <c r="AA1331">
        <v>1</v>
      </c>
      <c r="AB1331">
        <v>2</v>
      </c>
      <c r="AC1331">
        <v>3</v>
      </c>
      <c r="AD1331">
        <v>0</v>
      </c>
      <c r="AE1331">
        <v>0</v>
      </c>
      <c r="AF1331">
        <v>0</v>
      </c>
      <c r="AK1331">
        <v>2</v>
      </c>
      <c r="AL1331">
        <v>2</v>
      </c>
      <c r="AM1331">
        <v>0</v>
      </c>
      <c r="AN1331">
        <v>3</v>
      </c>
      <c r="AT1331">
        <v>0</v>
      </c>
      <c r="AZ1331">
        <v>6</v>
      </c>
      <c r="BA1331">
        <v>6</v>
      </c>
      <c r="BB1331">
        <v>14</v>
      </c>
      <c r="BC1331">
        <v>0</v>
      </c>
      <c r="BD1331">
        <v>8</v>
      </c>
      <c r="BE1331">
        <v>507</v>
      </c>
      <c r="BF1331">
        <v>507</v>
      </c>
      <c r="BG1331">
        <v>745</v>
      </c>
      <c r="BJ1331">
        <v>1</v>
      </c>
      <c r="BL1331" t="s">
        <v>2793</v>
      </c>
      <c r="BM1331" s="4">
        <v>43283.165277777778</v>
      </c>
      <c r="BN1331" s="4">
        <v>43283.186932870369</v>
      </c>
      <c r="BO1331" s="4">
        <v>43283.186932870369</v>
      </c>
      <c r="BP1331" t="s">
        <v>92</v>
      </c>
      <c r="BQ1331" t="s">
        <v>93</v>
      </c>
      <c r="BR1331" t="s">
        <v>94</v>
      </c>
    </row>
    <row r="1332" spans="1:70" x14ac:dyDescent="0.3">
      <c r="A1332" t="str">
        <f>"200688C0100"</f>
        <v>200688C0100</v>
      </c>
      <c r="B1332" t="s">
        <v>2794</v>
      </c>
      <c r="C1332">
        <v>20</v>
      </c>
      <c r="D1332" t="s">
        <v>88</v>
      </c>
      <c r="E1332">
        <v>76</v>
      </c>
      <c r="F1332" t="s">
        <v>2666</v>
      </c>
      <c r="G1332">
        <v>688</v>
      </c>
      <c r="H1332">
        <v>1</v>
      </c>
      <c r="I1332" t="s">
        <v>98</v>
      </c>
      <c r="J1332">
        <v>0</v>
      </c>
      <c r="K1332">
        <v>1</v>
      </c>
      <c r="L1332">
        <v>5</v>
      </c>
      <c r="M1332">
        <v>294</v>
      </c>
      <c r="N1332">
        <v>477</v>
      </c>
      <c r="O1332">
        <v>0</v>
      </c>
      <c r="P1332">
        <v>0</v>
      </c>
      <c r="Q1332">
        <v>19</v>
      </c>
      <c r="R1332">
        <v>140</v>
      </c>
      <c r="S1332">
        <v>9</v>
      </c>
      <c r="T1332">
        <v>12</v>
      </c>
      <c r="U1332">
        <v>7</v>
      </c>
      <c r="V1332">
        <v>44</v>
      </c>
      <c r="W1332">
        <v>6</v>
      </c>
      <c r="X1332">
        <v>29</v>
      </c>
      <c r="Y1332">
        <v>148</v>
      </c>
      <c r="Z1332">
        <v>4</v>
      </c>
      <c r="AA1332">
        <v>0</v>
      </c>
      <c r="AB1332">
        <v>0</v>
      </c>
      <c r="AC1332">
        <v>3</v>
      </c>
      <c r="AD1332">
        <v>0</v>
      </c>
      <c r="AE1332">
        <v>0</v>
      </c>
      <c r="AF1332">
        <v>0</v>
      </c>
      <c r="AK1332">
        <v>2</v>
      </c>
      <c r="AL1332">
        <v>0</v>
      </c>
      <c r="AM1332">
        <v>0</v>
      </c>
      <c r="AN1332">
        <v>0</v>
      </c>
      <c r="AT1332">
        <v>4</v>
      </c>
      <c r="AZ1332">
        <v>16</v>
      </c>
      <c r="BA1332">
        <v>3</v>
      </c>
      <c r="BB1332">
        <v>18</v>
      </c>
      <c r="BC1332">
        <v>0</v>
      </c>
      <c r="BD1332">
        <v>11</v>
      </c>
      <c r="BE1332">
        <v>475</v>
      </c>
      <c r="BF1332">
        <v>475</v>
      </c>
      <c r="BG1332">
        <v>745</v>
      </c>
      <c r="BJ1332">
        <v>1</v>
      </c>
      <c r="BL1332" t="s">
        <v>2795</v>
      </c>
      <c r="BM1332" s="4">
        <v>43283.168749999997</v>
      </c>
      <c r="BN1332" s="4">
        <v>43283.182152777779</v>
      </c>
      <c r="BO1332" s="4">
        <v>43283.182152777779</v>
      </c>
      <c r="BP1332" t="s">
        <v>92</v>
      </c>
      <c r="BQ1332" t="s">
        <v>93</v>
      </c>
      <c r="BR1332" t="s">
        <v>94</v>
      </c>
    </row>
    <row r="1333" spans="1:70" x14ac:dyDescent="0.3">
      <c r="A1333" t="str">
        <f>"200689B0100"</f>
        <v>200689B0100</v>
      </c>
      <c r="B1333" t="s">
        <v>2796</v>
      </c>
      <c r="C1333">
        <v>20</v>
      </c>
      <c r="D1333" t="s">
        <v>88</v>
      </c>
      <c r="E1333">
        <v>76</v>
      </c>
      <c r="F1333" t="s">
        <v>2666</v>
      </c>
      <c r="G1333">
        <v>689</v>
      </c>
      <c r="H1333">
        <v>1</v>
      </c>
      <c r="I1333" t="s">
        <v>90</v>
      </c>
      <c r="J1333">
        <v>0</v>
      </c>
      <c r="K1333">
        <v>1</v>
      </c>
      <c r="L1333">
        <v>5</v>
      </c>
      <c r="BG1333">
        <v>675</v>
      </c>
      <c r="BI1333" t="s">
        <v>365</v>
      </c>
      <c r="BJ1333">
        <v>0</v>
      </c>
      <c r="BL1333" t="s">
        <v>2797</v>
      </c>
      <c r="BM1333" s="4">
        <v>43283.604166666664</v>
      </c>
      <c r="BN1333" s="4">
        <v>43283.646284722221</v>
      </c>
      <c r="BO1333" s="4">
        <v>43283.646284722221</v>
      </c>
      <c r="BP1333" t="s">
        <v>92</v>
      </c>
      <c r="BQ1333" t="s">
        <v>93</v>
      </c>
      <c r="BR1333" t="s">
        <v>94</v>
      </c>
    </row>
    <row r="1334" spans="1:70" x14ac:dyDescent="0.3">
      <c r="A1334" t="str">
        <f>"200689C0100"</f>
        <v>200689C0100</v>
      </c>
      <c r="B1334" t="s">
        <v>2798</v>
      </c>
      <c r="C1334">
        <v>20</v>
      </c>
      <c r="D1334" t="s">
        <v>88</v>
      </c>
      <c r="E1334">
        <v>76</v>
      </c>
      <c r="F1334" t="s">
        <v>2666</v>
      </c>
      <c r="G1334">
        <v>689</v>
      </c>
      <c r="H1334">
        <v>1</v>
      </c>
      <c r="I1334" t="s">
        <v>98</v>
      </c>
      <c r="J1334">
        <v>0</v>
      </c>
      <c r="K1334">
        <v>1</v>
      </c>
      <c r="L1334">
        <v>5</v>
      </c>
      <c r="BG1334">
        <v>675</v>
      </c>
      <c r="BI1334" t="s">
        <v>365</v>
      </c>
      <c r="BJ1334">
        <v>0</v>
      </c>
      <c r="BL1334" t="s">
        <v>2799</v>
      </c>
      <c r="BM1334" s="4">
        <v>43283.604166666664</v>
      </c>
      <c r="BN1334" s="4">
        <v>43283.646157407406</v>
      </c>
      <c r="BO1334" s="4">
        <v>43283.646157407406</v>
      </c>
      <c r="BP1334" t="s">
        <v>92</v>
      </c>
      <c r="BQ1334" t="s">
        <v>93</v>
      </c>
      <c r="BR1334" t="s">
        <v>94</v>
      </c>
    </row>
    <row r="1335" spans="1:70" x14ac:dyDescent="0.3">
      <c r="A1335" t="str">
        <f>"200690B0100"</f>
        <v>200690B0100</v>
      </c>
      <c r="B1335" t="s">
        <v>2800</v>
      </c>
      <c r="C1335">
        <v>20</v>
      </c>
      <c r="D1335" t="s">
        <v>88</v>
      </c>
      <c r="E1335">
        <v>76</v>
      </c>
      <c r="F1335" t="s">
        <v>2666</v>
      </c>
      <c r="G1335">
        <v>690</v>
      </c>
      <c r="H1335">
        <v>1</v>
      </c>
      <c r="I1335" t="s">
        <v>90</v>
      </c>
      <c r="J1335">
        <v>0</v>
      </c>
      <c r="K1335">
        <v>1</v>
      </c>
      <c r="L1335">
        <v>5</v>
      </c>
      <c r="M1335">
        <v>224</v>
      </c>
      <c r="N1335">
        <v>428</v>
      </c>
      <c r="O1335">
        <v>10</v>
      </c>
      <c r="P1335">
        <v>425</v>
      </c>
      <c r="Q1335">
        <v>25</v>
      </c>
      <c r="R1335">
        <v>137</v>
      </c>
      <c r="S1335">
        <v>9</v>
      </c>
      <c r="T1335">
        <v>6</v>
      </c>
      <c r="U1335">
        <v>5</v>
      </c>
      <c r="V1335">
        <v>41</v>
      </c>
      <c r="W1335">
        <v>2</v>
      </c>
      <c r="X1335">
        <v>49</v>
      </c>
      <c r="Y1335">
        <v>102</v>
      </c>
      <c r="Z1335">
        <v>2</v>
      </c>
      <c r="AA1335">
        <v>0</v>
      </c>
      <c r="AB1335">
        <v>1</v>
      </c>
      <c r="AC1335">
        <v>0</v>
      </c>
      <c r="AD1335">
        <v>0</v>
      </c>
      <c r="AE1335">
        <v>0</v>
      </c>
      <c r="AF1335">
        <v>0</v>
      </c>
      <c r="AK1335">
        <v>4</v>
      </c>
      <c r="AL1335">
        <v>0</v>
      </c>
      <c r="AM1335">
        <v>0</v>
      </c>
      <c r="AN1335">
        <v>0</v>
      </c>
      <c r="AT1335">
        <v>2</v>
      </c>
      <c r="AZ1335">
        <v>17</v>
      </c>
      <c r="BA1335">
        <v>4</v>
      </c>
      <c r="BB1335">
        <v>8</v>
      </c>
      <c r="BC1335">
        <v>0</v>
      </c>
      <c r="BD1335">
        <v>11</v>
      </c>
      <c r="BE1335">
        <v>425</v>
      </c>
      <c r="BF1335">
        <v>425</v>
      </c>
      <c r="BG1335">
        <v>615</v>
      </c>
      <c r="BJ1335">
        <v>1</v>
      </c>
      <c r="BL1335" t="s">
        <v>2801</v>
      </c>
      <c r="BM1335" s="4">
        <v>43283.569444444445</v>
      </c>
      <c r="BN1335" s="4">
        <v>43283.576655092591</v>
      </c>
      <c r="BO1335" s="4">
        <v>43283.576655092591</v>
      </c>
      <c r="BP1335" t="s">
        <v>92</v>
      </c>
      <c r="BQ1335" t="s">
        <v>93</v>
      </c>
      <c r="BR1335" t="s">
        <v>94</v>
      </c>
    </row>
    <row r="1336" spans="1:70" x14ac:dyDescent="0.3">
      <c r="A1336" t="str">
        <f>"200691B0100"</f>
        <v>200691B0100</v>
      </c>
      <c r="B1336" t="s">
        <v>2802</v>
      </c>
      <c r="C1336">
        <v>20</v>
      </c>
      <c r="D1336" t="s">
        <v>88</v>
      </c>
      <c r="E1336">
        <v>76</v>
      </c>
      <c r="F1336" t="s">
        <v>2666</v>
      </c>
      <c r="G1336">
        <v>691</v>
      </c>
      <c r="H1336">
        <v>1</v>
      </c>
      <c r="I1336" t="s">
        <v>90</v>
      </c>
      <c r="J1336">
        <v>0</v>
      </c>
      <c r="K1336">
        <v>1</v>
      </c>
      <c r="L1336">
        <v>5</v>
      </c>
      <c r="M1336">
        <v>229</v>
      </c>
      <c r="N1336">
        <v>403</v>
      </c>
      <c r="O1336">
        <v>2</v>
      </c>
      <c r="P1336">
        <v>403</v>
      </c>
      <c r="Q1336">
        <v>18</v>
      </c>
      <c r="R1336">
        <v>111</v>
      </c>
      <c r="S1336">
        <v>7</v>
      </c>
      <c r="T1336">
        <v>4</v>
      </c>
      <c r="U1336">
        <v>4</v>
      </c>
      <c r="V1336">
        <v>34</v>
      </c>
      <c r="W1336">
        <v>0</v>
      </c>
      <c r="X1336">
        <v>35</v>
      </c>
      <c r="Y1336">
        <v>149</v>
      </c>
      <c r="Z1336">
        <v>4</v>
      </c>
      <c r="AA1336">
        <v>0</v>
      </c>
      <c r="AB1336">
        <v>1</v>
      </c>
      <c r="AC1336">
        <v>5</v>
      </c>
      <c r="AD1336">
        <v>0</v>
      </c>
      <c r="AE1336">
        <v>0</v>
      </c>
      <c r="AF1336">
        <v>0</v>
      </c>
      <c r="AK1336">
        <v>2</v>
      </c>
      <c r="AL1336">
        <v>0</v>
      </c>
      <c r="AM1336">
        <v>0</v>
      </c>
      <c r="AN1336">
        <v>0</v>
      </c>
      <c r="AT1336">
        <v>0</v>
      </c>
      <c r="AZ1336">
        <v>9</v>
      </c>
      <c r="BA1336">
        <v>6</v>
      </c>
      <c r="BB1336">
        <v>7</v>
      </c>
      <c r="BC1336">
        <v>0</v>
      </c>
      <c r="BD1336">
        <v>5</v>
      </c>
      <c r="BE1336">
        <v>401</v>
      </c>
      <c r="BF1336">
        <v>401</v>
      </c>
      <c r="BG1336">
        <v>606</v>
      </c>
      <c r="BJ1336">
        <v>1</v>
      </c>
      <c r="BL1336" t="s">
        <v>2803</v>
      </c>
      <c r="BM1336" s="4">
        <v>43283.239583333336</v>
      </c>
      <c r="BN1336" s="4">
        <v>43283.266030092593</v>
      </c>
      <c r="BO1336" s="4">
        <v>43283.266030092593</v>
      </c>
      <c r="BP1336" t="s">
        <v>92</v>
      </c>
      <c r="BQ1336" t="s">
        <v>93</v>
      </c>
      <c r="BR1336" t="s">
        <v>94</v>
      </c>
    </row>
    <row r="1337" spans="1:70" x14ac:dyDescent="0.3">
      <c r="A1337" t="str">
        <f>"200691C0100"</f>
        <v>200691C0100</v>
      </c>
      <c r="B1337" t="s">
        <v>2804</v>
      </c>
      <c r="C1337">
        <v>20</v>
      </c>
      <c r="D1337" t="s">
        <v>88</v>
      </c>
      <c r="E1337">
        <v>76</v>
      </c>
      <c r="F1337" t="s">
        <v>2666</v>
      </c>
      <c r="G1337">
        <v>691</v>
      </c>
      <c r="H1337">
        <v>1</v>
      </c>
      <c r="I1337" t="s">
        <v>98</v>
      </c>
      <c r="J1337">
        <v>0</v>
      </c>
      <c r="K1337">
        <v>1</v>
      </c>
      <c r="L1337">
        <v>5</v>
      </c>
      <c r="M1337">
        <v>209</v>
      </c>
      <c r="N1337">
        <v>423</v>
      </c>
      <c r="O1337">
        <v>6</v>
      </c>
      <c r="P1337" t="s">
        <v>127</v>
      </c>
      <c r="Q1337">
        <v>24</v>
      </c>
      <c r="R1337">
        <v>111</v>
      </c>
      <c r="S1337">
        <v>7</v>
      </c>
      <c r="T1337">
        <v>7</v>
      </c>
      <c r="U1337">
        <v>0</v>
      </c>
      <c r="V1337">
        <v>28</v>
      </c>
      <c r="W1337">
        <v>7</v>
      </c>
      <c r="X1337">
        <v>51</v>
      </c>
      <c r="Y1337">
        <v>143</v>
      </c>
      <c r="Z1337">
        <v>2</v>
      </c>
      <c r="AA1337">
        <v>0</v>
      </c>
      <c r="AB1337">
        <v>1</v>
      </c>
      <c r="AC1337">
        <v>4</v>
      </c>
      <c r="AD1337" t="s">
        <v>105</v>
      </c>
      <c r="AE1337" t="s">
        <v>105</v>
      </c>
      <c r="AF1337" t="s">
        <v>105</v>
      </c>
      <c r="AK1337">
        <v>6</v>
      </c>
      <c r="AL1337" t="s">
        <v>105</v>
      </c>
      <c r="AM1337" t="s">
        <v>105</v>
      </c>
      <c r="AN1337" t="s">
        <v>105</v>
      </c>
      <c r="AT1337" t="s">
        <v>105</v>
      </c>
      <c r="AZ1337">
        <v>11</v>
      </c>
      <c r="BA1337">
        <v>10</v>
      </c>
      <c r="BB1337">
        <v>8</v>
      </c>
      <c r="BC1337" t="s">
        <v>105</v>
      </c>
      <c r="BD1337">
        <v>4</v>
      </c>
      <c r="BE1337">
        <v>324</v>
      </c>
      <c r="BF1337">
        <v>424</v>
      </c>
      <c r="BG1337">
        <v>605</v>
      </c>
      <c r="BI1337" t="s">
        <v>106</v>
      </c>
      <c r="BJ1337">
        <v>1</v>
      </c>
      <c r="BL1337" t="s">
        <v>2805</v>
      </c>
      <c r="BM1337" s="4">
        <v>43283.24722222222</v>
      </c>
      <c r="BN1337" s="4">
        <v>43283.272604166668</v>
      </c>
      <c r="BO1337" s="4">
        <v>43283.272604166668</v>
      </c>
      <c r="BP1337" t="s">
        <v>92</v>
      </c>
      <c r="BQ1337" t="s">
        <v>93</v>
      </c>
      <c r="BR1337" t="s">
        <v>94</v>
      </c>
    </row>
    <row r="1338" spans="1:70" x14ac:dyDescent="0.3">
      <c r="A1338" t="str">
        <f>"200692B0100"</f>
        <v>200692B0100</v>
      </c>
      <c r="B1338" t="s">
        <v>2806</v>
      </c>
      <c r="C1338">
        <v>20</v>
      </c>
      <c r="D1338" t="s">
        <v>88</v>
      </c>
      <c r="E1338">
        <v>76</v>
      </c>
      <c r="F1338" t="s">
        <v>2666</v>
      </c>
      <c r="G1338">
        <v>692</v>
      </c>
      <c r="H1338">
        <v>1</v>
      </c>
      <c r="I1338" t="s">
        <v>90</v>
      </c>
      <c r="J1338">
        <v>0</v>
      </c>
      <c r="K1338">
        <v>1</v>
      </c>
      <c r="L1338">
        <v>5</v>
      </c>
      <c r="BG1338">
        <v>584</v>
      </c>
      <c r="BI1338" t="s">
        <v>365</v>
      </c>
      <c r="BJ1338">
        <v>0</v>
      </c>
      <c r="BL1338" t="s">
        <v>2807</v>
      </c>
      <c r="BM1338" s="4">
        <v>43283.604166666664</v>
      </c>
      <c r="BN1338" s="4">
        <v>43283.645972222221</v>
      </c>
      <c r="BO1338" s="4">
        <v>43283.645972222221</v>
      </c>
      <c r="BP1338" t="s">
        <v>92</v>
      </c>
      <c r="BQ1338" t="s">
        <v>93</v>
      </c>
      <c r="BR1338" t="s">
        <v>94</v>
      </c>
    </row>
    <row r="1339" spans="1:70" x14ac:dyDescent="0.3">
      <c r="A1339" t="str">
        <f>"200692C0100"</f>
        <v>200692C0100</v>
      </c>
      <c r="B1339" t="s">
        <v>2808</v>
      </c>
      <c r="C1339">
        <v>20</v>
      </c>
      <c r="D1339" t="s">
        <v>88</v>
      </c>
      <c r="E1339">
        <v>76</v>
      </c>
      <c r="F1339" t="s">
        <v>2666</v>
      </c>
      <c r="G1339">
        <v>692</v>
      </c>
      <c r="H1339">
        <v>1</v>
      </c>
      <c r="I1339" t="s">
        <v>98</v>
      </c>
      <c r="J1339">
        <v>0</v>
      </c>
      <c r="K1339">
        <v>1</v>
      </c>
      <c r="L1339">
        <v>5</v>
      </c>
      <c r="M1339">
        <v>204</v>
      </c>
      <c r="N1339">
        <v>404</v>
      </c>
      <c r="O1339">
        <v>1</v>
      </c>
      <c r="P1339">
        <v>408</v>
      </c>
      <c r="Q1339">
        <v>19</v>
      </c>
      <c r="R1339">
        <v>62</v>
      </c>
      <c r="S1339">
        <v>1</v>
      </c>
      <c r="T1339">
        <v>9</v>
      </c>
      <c r="U1339">
        <v>11</v>
      </c>
      <c r="V1339">
        <v>58</v>
      </c>
      <c r="W1339">
        <v>8</v>
      </c>
      <c r="X1339">
        <v>44</v>
      </c>
      <c r="Y1339">
        <v>156</v>
      </c>
      <c r="Z1339">
        <v>2</v>
      </c>
      <c r="AA1339">
        <v>0</v>
      </c>
      <c r="AB1339">
        <v>1</v>
      </c>
      <c r="AC1339">
        <v>3</v>
      </c>
      <c r="AD1339">
        <v>0</v>
      </c>
      <c r="AE1339">
        <v>0</v>
      </c>
      <c r="AF1339">
        <v>0</v>
      </c>
      <c r="AK1339">
        <v>5</v>
      </c>
      <c r="AL1339">
        <v>2</v>
      </c>
      <c r="AM1339">
        <v>0</v>
      </c>
      <c r="AN1339">
        <v>0</v>
      </c>
      <c r="AT1339">
        <v>0</v>
      </c>
      <c r="AZ1339">
        <v>6</v>
      </c>
      <c r="BA1339">
        <v>6</v>
      </c>
      <c r="BB1339">
        <v>4</v>
      </c>
      <c r="BC1339">
        <v>0</v>
      </c>
      <c r="BD1339">
        <v>11</v>
      </c>
      <c r="BE1339">
        <v>408</v>
      </c>
      <c r="BF1339">
        <v>408</v>
      </c>
      <c r="BG1339">
        <v>584</v>
      </c>
      <c r="BJ1339">
        <v>1</v>
      </c>
      <c r="BL1339" t="s">
        <v>2809</v>
      </c>
      <c r="BM1339" s="4">
        <v>43283.114583333336</v>
      </c>
      <c r="BN1339" s="4">
        <v>43283.121307870373</v>
      </c>
      <c r="BO1339" s="4">
        <v>43283.121307870373</v>
      </c>
      <c r="BP1339" t="s">
        <v>92</v>
      </c>
      <c r="BQ1339" t="s">
        <v>93</v>
      </c>
      <c r="BR1339" t="s">
        <v>94</v>
      </c>
    </row>
    <row r="1340" spans="1:70" x14ac:dyDescent="0.3">
      <c r="A1340" t="str">
        <f>"200693B0100"</f>
        <v>200693B0100</v>
      </c>
      <c r="B1340" t="s">
        <v>2810</v>
      </c>
      <c r="C1340">
        <v>20</v>
      </c>
      <c r="D1340" t="s">
        <v>88</v>
      </c>
      <c r="E1340">
        <v>76</v>
      </c>
      <c r="F1340" t="s">
        <v>2666</v>
      </c>
      <c r="G1340">
        <v>693</v>
      </c>
      <c r="H1340">
        <v>1</v>
      </c>
      <c r="I1340" t="s">
        <v>90</v>
      </c>
      <c r="J1340">
        <v>0</v>
      </c>
      <c r="K1340">
        <v>1</v>
      </c>
      <c r="L1340">
        <v>5</v>
      </c>
      <c r="BG1340">
        <v>535</v>
      </c>
      <c r="BI1340" t="s">
        <v>365</v>
      </c>
      <c r="BJ1340">
        <v>0</v>
      </c>
      <c r="BL1340" t="s">
        <v>2811</v>
      </c>
      <c r="BM1340" s="4">
        <v>43283.604861111111</v>
      </c>
      <c r="BN1340" s="4">
        <v>43283.645775462966</v>
      </c>
      <c r="BO1340" s="4">
        <v>43283.645775462966</v>
      </c>
      <c r="BP1340" t="s">
        <v>92</v>
      </c>
      <c r="BQ1340" t="s">
        <v>93</v>
      </c>
      <c r="BR1340" t="s">
        <v>94</v>
      </c>
    </row>
    <row r="1341" spans="1:70" x14ac:dyDescent="0.3">
      <c r="A1341" t="str">
        <f>"200693C0100"</f>
        <v>200693C0100</v>
      </c>
      <c r="B1341" t="s">
        <v>2812</v>
      </c>
      <c r="C1341">
        <v>20</v>
      </c>
      <c r="D1341" t="s">
        <v>88</v>
      </c>
      <c r="E1341">
        <v>76</v>
      </c>
      <c r="F1341" t="s">
        <v>2666</v>
      </c>
      <c r="G1341">
        <v>693</v>
      </c>
      <c r="H1341">
        <v>1</v>
      </c>
      <c r="I1341" t="s">
        <v>98</v>
      </c>
      <c r="J1341">
        <v>0</v>
      </c>
      <c r="K1341">
        <v>1</v>
      </c>
      <c r="L1341">
        <v>5</v>
      </c>
      <c r="BG1341">
        <v>534</v>
      </c>
      <c r="BI1341" t="s">
        <v>365</v>
      </c>
      <c r="BJ1341">
        <v>0</v>
      </c>
      <c r="BL1341" t="s">
        <v>2813</v>
      </c>
      <c r="BM1341" s="4">
        <v>43283.604861111111</v>
      </c>
      <c r="BN1341" s="4">
        <v>43283.645335648151</v>
      </c>
      <c r="BO1341" s="4">
        <v>43283.645335648151</v>
      </c>
      <c r="BP1341" t="s">
        <v>92</v>
      </c>
      <c r="BQ1341" t="s">
        <v>93</v>
      </c>
      <c r="BR1341" t="s">
        <v>94</v>
      </c>
    </row>
    <row r="1342" spans="1:70" x14ac:dyDescent="0.3">
      <c r="A1342" t="str">
        <f>"200693C0200"</f>
        <v>200693C0200</v>
      </c>
      <c r="B1342" t="s">
        <v>2814</v>
      </c>
      <c r="C1342">
        <v>20</v>
      </c>
      <c r="D1342" t="s">
        <v>88</v>
      </c>
      <c r="E1342">
        <v>76</v>
      </c>
      <c r="F1342" t="s">
        <v>2666</v>
      </c>
      <c r="G1342">
        <v>693</v>
      </c>
      <c r="H1342">
        <v>2</v>
      </c>
      <c r="I1342" t="s">
        <v>98</v>
      </c>
      <c r="J1342">
        <v>0</v>
      </c>
      <c r="K1342">
        <v>1</v>
      </c>
      <c r="L1342">
        <v>5</v>
      </c>
      <c r="M1342">
        <v>231</v>
      </c>
      <c r="N1342">
        <v>327</v>
      </c>
      <c r="O1342">
        <v>3</v>
      </c>
      <c r="P1342">
        <v>327</v>
      </c>
      <c r="Q1342">
        <v>15</v>
      </c>
      <c r="R1342">
        <v>59</v>
      </c>
      <c r="S1342">
        <v>7</v>
      </c>
      <c r="T1342">
        <v>1</v>
      </c>
      <c r="U1342">
        <v>16</v>
      </c>
      <c r="V1342">
        <v>24</v>
      </c>
      <c r="W1342">
        <v>1</v>
      </c>
      <c r="X1342">
        <v>40</v>
      </c>
      <c r="Y1342">
        <v>113</v>
      </c>
      <c r="Z1342">
        <v>1</v>
      </c>
      <c r="AA1342">
        <v>1</v>
      </c>
      <c r="AB1342">
        <v>2</v>
      </c>
      <c r="AC1342">
        <v>1</v>
      </c>
      <c r="AD1342">
        <v>0</v>
      </c>
      <c r="AE1342">
        <v>0</v>
      </c>
      <c r="AF1342">
        <v>0</v>
      </c>
      <c r="AK1342">
        <v>3</v>
      </c>
      <c r="AL1342">
        <v>0</v>
      </c>
      <c r="AM1342">
        <v>0</v>
      </c>
      <c r="AN1342">
        <v>0</v>
      </c>
      <c r="AT1342">
        <v>5</v>
      </c>
      <c r="AZ1342">
        <v>0</v>
      </c>
      <c r="BA1342">
        <v>6</v>
      </c>
      <c r="BB1342">
        <v>12</v>
      </c>
      <c r="BC1342">
        <v>3</v>
      </c>
      <c r="BD1342">
        <v>12</v>
      </c>
      <c r="BE1342">
        <v>322</v>
      </c>
      <c r="BF1342">
        <v>322</v>
      </c>
      <c r="BG1342">
        <v>534</v>
      </c>
      <c r="BJ1342">
        <v>1</v>
      </c>
      <c r="BL1342" t="s">
        <v>2815</v>
      </c>
      <c r="BM1342" s="4">
        <v>43283.146527777775</v>
      </c>
      <c r="BN1342" s="4">
        <v>43283.163587962961</v>
      </c>
      <c r="BO1342" s="4">
        <v>43283.163587962961</v>
      </c>
      <c r="BP1342" t="s">
        <v>92</v>
      </c>
      <c r="BQ1342" t="s">
        <v>93</v>
      </c>
      <c r="BR1342" t="s">
        <v>94</v>
      </c>
    </row>
    <row r="1343" spans="1:70" x14ac:dyDescent="0.3">
      <c r="A1343" t="str">
        <f>"200694B0100"</f>
        <v>200694B0100</v>
      </c>
      <c r="B1343" t="s">
        <v>2816</v>
      </c>
      <c r="C1343">
        <v>20</v>
      </c>
      <c r="D1343" t="s">
        <v>88</v>
      </c>
      <c r="E1343">
        <v>76</v>
      </c>
      <c r="F1343" t="s">
        <v>2666</v>
      </c>
      <c r="G1343">
        <v>694</v>
      </c>
      <c r="H1343">
        <v>1</v>
      </c>
      <c r="I1343" t="s">
        <v>90</v>
      </c>
      <c r="J1343">
        <v>0</v>
      </c>
      <c r="K1343">
        <v>1</v>
      </c>
      <c r="L1343">
        <v>5</v>
      </c>
      <c r="BG1343">
        <v>600</v>
      </c>
      <c r="BI1343" t="s">
        <v>365</v>
      </c>
      <c r="BJ1343">
        <v>0</v>
      </c>
      <c r="BL1343" t="s">
        <v>2817</v>
      </c>
      <c r="BM1343" s="4">
        <v>43283.604861111111</v>
      </c>
      <c r="BN1343" s="4">
        <v>43283.649861111109</v>
      </c>
      <c r="BO1343" s="4">
        <v>43283.649861111109</v>
      </c>
      <c r="BP1343" t="s">
        <v>92</v>
      </c>
      <c r="BQ1343" t="s">
        <v>93</v>
      </c>
      <c r="BR1343" t="s">
        <v>94</v>
      </c>
    </row>
    <row r="1344" spans="1:70" x14ac:dyDescent="0.3">
      <c r="A1344" t="str">
        <f>"200694C0100"</f>
        <v>200694C0100</v>
      </c>
      <c r="B1344" t="s">
        <v>2818</v>
      </c>
      <c r="C1344">
        <v>20</v>
      </c>
      <c r="D1344" t="s">
        <v>88</v>
      </c>
      <c r="E1344">
        <v>76</v>
      </c>
      <c r="F1344" t="s">
        <v>2666</v>
      </c>
      <c r="G1344">
        <v>694</v>
      </c>
      <c r="H1344">
        <v>1</v>
      </c>
      <c r="I1344" t="s">
        <v>98</v>
      </c>
      <c r="J1344">
        <v>0</v>
      </c>
      <c r="K1344">
        <v>1</v>
      </c>
      <c r="L1344">
        <v>5</v>
      </c>
      <c r="BG1344">
        <v>600</v>
      </c>
      <c r="BI1344" t="s">
        <v>122</v>
      </c>
      <c r="BJ1344">
        <v>0</v>
      </c>
      <c r="BL1344" t="s">
        <v>2819</v>
      </c>
      <c r="BM1344" s="4">
        <v>43283.699305555558</v>
      </c>
      <c r="BN1344" s="4">
        <v>43283.701099537036</v>
      </c>
      <c r="BO1344" s="4">
        <v>43283.701099537036</v>
      </c>
      <c r="BP1344" t="s">
        <v>92</v>
      </c>
      <c r="BQ1344" t="s">
        <v>93</v>
      </c>
      <c r="BR1344" t="s">
        <v>94</v>
      </c>
    </row>
    <row r="1345" spans="1:70" x14ac:dyDescent="0.3">
      <c r="A1345" t="str">
        <f>"200695B0100"</f>
        <v>200695B0100</v>
      </c>
      <c r="B1345" t="s">
        <v>2820</v>
      </c>
      <c r="C1345">
        <v>20</v>
      </c>
      <c r="D1345" t="s">
        <v>88</v>
      </c>
      <c r="E1345">
        <v>76</v>
      </c>
      <c r="F1345" t="s">
        <v>2666</v>
      </c>
      <c r="G1345">
        <v>695</v>
      </c>
      <c r="H1345">
        <v>1</v>
      </c>
      <c r="I1345" t="s">
        <v>90</v>
      </c>
      <c r="J1345">
        <v>0</v>
      </c>
      <c r="K1345">
        <v>1</v>
      </c>
      <c r="L1345">
        <v>5</v>
      </c>
      <c r="M1345">
        <v>261</v>
      </c>
      <c r="N1345">
        <v>335</v>
      </c>
      <c r="O1345" t="s">
        <v>105</v>
      </c>
      <c r="P1345">
        <v>334</v>
      </c>
      <c r="Q1345">
        <v>16</v>
      </c>
      <c r="R1345">
        <v>87</v>
      </c>
      <c r="S1345">
        <v>4</v>
      </c>
      <c r="T1345">
        <v>1</v>
      </c>
      <c r="U1345">
        <v>8</v>
      </c>
      <c r="V1345">
        <v>25</v>
      </c>
      <c r="W1345">
        <v>4</v>
      </c>
      <c r="X1345">
        <v>35</v>
      </c>
      <c r="Y1345">
        <v>106</v>
      </c>
      <c r="Z1345">
        <v>4</v>
      </c>
      <c r="AA1345">
        <v>0</v>
      </c>
      <c r="AB1345">
        <v>1</v>
      </c>
      <c r="AC1345">
        <v>0</v>
      </c>
      <c r="AD1345">
        <v>0</v>
      </c>
      <c r="AE1345">
        <v>0</v>
      </c>
      <c r="AF1345">
        <v>0</v>
      </c>
      <c r="AK1345">
        <v>3</v>
      </c>
      <c r="AL1345">
        <v>0</v>
      </c>
      <c r="AM1345">
        <v>0</v>
      </c>
      <c r="AN1345">
        <v>0</v>
      </c>
      <c r="AT1345">
        <v>2</v>
      </c>
      <c r="AZ1345">
        <v>3</v>
      </c>
      <c r="BA1345">
        <v>6</v>
      </c>
      <c r="BB1345">
        <v>5</v>
      </c>
      <c r="BC1345">
        <v>0</v>
      </c>
      <c r="BD1345">
        <v>11</v>
      </c>
      <c r="BE1345" t="s">
        <v>127</v>
      </c>
      <c r="BF1345">
        <v>321</v>
      </c>
      <c r="BG1345">
        <v>571</v>
      </c>
      <c r="BJ1345">
        <v>1</v>
      </c>
      <c r="BL1345" t="s">
        <v>2821</v>
      </c>
      <c r="BM1345" s="4">
        <v>43283.293055555558</v>
      </c>
      <c r="BN1345" s="4">
        <v>43283.320439814815</v>
      </c>
      <c r="BO1345" s="4">
        <v>43283.320439814815</v>
      </c>
      <c r="BP1345" t="s">
        <v>92</v>
      </c>
      <c r="BQ1345" t="s">
        <v>93</v>
      </c>
      <c r="BR1345" t="s">
        <v>94</v>
      </c>
    </row>
    <row r="1346" spans="1:70" x14ac:dyDescent="0.3">
      <c r="A1346" t="str">
        <f>"200695C0100"</f>
        <v>200695C0100</v>
      </c>
      <c r="B1346" t="s">
        <v>2822</v>
      </c>
      <c r="C1346">
        <v>20</v>
      </c>
      <c r="D1346" t="s">
        <v>88</v>
      </c>
      <c r="E1346">
        <v>76</v>
      </c>
      <c r="F1346" t="s">
        <v>2666</v>
      </c>
      <c r="G1346">
        <v>695</v>
      </c>
      <c r="H1346">
        <v>1</v>
      </c>
      <c r="I1346" t="s">
        <v>98</v>
      </c>
      <c r="J1346">
        <v>0</v>
      </c>
      <c r="K1346">
        <v>1</v>
      </c>
      <c r="L1346">
        <v>5</v>
      </c>
      <c r="M1346">
        <v>261</v>
      </c>
      <c r="N1346">
        <v>335</v>
      </c>
      <c r="O1346" t="s">
        <v>105</v>
      </c>
      <c r="P1346">
        <v>334</v>
      </c>
      <c r="Q1346">
        <v>16</v>
      </c>
      <c r="R1346">
        <v>87</v>
      </c>
      <c r="S1346">
        <v>4</v>
      </c>
      <c r="T1346">
        <v>1</v>
      </c>
      <c r="U1346">
        <v>8</v>
      </c>
      <c r="V1346">
        <v>25</v>
      </c>
      <c r="W1346">
        <v>4</v>
      </c>
      <c r="X1346">
        <v>35</v>
      </c>
      <c r="Y1346">
        <v>106</v>
      </c>
      <c r="Z1346">
        <v>4</v>
      </c>
      <c r="AA1346">
        <v>0</v>
      </c>
      <c r="AB1346">
        <v>1</v>
      </c>
      <c r="AC1346">
        <v>0</v>
      </c>
      <c r="AD1346">
        <v>0</v>
      </c>
      <c r="AE1346">
        <v>0</v>
      </c>
      <c r="AF1346">
        <v>0</v>
      </c>
      <c r="AK1346">
        <v>3</v>
      </c>
      <c r="AL1346">
        <v>0</v>
      </c>
      <c r="AM1346">
        <v>0</v>
      </c>
      <c r="AN1346">
        <v>0</v>
      </c>
      <c r="AT1346">
        <v>2</v>
      </c>
      <c r="AZ1346">
        <v>3</v>
      </c>
      <c r="BA1346">
        <v>6</v>
      </c>
      <c r="BB1346">
        <v>5</v>
      </c>
      <c r="BC1346">
        <v>0</v>
      </c>
      <c r="BD1346">
        <v>11</v>
      </c>
      <c r="BE1346" t="s">
        <v>127</v>
      </c>
      <c r="BF1346">
        <v>321</v>
      </c>
      <c r="BG1346">
        <v>571</v>
      </c>
      <c r="BJ1346">
        <v>1</v>
      </c>
      <c r="BL1346" t="s">
        <v>2823</v>
      </c>
      <c r="BM1346" s="4">
        <v>43283.732638888891</v>
      </c>
      <c r="BN1346" s="4">
        <v>43283.738900462966</v>
      </c>
      <c r="BO1346" s="4">
        <v>43283.738900462966</v>
      </c>
      <c r="BP1346" t="s">
        <v>92</v>
      </c>
      <c r="BQ1346" t="s">
        <v>93</v>
      </c>
      <c r="BR1346" t="s">
        <v>94</v>
      </c>
    </row>
    <row r="1347" spans="1:70" x14ac:dyDescent="0.3">
      <c r="A1347" t="str">
        <f>"200696B0100"</f>
        <v>200696B0100</v>
      </c>
      <c r="B1347" t="s">
        <v>2824</v>
      </c>
      <c r="C1347">
        <v>20</v>
      </c>
      <c r="D1347" t="s">
        <v>88</v>
      </c>
      <c r="E1347">
        <v>76</v>
      </c>
      <c r="F1347" t="s">
        <v>2666</v>
      </c>
      <c r="G1347">
        <v>696</v>
      </c>
      <c r="H1347">
        <v>1</v>
      </c>
      <c r="I1347" t="s">
        <v>90</v>
      </c>
      <c r="J1347">
        <v>0</v>
      </c>
      <c r="K1347">
        <v>1</v>
      </c>
      <c r="L1347">
        <v>5</v>
      </c>
      <c r="M1347">
        <v>161</v>
      </c>
      <c r="N1347">
        <v>347</v>
      </c>
      <c r="O1347">
        <v>9</v>
      </c>
      <c r="P1347">
        <v>337</v>
      </c>
      <c r="Q1347">
        <v>20</v>
      </c>
      <c r="R1347">
        <v>118</v>
      </c>
      <c r="S1347">
        <v>2</v>
      </c>
      <c r="T1347">
        <v>13</v>
      </c>
      <c r="U1347">
        <v>2</v>
      </c>
      <c r="V1347">
        <v>18</v>
      </c>
      <c r="W1347">
        <v>2</v>
      </c>
      <c r="X1347">
        <v>36</v>
      </c>
      <c r="Y1347">
        <v>93</v>
      </c>
      <c r="Z1347">
        <v>2</v>
      </c>
      <c r="AA1347">
        <v>0</v>
      </c>
      <c r="AB1347">
        <v>1</v>
      </c>
      <c r="AC1347">
        <v>1</v>
      </c>
      <c r="AD1347">
        <v>0</v>
      </c>
      <c r="AE1347">
        <v>0</v>
      </c>
      <c r="AF1347">
        <v>0</v>
      </c>
      <c r="AK1347">
        <v>1</v>
      </c>
      <c r="AL1347">
        <v>0</v>
      </c>
      <c r="AM1347">
        <v>0</v>
      </c>
      <c r="AN1347">
        <v>0</v>
      </c>
      <c r="AT1347">
        <v>2</v>
      </c>
      <c r="AZ1347">
        <v>7</v>
      </c>
      <c r="BA1347">
        <v>8</v>
      </c>
      <c r="BB1347">
        <v>5</v>
      </c>
      <c r="BC1347">
        <v>1</v>
      </c>
      <c r="BD1347">
        <v>5</v>
      </c>
      <c r="BE1347">
        <v>337</v>
      </c>
      <c r="BF1347">
        <v>337</v>
      </c>
      <c r="BG1347">
        <v>473</v>
      </c>
      <c r="BJ1347">
        <v>1</v>
      </c>
      <c r="BL1347" s="2" t="s">
        <v>2825</v>
      </c>
      <c r="BM1347" s="4">
        <v>43283.582638888889</v>
      </c>
      <c r="BN1347" s="4">
        <v>43283.59134259259</v>
      </c>
      <c r="BO1347" s="4">
        <v>43283.59134259259</v>
      </c>
      <c r="BP1347" t="s">
        <v>92</v>
      </c>
      <c r="BQ1347" t="s">
        <v>93</v>
      </c>
      <c r="BR1347" t="s">
        <v>94</v>
      </c>
    </row>
    <row r="1348" spans="1:70" x14ac:dyDescent="0.3">
      <c r="A1348" t="str">
        <f>"200696C0100"</f>
        <v>200696C0100</v>
      </c>
      <c r="B1348" t="s">
        <v>2826</v>
      </c>
      <c r="C1348">
        <v>20</v>
      </c>
      <c r="D1348" t="s">
        <v>88</v>
      </c>
      <c r="E1348">
        <v>76</v>
      </c>
      <c r="F1348" t="s">
        <v>2666</v>
      </c>
      <c r="G1348">
        <v>696</v>
      </c>
      <c r="H1348">
        <v>1</v>
      </c>
      <c r="I1348" t="s">
        <v>98</v>
      </c>
      <c r="J1348">
        <v>0</v>
      </c>
      <c r="K1348">
        <v>1</v>
      </c>
      <c r="L1348">
        <v>5</v>
      </c>
      <c r="M1348">
        <v>163</v>
      </c>
      <c r="N1348">
        <v>320</v>
      </c>
      <c r="O1348">
        <v>6</v>
      </c>
      <c r="P1348" t="s">
        <v>105</v>
      </c>
      <c r="Q1348">
        <v>10</v>
      </c>
      <c r="R1348">
        <v>109</v>
      </c>
      <c r="S1348">
        <v>5</v>
      </c>
      <c r="T1348">
        <v>6</v>
      </c>
      <c r="U1348">
        <v>4</v>
      </c>
      <c r="V1348">
        <v>25</v>
      </c>
      <c r="W1348">
        <v>3</v>
      </c>
      <c r="X1348">
        <v>16</v>
      </c>
      <c r="Y1348">
        <v>108</v>
      </c>
      <c r="Z1348">
        <v>3</v>
      </c>
      <c r="AA1348">
        <v>1</v>
      </c>
      <c r="AB1348">
        <v>2</v>
      </c>
      <c r="AC1348" t="s">
        <v>105</v>
      </c>
      <c r="AD1348">
        <v>2</v>
      </c>
      <c r="AE1348">
        <v>0</v>
      </c>
      <c r="AF1348">
        <v>0</v>
      </c>
      <c r="AK1348">
        <v>0</v>
      </c>
      <c r="AL1348">
        <v>1</v>
      </c>
      <c r="AM1348">
        <v>0</v>
      </c>
      <c r="AN1348">
        <v>0</v>
      </c>
      <c r="AT1348">
        <v>2</v>
      </c>
      <c r="AZ1348">
        <v>4</v>
      </c>
      <c r="BA1348">
        <v>0</v>
      </c>
      <c r="BB1348">
        <v>4</v>
      </c>
      <c r="BC1348">
        <v>0</v>
      </c>
      <c r="BD1348">
        <v>9</v>
      </c>
      <c r="BE1348">
        <v>314</v>
      </c>
      <c r="BF1348">
        <v>314</v>
      </c>
      <c r="BG1348">
        <v>473</v>
      </c>
      <c r="BI1348" t="s">
        <v>106</v>
      </c>
      <c r="BJ1348">
        <v>1</v>
      </c>
      <c r="BL1348" t="s">
        <v>2827</v>
      </c>
      <c r="BM1348" s="4">
        <v>43283.574305555558</v>
      </c>
      <c r="BN1348" s="4">
        <v>43283.580925925926</v>
      </c>
      <c r="BO1348" s="4">
        <v>43283.580925925926</v>
      </c>
      <c r="BP1348" t="s">
        <v>92</v>
      </c>
      <c r="BQ1348" t="s">
        <v>93</v>
      </c>
      <c r="BR1348" t="s">
        <v>94</v>
      </c>
    </row>
    <row r="1349" spans="1:70" x14ac:dyDescent="0.3">
      <c r="A1349" t="str">
        <f>"200696S0100"</f>
        <v>200696S0100</v>
      </c>
      <c r="B1349" t="s">
        <v>2828</v>
      </c>
      <c r="C1349">
        <v>20</v>
      </c>
      <c r="D1349" t="s">
        <v>88</v>
      </c>
      <c r="E1349">
        <v>76</v>
      </c>
      <c r="F1349" t="s">
        <v>2666</v>
      </c>
      <c r="G1349">
        <v>696</v>
      </c>
      <c r="H1349">
        <v>1</v>
      </c>
      <c r="I1349" t="s">
        <v>113</v>
      </c>
      <c r="J1349">
        <v>0</v>
      </c>
      <c r="K1349">
        <v>1</v>
      </c>
      <c r="L1349">
        <v>6</v>
      </c>
      <c r="BG1349">
        <v>0</v>
      </c>
      <c r="BI1349" t="s">
        <v>365</v>
      </c>
      <c r="BJ1349">
        <v>0</v>
      </c>
      <c r="BL1349" t="s">
        <v>2829</v>
      </c>
      <c r="BM1349" s="4">
        <v>43283.606249999997</v>
      </c>
      <c r="BN1349" s="4">
        <v>43283.642997685187</v>
      </c>
      <c r="BO1349" s="4">
        <v>43283.642997685187</v>
      </c>
      <c r="BP1349" t="s">
        <v>92</v>
      </c>
      <c r="BQ1349" t="s">
        <v>93</v>
      </c>
      <c r="BR1349" t="s">
        <v>94</v>
      </c>
    </row>
    <row r="1350" spans="1:70" x14ac:dyDescent="0.3">
      <c r="A1350" t="str">
        <f>"200697B0100"</f>
        <v>200697B0100</v>
      </c>
      <c r="B1350" t="s">
        <v>2830</v>
      </c>
      <c r="C1350">
        <v>20</v>
      </c>
      <c r="D1350" t="s">
        <v>88</v>
      </c>
      <c r="E1350">
        <v>76</v>
      </c>
      <c r="F1350" t="s">
        <v>2666</v>
      </c>
      <c r="G1350">
        <v>697</v>
      </c>
      <c r="H1350">
        <v>1</v>
      </c>
      <c r="I1350" t="s">
        <v>90</v>
      </c>
      <c r="J1350">
        <v>0</v>
      </c>
      <c r="K1350">
        <v>1</v>
      </c>
      <c r="L1350">
        <v>5</v>
      </c>
      <c r="M1350">
        <v>282</v>
      </c>
      <c r="N1350">
        <v>434</v>
      </c>
      <c r="O1350">
        <v>3</v>
      </c>
      <c r="P1350">
        <v>434</v>
      </c>
      <c r="Q1350">
        <v>26</v>
      </c>
      <c r="R1350">
        <v>100</v>
      </c>
      <c r="S1350">
        <v>7</v>
      </c>
      <c r="T1350">
        <v>4</v>
      </c>
      <c r="U1350">
        <v>12</v>
      </c>
      <c r="V1350">
        <v>31</v>
      </c>
      <c r="W1350">
        <v>11</v>
      </c>
      <c r="X1350">
        <v>45</v>
      </c>
      <c r="Y1350">
        <v>157</v>
      </c>
      <c r="Z1350">
        <v>4</v>
      </c>
      <c r="AA1350">
        <v>0</v>
      </c>
      <c r="AB1350">
        <v>4</v>
      </c>
      <c r="AC1350">
        <v>2</v>
      </c>
      <c r="AD1350">
        <v>0</v>
      </c>
      <c r="AE1350">
        <v>0</v>
      </c>
      <c r="AF1350">
        <v>0</v>
      </c>
      <c r="AK1350">
        <v>0</v>
      </c>
      <c r="AL1350">
        <v>0</v>
      </c>
      <c r="AM1350">
        <v>0</v>
      </c>
      <c r="AN1350">
        <v>2</v>
      </c>
      <c r="AT1350">
        <v>3</v>
      </c>
      <c r="AZ1350">
        <v>2</v>
      </c>
      <c r="BA1350">
        <v>6</v>
      </c>
      <c r="BB1350">
        <v>8</v>
      </c>
      <c r="BC1350">
        <v>0</v>
      </c>
      <c r="BD1350">
        <v>9</v>
      </c>
      <c r="BE1350">
        <v>434</v>
      </c>
      <c r="BF1350">
        <v>433</v>
      </c>
      <c r="BG1350">
        <v>690</v>
      </c>
      <c r="BJ1350">
        <v>1</v>
      </c>
      <c r="BL1350" t="s">
        <v>2831</v>
      </c>
      <c r="BM1350" s="4">
        <v>43283.189583333333</v>
      </c>
      <c r="BN1350" s="4">
        <v>43283.210081018522</v>
      </c>
      <c r="BO1350" s="4">
        <v>43283.210081018522</v>
      </c>
      <c r="BP1350" t="s">
        <v>92</v>
      </c>
      <c r="BQ1350" t="s">
        <v>93</v>
      </c>
      <c r="BR1350" t="s">
        <v>94</v>
      </c>
    </row>
    <row r="1351" spans="1:70" x14ac:dyDescent="0.3">
      <c r="A1351" t="str">
        <f>"200697C0100"</f>
        <v>200697C0100</v>
      </c>
      <c r="B1351" t="s">
        <v>2832</v>
      </c>
      <c r="C1351">
        <v>20</v>
      </c>
      <c r="D1351" t="s">
        <v>88</v>
      </c>
      <c r="E1351">
        <v>76</v>
      </c>
      <c r="F1351" t="s">
        <v>2666</v>
      </c>
      <c r="G1351">
        <v>697</v>
      </c>
      <c r="H1351">
        <v>1</v>
      </c>
      <c r="I1351" t="s">
        <v>98</v>
      </c>
      <c r="J1351">
        <v>0</v>
      </c>
      <c r="K1351">
        <v>1</v>
      </c>
      <c r="L1351">
        <v>5</v>
      </c>
      <c r="M1351">
        <v>294</v>
      </c>
      <c r="N1351">
        <v>422</v>
      </c>
      <c r="O1351">
        <v>4</v>
      </c>
      <c r="P1351">
        <v>422</v>
      </c>
      <c r="Q1351">
        <v>25</v>
      </c>
      <c r="R1351">
        <v>82</v>
      </c>
      <c r="S1351">
        <v>2</v>
      </c>
      <c r="T1351">
        <v>7</v>
      </c>
      <c r="U1351">
        <v>3</v>
      </c>
      <c r="V1351">
        <v>32</v>
      </c>
      <c r="W1351">
        <v>10</v>
      </c>
      <c r="X1351">
        <v>45</v>
      </c>
      <c r="Y1351">
        <v>151</v>
      </c>
      <c r="Z1351">
        <v>1</v>
      </c>
      <c r="AA1351">
        <v>0</v>
      </c>
      <c r="AB1351">
        <v>4</v>
      </c>
      <c r="AC1351" t="s">
        <v>105</v>
      </c>
      <c r="AD1351" t="s">
        <v>105</v>
      </c>
      <c r="AE1351" t="s">
        <v>105</v>
      </c>
      <c r="AF1351" t="s">
        <v>105</v>
      </c>
      <c r="AK1351">
        <v>3</v>
      </c>
      <c r="AL1351">
        <v>3</v>
      </c>
      <c r="AM1351" t="s">
        <v>105</v>
      </c>
      <c r="AN1351" t="s">
        <v>105</v>
      </c>
      <c r="AT1351">
        <v>1</v>
      </c>
      <c r="AZ1351">
        <v>15</v>
      </c>
      <c r="BA1351">
        <v>11</v>
      </c>
      <c r="BB1351">
        <v>4</v>
      </c>
      <c r="BC1351">
        <v>1</v>
      </c>
      <c r="BD1351">
        <v>17</v>
      </c>
      <c r="BE1351">
        <v>422</v>
      </c>
      <c r="BF1351">
        <v>417</v>
      </c>
      <c r="BG1351">
        <v>690</v>
      </c>
      <c r="BI1351" t="s">
        <v>106</v>
      </c>
      <c r="BJ1351">
        <v>1</v>
      </c>
      <c r="BL1351" t="s">
        <v>2833</v>
      </c>
      <c r="BM1351" s="4">
        <v>43283.134027777778</v>
      </c>
      <c r="BN1351" s="4">
        <v>43283.138368055559</v>
      </c>
      <c r="BO1351" s="4">
        <v>43283.138368055559</v>
      </c>
      <c r="BP1351" t="s">
        <v>92</v>
      </c>
      <c r="BQ1351" t="s">
        <v>93</v>
      </c>
      <c r="BR1351" t="s">
        <v>94</v>
      </c>
    </row>
    <row r="1352" spans="1:70" x14ac:dyDescent="0.3">
      <c r="A1352" t="str">
        <f>"200698B0100"</f>
        <v>200698B0100</v>
      </c>
      <c r="B1352" t="s">
        <v>2834</v>
      </c>
      <c r="C1352">
        <v>20</v>
      </c>
      <c r="D1352" t="s">
        <v>88</v>
      </c>
      <c r="E1352">
        <v>76</v>
      </c>
      <c r="F1352" t="s">
        <v>2666</v>
      </c>
      <c r="G1352">
        <v>698</v>
      </c>
      <c r="H1352">
        <v>1</v>
      </c>
      <c r="I1352" t="s">
        <v>90</v>
      </c>
      <c r="J1352">
        <v>0</v>
      </c>
      <c r="K1352">
        <v>1</v>
      </c>
      <c r="L1352">
        <v>5</v>
      </c>
      <c r="M1352">
        <v>125</v>
      </c>
      <c r="N1352">
        <v>168</v>
      </c>
      <c r="O1352">
        <v>9</v>
      </c>
      <c r="P1352">
        <v>168</v>
      </c>
      <c r="Q1352">
        <v>11</v>
      </c>
      <c r="R1352">
        <v>38</v>
      </c>
      <c r="S1352">
        <v>0</v>
      </c>
      <c r="T1352">
        <v>1</v>
      </c>
      <c r="U1352">
        <v>3</v>
      </c>
      <c r="V1352">
        <v>9</v>
      </c>
      <c r="W1352">
        <v>4</v>
      </c>
      <c r="X1352">
        <v>24</v>
      </c>
      <c r="Y1352">
        <v>63</v>
      </c>
      <c r="Z1352">
        <v>1</v>
      </c>
      <c r="AA1352">
        <v>0</v>
      </c>
      <c r="AB1352">
        <v>1</v>
      </c>
      <c r="AC1352">
        <v>2</v>
      </c>
      <c r="AD1352">
        <v>0</v>
      </c>
      <c r="AE1352">
        <v>0</v>
      </c>
      <c r="AF1352">
        <v>0</v>
      </c>
      <c r="AK1352">
        <v>1</v>
      </c>
      <c r="AL1352">
        <v>0</v>
      </c>
      <c r="AM1352">
        <v>0</v>
      </c>
      <c r="AN1352">
        <v>2</v>
      </c>
      <c r="AT1352">
        <v>0</v>
      </c>
      <c r="AZ1352">
        <v>4</v>
      </c>
      <c r="BA1352">
        <v>0</v>
      </c>
      <c r="BB1352">
        <v>1</v>
      </c>
      <c r="BC1352">
        <v>0</v>
      </c>
      <c r="BD1352">
        <v>3</v>
      </c>
      <c r="BE1352">
        <v>168</v>
      </c>
      <c r="BF1352">
        <v>168</v>
      </c>
      <c r="BG1352">
        <v>267</v>
      </c>
      <c r="BJ1352">
        <v>1</v>
      </c>
      <c r="BL1352" t="s">
        <v>2835</v>
      </c>
      <c r="BM1352" s="4">
        <v>43283.220138888886</v>
      </c>
      <c r="BN1352" s="4">
        <v>43283.243356481478</v>
      </c>
      <c r="BO1352" s="4">
        <v>43283.243356481478</v>
      </c>
      <c r="BP1352" t="s">
        <v>92</v>
      </c>
      <c r="BQ1352" t="s">
        <v>93</v>
      </c>
      <c r="BR1352" t="s">
        <v>94</v>
      </c>
    </row>
    <row r="1353" spans="1:70" x14ac:dyDescent="0.3">
      <c r="A1353" t="str">
        <f>"200699B0100"</f>
        <v>200699B0100</v>
      </c>
      <c r="B1353" t="s">
        <v>2836</v>
      </c>
      <c r="C1353">
        <v>20</v>
      </c>
      <c r="D1353" t="s">
        <v>88</v>
      </c>
      <c r="E1353">
        <v>76</v>
      </c>
      <c r="F1353" t="s">
        <v>2666</v>
      </c>
      <c r="G1353">
        <v>699</v>
      </c>
      <c r="H1353">
        <v>1</v>
      </c>
      <c r="I1353" t="s">
        <v>90</v>
      </c>
      <c r="J1353">
        <v>0</v>
      </c>
      <c r="K1353">
        <v>1</v>
      </c>
      <c r="L1353">
        <v>5</v>
      </c>
      <c r="M1353">
        <v>241</v>
      </c>
      <c r="N1353">
        <v>375</v>
      </c>
      <c r="O1353">
        <v>3</v>
      </c>
      <c r="P1353">
        <v>375</v>
      </c>
      <c r="Q1353">
        <v>17</v>
      </c>
      <c r="R1353">
        <v>83</v>
      </c>
      <c r="S1353">
        <v>13</v>
      </c>
      <c r="T1353">
        <v>4</v>
      </c>
      <c r="U1353">
        <v>9</v>
      </c>
      <c r="V1353">
        <v>30</v>
      </c>
      <c r="W1353">
        <v>3</v>
      </c>
      <c r="X1353">
        <v>30</v>
      </c>
      <c r="Y1353">
        <v>133</v>
      </c>
      <c r="Z1353">
        <v>3</v>
      </c>
      <c r="AA1353">
        <v>0</v>
      </c>
      <c r="AB1353">
        <v>3</v>
      </c>
      <c r="AC1353">
        <v>4</v>
      </c>
      <c r="AD1353">
        <v>0</v>
      </c>
      <c r="AE1353">
        <v>0</v>
      </c>
      <c r="AF1353">
        <v>0</v>
      </c>
      <c r="AK1353">
        <v>0</v>
      </c>
      <c r="AL1353">
        <v>3</v>
      </c>
      <c r="AM1353">
        <v>0</v>
      </c>
      <c r="AN1353">
        <v>0</v>
      </c>
      <c r="AT1353">
        <v>1</v>
      </c>
      <c r="AZ1353">
        <v>14</v>
      </c>
      <c r="BA1353">
        <v>6</v>
      </c>
      <c r="BB1353">
        <v>9</v>
      </c>
      <c r="BC1353">
        <v>0</v>
      </c>
      <c r="BD1353">
        <v>10</v>
      </c>
      <c r="BE1353">
        <v>375</v>
      </c>
      <c r="BF1353">
        <v>375</v>
      </c>
      <c r="BG1353">
        <v>590</v>
      </c>
      <c r="BJ1353">
        <v>1</v>
      </c>
      <c r="BL1353" t="s">
        <v>2837</v>
      </c>
      <c r="BM1353" s="4">
        <v>43283.225694444445</v>
      </c>
      <c r="BN1353" s="4">
        <v>43283.249814814815</v>
      </c>
      <c r="BO1353" s="4">
        <v>43283.249814814815</v>
      </c>
      <c r="BP1353" t="s">
        <v>92</v>
      </c>
      <c r="BQ1353" t="s">
        <v>93</v>
      </c>
      <c r="BR1353" t="s">
        <v>94</v>
      </c>
    </row>
    <row r="1354" spans="1:70" x14ac:dyDescent="0.3">
      <c r="A1354" t="str">
        <f>"200699C0100"</f>
        <v>200699C0100</v>
      </c>
      <c r="B1354" t="s">
        <v>2838</v>
      </c>
      <c r="C1354">
        <v>20</v>
      </c>
      <c r="D1354" t="s">
        <v>88</v>
      </c>
      <c r="E1354">
        <v>76</v>
      </c>
      <c r="F1354" t="s">
        <v>2666</v>
      </c>
      <c r="G1354">
        <v>699</v>
      </c>
      <c r="H1354">
        <v>1</v>
      </c>
      <c r="I1354" t="s">
        <v>98</v>
      </c>
      <c r="J1354">
        <v>0</v>
      </c>
      <c r="K1354">
        <v>1</v>
      </c>
      <c r="L1354">
        <v>5</v>
      </c>
      <c r="M1354">
        <v>250</v>
      </c>
      <c r="N1354">
        <v>367</v>
      </c>
      <c r="O1354">
        <v>5</v>
      </c>
      <c r="P1354">
        <v>367</v>
      </c>
      <c r="Q1354">
        <v>21</v>
      </c>
      <c r="R1354">
        <v>65</v>
      </c>
      <c r="S1354">
        <v>8</v>
      </c>
      <c r="T1354">
        <v>5</v>
      </c>
      <c r="U1354">
        <v>11</v>
      </c>
      <c r="V1354">
        <v>34</v>
      </c>
      <c r="W1354">
        <v>5</v>
      </c>
      <c r="X1354">
        <v>40</v>
      </c>
      <c r="Y1354">
        <v>113</v>
      </c>
      <c r="Z1354">
        <v>4</v>
      </c>
      <c r="AA1354">
        <v>1</v>
      </c>
      <c r="AB1354">
        <v>3</v>
      </c>
      <c r="AC1354">
        <v>0</v>
      </c>
      <c r="AD1354">
        <v>0</v>
      </c>
      <c r="AE1354">
        <v>0</v>
      </c>
      <c r="AF1354">
        <v>0</v>
      </c>
      <c r="AK1354">
        <v>5</v>
      </c>
      <c r="AL1354">
        <v>0</v>
      </c>
      <c r="AM1354">
        <v>0</v>
      </c>
      <c r="AN1354">
        <v>2</v>
      </c>
      <c r="AT1354">
        <v>4</v>
      </c>
      <c r="AZ1354">
        <v>14</v>
      </c>
      <c r="BA1354">
        <v>9</v>
      </c>
      <c r="BB1354">
        <v>16</v>
      </c>
      <c r="BC1354">
        <v>0</v>
      </c>
      <c r="BD1354">
        <v>7</v>
      </c>
      <c r="BE1354">
        <v>367</v>
      </c>
      <c r="BF1354">
        <v>367</v>
      </c>
      <c r="BG1354">
        <v>589</v>
      </c>
      <c r="BJ1354">
        <v>1</v>
      </c>
      <c r="BL1354" t="s">
        <v>2839</v>
      </c>
      <c r="BM1354" s="4">
        <v>43283.229166666664</v>
      </c>
      <c r="BN1354" s="4">
        <v>43283.25240740741</v>
      </c>
      <c r="BO1354" s="4">
        <v>43283.25240740741</v>
      </c>
      <c r="BP1354" t="s">
        <v>92</v>
      </c>
      <c r="BQ1354" t="s">
        <v>93</v>
      </c>
      <c r="BR1354" t="s">
        <v>94</v>
      </c>
    </row>
    <row r="1355" spans="1:70" x14ac:dyDescent="0.3">
      <c r="A1355" t="str">
        <f>"200700B0100"</f>
        <v>200700B0100</v>
      </c>
      <c r="B1355" t="s">
        <v>2840</v>
      </c>
      <c r="C1355">
        <v>20</v>
      </c>
      <c r="D1355" t="s">
        <v>88</v>
      </c>
      <c r="E1355">
        <v>76</v>
      </c>
      <c r="F1355" t="s">
        <v>2666</v>
      </c>
      <c r="G1355">
        <v>700</v>
      </c>
      <c r="H1355">
        <v>1</v>
      </c>
      <c r="I1355" t="s">
        <v>90</v>
      </c>
      <c r="J1355">
        <v>0</v>
      </c>
      <c r="K1355">
        <v>1</v>
      </c>
      <c r="L1355">
        <v>5</v>
      </c>
      <c r="BG1355">
        <v>570</v>
      </c>
      <c r="BI1355" t="s">
        <v>122</v>
      </c>
      <c r="BJ1355">
        <v>0</v>
      </c>
      <c r="BL1355" t="s">
        <v>2841</v>
      </c>
      <c r="BM1355" s="4">
        <v>43283.700694444444</v>
      </c>
      <c r="BN1355" s="4">
        <v>43283.702118055553</v>
      </c>
      <c r="BO1355" s="4">
        <v>43283.702118055553</v>
      </c>
      <c r="BP1355" t="s">
        <v>92</v>
      </c>
      <c r="BQ1355" t="s">
        <v>93</v>
      </c>
      <c r="BR1355" t="s">
        <v>94</v>
      </c>
    </row>
    <row r="1356" spans="1:70" x14ac:dyDescent="0.3">
      <c r="A1356" t="str">
        <f>"200700C0100"</f>
        <v>200700C0100</v>
      </c>
      <c r="B1356" t="s">
        <v>2842</v>
      </c>
      <c r="C1356">
        <v>20</v>
      </c>
      <c r="D1356" t="s">
        <v>88</v>
      </c>
      <c r="E1356">
        <v>76</v>
      </c>
      <c r="F1356" t="s">
        <v>2666</v>
      </c>
      <c r="G1356">
        <v>700</v>
      </c>
      <c r="H1356">
        <v>1</v>
      </c>
      <c r="I1356" t="s">
        <v>98</v>
      </c>
      <c r="J1356">
        <v>0</v>
      </c>
      <c r="K1356">
        <v>1</v>
      </c>
      <c r="L1356">
        <v>5</v>
      </c>
      <c r="M1356">
        <v>233</v>
      </c>
      <c r="N1356">
        <v>365</v>
      </c>
      <c r="O1356">
        <v>5</v>
      </c>
      <c r="P1356">
        <v>324</v>
      </c>
      <c r="Q1356">
        <v>17</v>
      </c>
      <c r="R1356">
        <v>71</v>
      </c>
      <c r="S1356">
        <v>2</v>
      </c>
      <c r="T1356">
        <v>3</v>
      </c>
      <c r="U1356">
        <v>9</v>
      </c>
      <c r="V1356">
        <v>31</v>
      </c>
      <c r="W1356">
        <v>0</v>
      </c>
      <c r="X1356">
        <v>73</v>
      </c>
      <c r="Y1356">
        <v>108</v>
      </c>
      <c r="Z1356">
        <v>2</v>
      </c>
      <c r="AA1356">
        <v>0</v>
      </c>
      <c r="AB1356">
        <v>2</v>
      </c>
      <c r="AC1356">
        <v>2</v>
      </c>
      <c r="AD1356">
        <v>0</v>
      </c>
      <c r="AE1356">
        <v>0</v>
      </c>
      <c r="AF1356">
        <v>0</v>
      </c>
      <c r="AK1356">
        <v>7</v>
      </c>
      <c r="AL1356">
        <v>2</v>
      </c>
      <c r="AM1356">
        <v>0</v>
      </c>
      <c r="AN1356">
        <v>0</v>
      </c>
      <c r="AT1356">
        <v>0</v>
      </c>
      <c r="AZ1356">
        <v>11</v>
      </c>
      <c r="BA1356">
        <v>5</v>
      </c>
      <c r="BB1356">
        <v>9</v>
      </c>
      <c r="BC1356" t="s">
        <v>105</v>
      </c>
      <c r="BD1356">
        <v>13</v>
      </c>
      <c r="BE1356">
        <v>367</v>
      </c>
      <c r="BF1356">
        <v>367</v>
      </c>
      <c r="BG1356">
        <v>570</v>
      </c>
      <c r="BI1356" t="s">
        <v>106</v>
      </c>
      <c r="BJ1356">
        <v>1</v>
      </c>
      <c r="BL1356" t="s">
        <v>2843</v>
      </c>
      <c r="BM1356" s="4">
        <v>43283.272222222222</v>
      </c>
      <c r="BN1356" s="4">
        <v>43283.298692129632</v>
      </c>
      <c r="BO1356" s="4">
        <v>43283.298692129632</v>
      </c>
      <c r="BP1356" t="s">
        <v>92</v>
      </c>
      <c r="BQ1356" t="s">
        <v>93</v>
      </c>
      <c r="BR1356" t="s">
        <v>94</v>
      </c>
    </row>
    <row r="1357" spans="1:70" x14ac:dyDescent="0.3">
      <c r="A1357" t="str">
        <f>"200701B0100"</f>
        <v>200701B0100</v>
      </c>
      <c r="B1357" t="s">
        <v>2844</v>
      </c>
      <c r="C1357">
        <v>20</v>
      </c>
      <c r="D1357" t="s">
        <v>88</v>
      </c>
      <c r="E1357">
        <v>76</v>
      </c>
      <c r="F1357" t="s">
        <v>2666</v>
      </c>
      <c r="G1357">
        <v>701</v>
      </c>
      <c r="H1357">
        <v>1</v>
      </c>
      <c r="I1357" t="s">
        <v>90</v>
      </c>
      <c r="J1357">
        <v>0</v>
      </c>
      <c r="K1357">
        <v>1</v>
      </c>
      <c r="L1357">
        <v>5</v>
      </c>
      <c r="M1357">
        <v>216</v>
      </c>
      <c r="N1357">
        <v>378</v>
      </c>
      <c r="O1357">
        <v>5</v>
      </c>
      <c r="P1357">
        <v>378</v>
      </c>
      <c r="Q1357">
        <v>25</v>
      </c>
      <c r="R1357">
        <v>95</v>
      </c>
      <c r="S1357">
        <v>6</v>
      </c>
      <c r="T1357">
        <v>10</v>
      </c>
      <c r="U1357">
        <v>8</v>
      </c>
      <c r="V1357">
        <v>18</v>
      </c>
      <c r="W1357">
        <v>1</v>
      </c>
      <c r="X1357">
        <v>69</v>
      </c>
      <c r="Y1357">
        <v>94</v>
      </c>
      <c r="Z1357">
        <v>2</v>
      </c>
      <c r="AA1357">
        <v>0</v>
      </c>
      <c r="AB1357">
        <v>1</v>
      </c>
      <c r="AC1357">
        <v>0</v>
      </c>
      <c r="AD1357">
        <v>0</v>
      </c>
      <c r="AE1357">
        <v>0</v>
      </c>
      <c r="AF1357">
        <v>0</v>
      </c>
      <c r="AK1357">
        <v>1</v>
      </c>
      <c r="AL1357">
        <v>1</v>
      </c>
      <c r="AM1357">
        <v>1</v>
      </c>
      <c r="AN1357">
        <v>0</v>
      </c>
      <c r="AT1357">
        <v>1</v>
      </c>
      <c r="AZ1357">
        <v>12</v>
      </c>
      <c r="BA1357">
        <v>12</v>
      </c>
      <c r="BB1357">
        <v>5</v>
      </c>
      <c r="BC1357">
        <v>0</v>
      </c>
      <c r="BD1357">
        <v>16</v>
      </c>
      <c r="BE1357" t="s">
        <v>105</v>
      </c>
      <c r="BF1357">
        <v>378</v>
      </c>
      <c r="BG1357">
        <v>568</v>
      </c>
      <c r="BJ1357">
        <v>1</v>
      </c>
      <c r="BL1357" t="s">
        <v>2845</v>
      </c>
      <c r="BM1357" s="4">
        <v>43283.179166666669</v>
      </c>
      <c r="BN1357" s="4">
        <v>43283.196770833332</v>
      </c>
      <c r="BO1357" s="4">
        <v>43283.196770833332</v>
      </c>
      <c r="BP1357" t="s">
        <v>92</v>
      </c>
      <c r="BQ1357" t="s">
        <v>93</v>
      </c>
      <c r="BR1357" t="s">
        <v>94</v>
      </c>
    </row>
    <row r="1358" spans="1:70" x14ac:dyDescent="0.3">
      <c r="A1358" t="str">
        <f>"200701C0100"</f>
        <v>200701C0100</v>
      </c>
      <c r="B1358" t="s">
        <v>2846</v>
      </c>
      <c r="C1358">
        <v>20</v>
      </c>
      <c r="D1358" t="s">
        <v>88</v>
      </c>
      <c r="E1358">
        <v>76</v>
      </c>
      <c r="F1358" t="s">
        <v>2666</v>
      </c>
      <c r="G1358">
        <v>701</v>
      </c>
      <c r="H1358">
        <v>1</v>
      </c>
      <c r="I1358" t="s">
        <v>98</v>
      </c>
      <c r="J1358">
        <v>0</v>
      </c>
      <c r="K1358">
        <v>1</v>
      </c>
      <c r="L1358">
        <v>5</v>
      </c>
      <c r="M1358">
        <v>213</v>
      </c>
      <c r="N1358">
        <v>381</v>
      </c>
      <c r="O1358">
        <v>1</v>
      </c>
      <c r="P1358">
        <v>381</v>
      </c>
      <c r="Q1358">
        <v>16</v>
      </c>
      <c r="R1358">
        <v>226</v>
      </c>
      <c r="S1358">
        <v>8</v>
      </c>
      <c r="T1358">
        <v>9</v>
      </c>
      <c r="U1358">
        <v>4</v>
      </c>
      <c r="V1358">
        <v>14</v>
      </c>
      <c r="W1358">
        <v>1</v>
      </c>
      <c r="X1358">
        <v>75</v>
      </c>
      <c r="Y1358">
        <v>90</v>
      </c>
      <c r="Z1358">
        <v>1</v>
      </c>
      <c r="AA1358">
        <v>0</v>
      </c>
      <c r="AB1358">
        <v>0</v>
      </c>
      <c r="AC1358">
        <v>3</v>
      </c>
      <c r="AD1358">
        <v>0</v>
      </c>
      <c r="AE1358">
        <v>0</v>
      </c>
      <c r="AF1358">
        <v>0</v>
      </c>
      <c r="AK1358">
        <v>1</v>
      </c>
      <c r="AL1358">
        <v>0</v>
      </c>
      <c r="AM1358">
        <v>0</v>
      </c>
      <c r="AN1358">
        <v>1</v>
      </c>
      <c r="AT1358">
        <v>1</v>
      </c>
      <c r="AZ1358">
        <v>12</v>
      </c>
      <c r="BA1358">
        <v>6</v>
      </c>
      <c r="BB1358">
        <v>5</v>
      </c>
      <c r="BC1358">
        <v>0</v>
      </c>
      <c r="BD1358">
        <v>8</v>
      </c>
      <c r="BE1358">
        <v>381</v>
      </c>
      <c r="BF1358">
        <v>481</v>
      </c>
      <c r="BG1358">
        <v>568</v>
      </c>
      <c r="BJ1358">
        <v>1</v>
      </c>
      <c r="BL1358" t="s">
        <v>2847</v>
      </c>
      <c r="BM1358" s="4">
        <v>43283.173611111109</v>
      </c>
      <c r="BN1358" s="4">
        <v>43283.19091435185</v>
      </c>
      <c r="BO1358" s="4">
        <v>43283.19091435185</v>
      </c>
      <c r="BP1358" t="s">
        <v>92</v>
      </c>
      <c r="BQ1358" t="s">
        <v>93</v>
      </c>
      <c r="BR1358" t="s">
        <v>94</v>
      </c>
    </row>
    <row r="1359" spans="1:70" x14ac:dyDescent="0.3">
      <c r="A1359" t="str">
        <f>"200702B0100"</f>
        <v>200702B0100</v>
      </c>
      <c r="B1359" t="s">
        <v>2848</v>
      </c>
      <c r="C1359">
        <v>20</v>
      </c>
      <c r="D1359" t="s">
        <v>88</v>
      </c>
      <c r="E1359">
        <v>76</v>
      </c>
      <c r="F1359" t="s">
        <v>2666</v>
      </c>
      <c r="G1359">
        <v>702</v>
      </c>
      <c r="H1359">
        <v>1</v>
      </c>
      <c r="I1359" t="s">
        <v>90</v>
      </c>
      <c r="J1359">
        <v>0</v>
      </c>
      <c r="K1359">
        <v>1</v>
      </c>
      <c r="L1359">
        <v>5</v>
      </c>
      <c r="M1359">
        <v>178</v>
      </c>
      <c r="N1359">
        <v>344</v>
      </c>
      <c r="O1359">
        <v>11</v>
      </c>
      <c r="P1359">
        <v>344</v>
      </c>
      <c r="Q1359">
        <v>21</v>
      </c>
      <c r="R1359">
        <v>105</v>
      </c>
      <c r="S1359">
        <v>3</v>
      </c>
      <c r="T1359">
        <v>4</v>
      </c>
      <c r="U1359">
        <v>7</v>
      </c>
      <c r="V1359">
        <v>31</v>
      </c>
      <c r="W1359">
        <v>2</v>
      </c>
      <c r="X1359">
        <v>47</v>
      </c>
      <c r="Y1359">
        <v>85</v>
      </c>
      <c r="Z1359">
        <v>3</v>
      </c>
      <c r="AA1359">
        <v>0</v>
      </c>
      <c r="AB1359">
        <v>3</v>
      </c>
      <c r="AC1359">
        <v>1</v>
      </c>
      <c r="AD1359">
        <v>1</v>
      </c>
      <c r="AE1359">
        <v>0</v>
      </c>
      <c r="AF1359">
        <v>0</v>
      </c>
      <c r="AK1359">
        <v>1</v>
      </c>
      <c r="AL1359">
        <v>0</v>
      </c>
      <c r="AM1359">
        <v>0</v>
      </c>
      <c r="AN1359">
        <v>0</v>
      </c>
      <c r="AT1359">
        <v>0</v>
      </c>
      <c r="AZ1359">
        <v>10</v>
      </c>
      <c r="BA1359">
        <v>12</v>
      </c>
      <c r="BB1359">
        <v>5</v>
      </c>
      <c r="BC1359">
        <v>10</v>
      </c>
      <c r="BD1359">
        <v>4</v>
      </c>
      <c r="BE1359">
        <v>344</v>
      </c>
      <c r="BF1359">
        <v>355</v>
      </c>
      <c r="BG1359">
        <v>497</v>
      </c>
      <c r="BJ1359">
        <v>1</v>
      </c>
      <c r="BL1359" t="s">
        <v>2849</v>
      </c>
      <c r="BM1359" s="4">
        <v>43283.172222222223</v>
      </c>
      <c r="BN1359" s="4">
        <v>43283.189502314817</v>
      </c>
      <c r="BO1359" s="4">
        <v>43283.189502314817</v>
      </c>
      <c r="BP1359" t="s">
        <v>92</v>
      </c>
      <c r="BQ1359" t="s">
        <v>93</v>
      </c>
      <c r="BR1359" t="s">
        <v>94</v>
      </c>
    </row>
    <row r="1360" spans="1:70" x14ac:dyDescent="0.3">
      <c r="A1360" t="str">
        <f>"200702C0100"</f>
        <v>200702C0100</v>
      </c>
      <c r="B1360" t="s">
        <v>2850</v>
      </c>
      <c r="C1360">
        <v>20</v>
      </c>
      <c r="D1360" t="s">
        <v>88</v>
      </c>
      <c r="E1360">
        <v>76</v>
      </c>
      <c r="F1360" t="s">
        <v>2666</v>
      </c>
      <c r="G1360">
        <v>702</v>
      </c>
      <c r="H1360">
        <v>1</v>
      </c>
      <c r="I1360" t="s">
        <v>98</v>
      </c>
      <c r="J1360">
        <v>0</v>
      </c>
      <c r="K1360">
        <v>1</v>
      </c>
      <c r="L1360">
        <v>5</v>
      </c>
      <c r="M1360">
        <v>184</v>
      </c>
      <c r="N1360">
        <v>346</v>
      </c>
      <c r="O1360">
        <v>6</v>
      </c>
      <c r="P1360" t="s">
        <v>105</v>
      </c>
      <c r="Q1360">
        <v>24</v>
      </c>
      <c r="R1360">
        <v>99</v>
      </c>
      <c r="S1360">
        <v>2</v>
      </c>
      <c r="T1360">
        <v>3</v>
      </c>
      <c r="U1360">
        <v>7</v>
      </c>
      <c r="V1360">
        <v>13</v>
      </c>
      <c r="W1360">
        <v>1</v>
      </c>
      <c r="X1360">
        <v>34</v>
      </c>
      <c r="Y1360">
        <v>108</v>
      </c>
      <c r="Z1360">
        <v>0</v>
      </c>
      <c r="AA1360">
        <v>0</v>
      </c>
      <c r="AB1360">
        <v>9</v>
      </c>
      <c r="AC1360">
        <v>1</v>
      </c>
      <c r="AD1360">
        <v>0</v>
      </c>
      <c r="AE1360">
        <v>0</v>
      </c>
      <c r="AF1360">
        <v>0</v>
      </c>
      <c r="AK1360">
        <v>1</v>
      </c>
      <c r="AL1360">
        <v>0</v>
      </c>
      <c r="AM1360">
        <v>0</v>
      </c>
      <c r="AN1360">
        <v>0</v>
      </c>
      <c r="AT1360">
        <v>6</v>
      </c>
      <c r="AZ1360">
        <v>19</v>
      </c>
      <c r="BA1360">
        <v>2</v>
      </c>
      <c r="BB1360">
        <v>6</v>
      </c>
      <c r="BC1360">
        <v>0</v>
      </c>
      <c r="BD1360">
        <v>5</v>
      </c>
      <c r="BE1360">
        <v>340</v>
      </c>
      <c r="BF1360">
        <v>340</v>
      </c>
      <c r="BG1360">
        <v>497</v>
      </c>
      <c r="BJ1360">
        <v>1</v>
      </c>
      <c r="BL1360" t="s">
        <v>2851</v>
      </c>
      <c r="BM1360" s="4">
        <v>43283.175000000003</v>
      </c>
      <c r="BN1360" s="4">
        <v>43283.189432870371</v>
      </c>
      <c r="BO1360" s="4">
        <v>43283.189432870371</v>
      </c>
      <c r="BP1360" t="s">
        <v>92</v>
      </c>
      <c r="BQ1360" t="s">
        <v>93</v>
      </c>
      <c r="BR1360" t="s">
        <v>94</v>
      </c>
    </row>
    <row r="1361" spans="1:70" x14ac:dyDescent="0.3">
      <c r="A1361" t="str">
        <f>"200703B0100"</f>
        <v>200703B0100</v>
      </c>
      <c r="B1361" t="s">
        <v>2852</v>
      </c>
      <c r="C1361">
        <v>20</v>
      </c>
      <c r="D1361" t="s">
        <v>88</v>
      </c>
      <c r="E1361">
        <v>76</v>
      </c>
      <c r="F1361" t="s">
        <v>2666</v>
      </c>
      <c r="G1361">
        <v>703</v>
      </c>
      <c r="H1361">
        <v>1</v>
      </c>
      <c r="I1361" t="s">
        <v>90</v>
      </c>
      <c r="J1361">
        <v>0</v>
      </c>
      <c r="K1361">
        <v>1</v>
      </c>
      <c r="L1361">
        <v>5</v>
      </c>
      <c r="M1361">
        <v>246</v>
      </c>
      <c r="N1361">
        <v>346</v>
      </c>
      <c r="O1361">
        <v>1</v>
      </c>
      <c r="P1361">
        <v>356</v>
      </c>
      <c r="Q1361">
        <v>22</v>
      </c>
      <c r="R1361">
        <v>56</v>
      </c>
      <c r="S1361">
        <v>4</v>
      </c>
      <c r="T1361">
        <v>3</v>
      </c>
      <c r="U1361">
        <v>6</v>
      </c>
      <c r="V1361">
        <v>20</v>
      </c>
      <c r="W1361">
        <v>0</v>
      </c>
      <c r="X1361">
        <v>81</v>
      </c>
      <c r="Y1361">
        <v>123</v>
      </c>
      <c r="Z1361">
        <v>5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K1361">
        <v>3</v>
      </c>
      <c r="AL1361">
        <v>4</v>
      </c>
      <c r="AM1361">
        <v>0</v>
      </c>
      <c r="AN1361">
        <v>0</v>
      </c>
      <c r="AT1361">
        <v>3</v>
      </c>
      <c r="AZ1361">
        <v>0</v>
      </c>
      <c r="BA1361">
        <v>10</v>
      </c>
      <c r="BB1361">
        <v>5</v>
      </c>
      <c r="BC1361">
        <v>0</v>
      </c>
      <c r="BD1361">
        <v>10</v>
      </c>
      <c r="BE1361">
        <v>356</v>
      </c>
      <c r="BF1361">
        <v>355</v>
      </c>
      <c r="BG1361">
        <v>576</v>
      </c>
      <c r="BJ1361">
        <v>1</v>
      </c>
      <c r="BL1361" t="s">
        <v>2853</v>
      </c>
      <c r="BM1361" s="4">
        <v>43283.23333333333</v>
      </c>
      <c r="BN1361" s="4">
        <v>43283.270960648151</v>
      </c>
      <c r="BO1361" s="4">
        <v>43283.270960648151</v>
      </c>
      <c r="BP1361" t="s">
        <v>92</v>
      </c>
      <c r="BQ1361" t="s">
        <v>93</v>
      </c>
      <c r="BR1361" t="s">
        <v>94</v>
      </c>
    </row>
    <row r="1362" spans="1:70" x14ac:dyDescent="0.3">
      <c r="A1362" t="str">
        <f>"200703C0100"</f>
        <v>200703C0100</v>
      </c>
      <c r="B1362" t="s">
        <v>2854</v>
      </c>
      <c r="C1362">
        <v>20</v>
      </c>
      <c r="D1362" t="s">
        <v>88</v>
      </c>
      <c r="E1362">
        <v>76</v>
      </c>
      <c r="F1362" t="s">
        <v>2666</v>
      </c>
      <c r="G1362">
        <v>703</v>
      </c>
      <c r="H1362">
        <v>1</v>
      </c>
      <c r="I1362" t="s">
        <v>98</v>
      </c>
      <c r="J1362">
        <v>0</v>
      </c>
      <c r="K1362">
        <v>1</v>
      </c>
      <c r="L1362">
        <v>5</v>
      </c>
      <c r="M1362" t="s">
        <v>105</v>
      </c>
      <c r="N1362">
        <v>376</v>
      </c>
      <c r="O1362">
        <v>2</v>
      </c>
      <c r="P1362" t="s">
        <v>105</v>
      </c>
      <c r="Q1362">
        <v>16</v>
      </c>
      <c r="R1362">
        <v>71</v>
      </c>
      <c r="S1362">
        <v>9</v>
      </c>
      <c r="T1362">
        <v>13</v>
      </c>
      <c r="U1362">
        <v>10</v>
      </c>
      <c r="V1362">
        <v>24</v>
      </c>
      <c r="W1362">
        <v>0</v>
      </c>
      <c r="X1362">
        <v>65</v>
      </c>
      <c r="Y1362">
        <v>106</v>
      </c>
      <c r="Z1362">
        <v>3</v>
      </c>
      <c r="AA1362">
        <v>0</v>
      </c>
      <c r="AB1362">
        <v>0</v>
      </c>
      <c r="AC1362">
        <v>1</v>
      </c>
      <c r="AD1362">
        <v>0</v>
      </c>
      <c r="AE1362">
        <v>0</v>
      </c>
      <c r="AF1362">
        <v>0</v>
      </c>
      <c r="AK1362">
        <v>2</v>
      </c>
      <c r="AL1362">
        <v>1</v>
      </c>
      <c r="AM1362">
        <v>0</v>
      </c>
      <c r="AN1362">
        <v>3</v>
      </c>
      <c r="AT1362">
        <v>1</v>
      </c>
      <c r="AZ1362">
        <v>4</v>
      </c>
      <c r="BA1362">
        <v>28</v>
      </c>
      <c r="BB1362">
        <v>2</v>
      </c>
      <c r="BC1362">
        <v>0</v>
      </c>
      <c r="BD1362">
        <v>14</v>
      </c>
      <c r="BE1362">
        <v>373</v>
      </c>
      <c r="BF1362">
        <v>373</v>
      </c>
      <c r="BG1362">
        <v>576</v>
      </c>
      <c r="BJ1362">
        <v>1</v>
      </c>
      <c r="BL1362" t="s">
        <v>2855</v>
      </c>
      <c r="BM1362" s="4">
        <v>43283.238194444442</v>
      </c>
      <c r="BN1362" s="4">
        <v>43283.261805555558</v>
      </c>
      <c r="BO1362" s="4">
        <v>43283.261805555558</v>
      </c>
      <c r="BP1362" t="s">
        <v>92</v>
      </c>
      <c r="BQ1362" t="s">
        <v>93</v>
      </c>
      <c r="BR1362" t="s">
        <v>94</v>
      </c>
    </row>
    <row r="1363" spans="1:70" x14ac:dyDescent="0.3">
      <c r="A1363" t="str">
        <f>"200703C0200"</f>
        <v>200703C0200</v>
      </c>
      <c r="B1363" t="s">
        <v>2856</v>
      </c>
      <c r="C1363">
        <v>20</v>
      </c>
      <c r="D1363" t="s">
        <v>88</v>
      </c>
      <c r="E1363">
        <v>76</v>
      </c>
      <c r="F1363" t="s">
        <v>2666</v>
      </c>
      <c r="G1363">
        <v>703</v>
      </c>
      <c r="H1363">
        <v>2</v>
      </c>
      <c r="I1363" t="s">
        <v>98</v>
      </c>
      <c r="J1363">
        <v>0</v>
      </c>
      <c r="K1363">
        <v>1</v>
      </c>
      <c r="L1363">
        <v>5</v>
      </c>
      <c r="BG1363">
        <v>575</v>
      </c>
      <c r="BI1363" t="s">
        <v>365</v>
      </c>
      <c r="BJ1363">
        <v>0</v>
      </c>
      <c r="BL1363" t="s">
        <v>2857</v>
      </c>
      <c r="BM1363" s="4">
        <v>43283.605555555558</v>
      </c>
      <c r="BN1363" s="4">
        <v>43283.644525462965</v>
      </c>
      <c r="BO1363" s="4">
        <v>43283.644525462965</v>
      </c>
      <c r="BP1363" t="s">
        <v>92</v>
      </c>
      <c r="BQ1363" t="s">
        <v>93</v>
      </c>
      <c r="BR1363" t="s">
        <v>94</v>
      </c>
    </row>
    <row r="1364" spans="1:70" x14ac:dyDescent="0.3">
      <c r="A1364" t="str">
        <f>"200704B0100"</f>
        <v>200704B0100</v>
      </c>
      <c r="B1364" t="s">
        <v>2858</v>
      </c>
      <c r="C1364">
        <v>20</v>
      </c>
      <c r="D1364" t="s">
        <v>88</v>
      </c>
      <c r="E1364">
        <v>76</v>
      </c>
      <c r="F1364" t="s">
        <v>2666</v>
      </c>
      <c r="G1364">
        <v>704</v>
      </c>
      <c r="H1364">
        <v>1</v>
      </c>
      <c r="I1364" t="s">
        <v>90</v>
      </c>
      <c r="J1364">
        <v>0</v>
      </c>
      <c r="K1364">
        <v>2</v>
      </c>
      <c r="L1364">
        <v>5</v>
      </c>
      <c r="M1364">
        <v>174</v>
      </c>
      <c r="N1364">
        <v>427</v>
      </c>
      <c r="O1364">
        <v>0</v>
      </c>
      <c r="P1364">
        <v>427</v>
      </c>
      <c r="Q1364">
        <v>26</v>
      </c>
      <c r="R1364">
        <v>132</v>
      </c>
      <c r="S1364">
        <v>4</v>
      </c>
      <c r="T1364">
        <v>5</v>
      </c>
      <c r="U1364">
        <v>9</v>
      </c>
      <c r="V1364">
        <v>41</v>
      </c>
      <c r="W1364">
        <v>2</v>
      </c>
      <c r="X1364">
        <v>47</v>
      </c>
      <c r="Y1364">
        <v>114</v>
      </c>
      <c r="Z1364">
        <v>4</v>
      </c>
      <c r="AA1364">
        <v>0</v>
      </c>
      <c r="AB1364">
        <v>1</v>
      </c>
      <c r="AC1364">
        <v>0</v>
      </c>
      <c r="AD1364">
        <v>0</v>
      </c>
      <c r="AE1364">
        <v>0</v>
      </c>
      <c r="AF1364">
        <v>1</v>
      </c>
      <c r="AK1364">
        <v>3</v>
      </c>
      <c r="AL1364">
        <v>1</v>
      </c>
      <c r="AM1364">
        <v>0</v>
      </c>
      <c r="AN1364">
        <v>0</v>
      </c>
      <c r="AT1364">
        <v>2</v>
      </c>
      <c r="AZ1364">
        <v>5</v>
      </c>
      <c r="BA1364">
        <v>3</v>
      </c>
      <c r="BB1364">
        <v>16</v>
      </c>
      <c r="BC1364">
        <v>0</v>
      </c>
      <c r="BD1364">
        <v>11</v>
      </c>
      <c r="BE1364">
        <v>427</v>
      </c>
      <c r="BF1364">
        <v>427</v>
      </c>
      <c r="BG1364">
        <v>575</v>
      </c>
      <c r="BJ1364">
        <v>1</v>
      </c>
      <c r="BL1364" t="s">
        <v>2859</v>
      </c>
      <c r="BM1364" s="4">
        <v>43283.152083333334</v>
      </c>
      <c r="BN1364" s="4">
        <v>43283.163159722222</v>
      </c>
      <c r="BO1364" s="4">
        <v>43283.163159722222</v>
      </c>
      <c r="BP1364" t="s">
        <v>92</v>
      </c>
      <c r="BQ1364" t="s">
        <v>93</v>
      </c>
      <c r="BR1364" t="s">
        <v>94</v>
      </c>
    </row>
    <row r="1365" spans="1:70" x14ac:dyDescent="0.3">
      <c r="A1365" t="str">
        <f>"200705B0100"</f>
        <v>200705B0100</v>
      </c>
      <c r="B1365" t="s">
        <v>2860</v>
      </c>
      <c r="C1365">
        <v>20</v>
      </c>
      <c r="D1365" t="s">
        <v>88</v>
      </c>
      <c r="E1365">
        <v>76</v>
      </c>
      <c r="F1365" t="s">
        <v>2666</v>
      </c>
      <c r="G1365">
        <v>705</v>
      </c>
      <c r="H1365">
        <v>1</v>
      </c>
      <c r="I1365" t="s">
        <v>90</v>
      </c>
      <c r="J1365">
        <v>0</v>
      </c>
      <c r="K1365">
        <v>2</v>
      </c>
      <c r="L1365">
        <v>5</v>
      </c>
      <c r="M1365">
        <v>81</v>
      </c>
      <c r="N1365">
        <v>295</v>
      </c>
      <c r="O1365">
        <v>0</v>
      </c>
      <c r="P1365" t="s">
        <v>105</v>
      </c>
      <c r="Q1365">
        <v>6</v>
      </c>
      <c r="R1365">
        <v>50</v>
      </c>
      <c r="S1365">
        <v>4</v>
      </c>
      <c r="T1365">
        <v>3</v>
      </c>
      <c r="U1365">
        <v>4</v>
      </c>
      <c r="V1365">
        <v>20</v>
      </c>
      <c r="W1365">
        <v>8</v>
      </c>
      <c r="X1365">
        <v>18</v>
      </c>
      <c r="Y1365">
        <v>59</v>
      </c>
      <c r="Z1365">
        <v>2</v>
      </c>
      <c r="AA1365">
        <v>0</v>
      </c>
      <c r="AB1365">
        <v>2</v>
      </c>
      <c r="AC1365">
        <v>0</v>
      </c>
      <c r="AD1365">
        <v>0</v>
      </c>
      <c r="AE1365">
        <v>0</v>
      </c>
      <c r="AF1365">
        <v>0</v>
      </c>
      <c r="AK1365">
        <v>3</v>
      </c>
      <c r="AL1365">
        <v>0</v>
      </c>
      <c r="AM1365">
        <v>1</v>
      </c>
      <c r="AN1365">
        <v>0</v>
      </c>
      <c r="AT1365">
        <v>0</v>
      </c>
      <c r="AZ1365">
        <v>5</v>
      </c>
      <c r="BA1365">
        <v>1</v>
      </c>
      <c r="BB1365">
        <v>17</v>
      </c>
      <c r="BC1365">
        <v>0</v>
      </c>
      <c r="BD1365">
        <v>11</v>
      </c>
      <c r="BE1365">
        <v>214</v>
      </c>
      <c r="BF1365">
        <v>214</v>
      </c>
      <c r="BG1365">
        <v>269</v>
      </c>
      <c r="BJ1365">
        <v>1</v>
      </c>
      <c r="BL1365" t="s">
        <v>2861</v>
      </c>
      <c r="BM1365" s="4">
        <v>43283.15625</v>
      </c>
      <c r="BN1365" s="4">
        <v>43283.18109953704</v>
      </c>
      <c r="BO1365" s="4">
        <v>43283.18109953704</v>
      </c>
      <c r="BP1365" t="s">
        <v>92</v>
      </c>
      <c r="BQ1365" t="s">
        <v>93</v>
      </c>
      <c r="BR1365" t="s">
        <v>94</v>
      </c>
    </row>
    <row r="1366" spans="1:70" x14ac:dyDescent="0.3">
      <c r="A1366" t="str">
        <f>"200706B0100"</f>
        <v>200706B0100</v>
      </c>
      <c r="B1366" t="s">
        <v>2862</v>
      </c>
      <c r="C1366">
        <v>20</v>
      </c>
      <c r="D1366" t="s">
        <v>88</v>
      </c>
      <c r="E1366">
        <v>76</v>
      </c>
      <c r="F1366" t="s">
        <v>2666</v>
      </c>
      <c r="G1366">
        <v>706</v>
      </c>
      <c r="H1366">
        <v>1</v>
      </c>
      <c r="I1366" t="s">
        <v>90</v>
      </c>
      <c r="J1366">
        <v>0</v>
      </c>
      <c r="K1366">
        <v>2</v>
      </c>
      <c r="L1366">
        <v>5</v>
      </c>
      <c r="BG1366">
        <v>666</v>
      </c>
      <c r="BI1366" t="s">
        <v>365</v>
      </c>
      <c r="BJ1366">
        <v>0</v>
      </c>
      <c r="BL1366" t="s">
        <v>2863</v>
      </c>
      <c r="BM1366" s="4">
        <v>43283.605555555558</v>
      </c>
      <c r="BN1366" s="4">
        <v>43283.643854166665</v>
      </c>
      <c r="BO1366" s="4">
        <v>43283.643854166665</v>
      </c>
      <c r="BP1366" t="s">
        <v>92</v>
      </c>
      <c r="BQ1366" t="s">
        <v>93</v>
      </c>
      <c r="BR1366" t="s">
        <v>94</v>
      </c>
    </row>
    <row r="1367" spans="1:70" x14ac:dyDescent="0.3">
      <c r="A1367" t="str">
        <f>"200707B0100"</f>
        <v>200707B0100</v>
      </c>
      <c r="B1367" t="s">
        <v>2864</v>
      </c>
      <c r="C1367">
        <v>20</v>
      </c>
      <c r="D1367" t="s">
        <v>88</v>
      </c>
      <c r="E1367">
        <v>76</v>
      </c>
      <c r="F1367" t="s">
        <v>2666</v>
      </c>
      <c r="G1367">
        <v>707</v>
      </c>
      <c r="H1367">
        <v>1</v>
      </c>
      <c r="I1367" t="s">
        <v>90</v>
      </c>
      <c r="J1367">
        <v>0</v>
      </c>
      <c r="K1367">
        <v>2</v>
      </c>
      <c r="L1367">
        <v>5</v>
      </c>
      <c r="M1367">
        <v>160</v>
      </c>
      <c r="N1367" t="s">
        <v>105</v>
      </c>
      <c r="O1367">
        <v>1</v>
      </c>
      <c r="P1367" t="s">
        <v>105</v>
      </c>
      <c r="Q1367">
        <v>14</v>
      </c>
      <c r="R1367">
        <v>101</v>
      </c>
      <c r="S1367">
        <v>6</v>
      </c>
      <c r="T1367">
        <v>6</v>
      </c>
      <c r="U1367">
        <v>17</v>
      </c>
      <c r="V1367">
        <v>27</v>
      </c>
      <c r="W1367">
        <v>4</v>
      </c>
      <c r="X1367">
        <v>26</v>
      </c>
      <c r="Y1367">
        <v>74</v>
      </c>
      <c r="Z1367">
        <v>6</v>
      </c>
      <c r="AA1367" t="s">
        <v>105</v>
      </c>
      <c r="AB1367" t="s">
        <v>105</v>
      </c>
      <c r="AC1367" t="s">
        <v>105</v>
      </c>
      <c r="AD1367" t="s">
        <v>105</v>
      </c>
      <c r="AE1367">
        <v>1</v>
      </c>
      <c r="AF1367" t="s">
        <v>105</v>
      </c>
      <c r="AK1367" t="s">
        <v>105</v>
      </c>
      <c r="AL1367" t="s">
        <v>105</v>
      </c>
      <c r="AM1367" t="s">
        <v>105</v>
      </c>
      <c r="AN1367" t="s">
        <v>105</v>
      </c>
      <c r="AT1367">
        <v>1</v>
      </c>
      <c r="AZ1367">
        <v>3</v>
      </c>
      <c r="BA1367">
        <v>6</v>
      </c>
      <c r="BB1367">
        <v>14</v>
      </c>
      <c r="BC1367">
        <v>15</v>
      </c>
      <c r="BD1367" t="s">
        <v>105</v>
      </c>
      <c r="BE1367" t="s">
        <v>105</v>
      </c>
      <c r="BF1367">
        <v>321</v>
      </c>
      <c r="BG1367">
        <v>451</v>
      </c>
      <c r="BI1367" t="s">
        <v>106</v>
      </c>
      <c r="BJ1367">
        <v>1</v>
      </c>
      <c r="BL1367" t="s">
        <v>2865</v>
      </c>
      <c r="BM1367" s="4">
        <v>43283.180555555555</v>
      </c>
      <c r="BN1367" s="4">
        <v>43283.19908564815</v>
      </c>
      <c r="BO1367" s="4">
        <v>43283.19908564815</v>
      </c>
      <c r="BP1367" t="s">
        <v>92</v>
      </c>
      <c r="BQ1367" t="s">
        <v>93</v>
      </c>
      <c r="BR1367" t="s">
        <v>94</v>
      </c>
    </row>
    <row r="1368" spans="1:70" x14ac:dyDescent="0.3">
      <c r="A1368" t="str">
        <f>"200707C0100"</f>
        <v>200707C0100</v>
      </c>
      <c r="B1368" t="s">
        <v>2866</v>
      </c>
      <c r="C1368">
        <v>20</v>
      </c>
      <c r="D1368" t="s">
        <v>88</v>
      </c>
      <c r="E1368">
        <v>76</v>
      </c>
      <c r="F1368" t="s">
        <v>2666</v>
      </c>
      <c r="G1368">
        <v>707</v>
      </c>
      <c r="H1368">
        <v>1</v>
      </c>
      <c r="I1368" t="s">
        <v>98</v>
      </c>
      <c r="J1368">
        <v>0</v>
      </c>
      <c r="K1368">
        <v>2</v>
      </c>
      <c r="L1368">
        <v>5</v>
      </c>
      <c r="M1368">
        <v>155</v>
      </c>
      <c r="N1368">
        <v>322</v>
      </c>
      <c r="O1368">
        <v>1</v>
      </c>
      <c r="P1368">
        <v>322</v>
      </c>
      <c r="Q1368">
        <v>54</v>
      </c>
      <c r="R1368">
        <v>105</v>
      </c>
      <c r="S1368" t="s">
        <v>105</v>
      </c>
      <c r="T1368" t="s">
        <v>105</v>
      </c>
      <c r="U1368" t="s">
        <v>105</v>
      </c>
      <c r="V1368" t="s">
        <v>105</v>
      </c>
      <c r="W1368">
        <v>1</v>
      </c>
      <c r="X1368">
        <v>14</v>
      </c>
      <c r="Y1368">
        <v>107</v>
      </c>
      <c r="Z1368" t="s">
        <v>105</v>
      </c>
      <c r="AA1368" t="s">
        <v>105</v>
      </c>
      <c r="AB1368">
        <v>1</v>
      </c>
      <c r="AC1368" t="s">
        <v>105</v>
      </c>
      <c r="AD1368" t="s">
        <v>105</v>
      </c>
      <c r="AE1368" t="s">
        <v>105</v>
      </c>
      <c r="AF1368" t="s">
        <v>105</v>
      </c>
      <c r="AK1368" t="s">
        <v>105</v>
      </c>
      <c r="AL1368" t="s">
        <v>105</v>
      </c>
      <c r="AM1368" t="s">
        <v>105</v>
      </c>
      <c r="AN1368" t="s">
        <v>105</v>
      </c>
      <c r="AT1368" t="s">
        <v>105</v>
      </c>
      <c r="AZ1368">
        <v>2</v>
      </c>
      <c r="BA1368">
        <v>6</v>
      </c>
      <c r="BB1368">
        <v>15</v>
      </c>
      <c r="BC1368" t="s">
        <v>105</v>
      </c>
      <c r="BD1368">
        <v>14</v>
      </c>
      <c r="BE1368">
        <v>319</v>
      </c>
      <c r="BF1368">
        <v>319</v>
      </c>
      <c r="BG1368">
        <v>451</v>
      </c>
      <c r="BI1368" t="s">
        <v>106</v>
      </c>
      <c r="BJ1368">
        <v>1</v>
      </c>
      <c r="BL1368" t="s">
        <v>2867</v>
      </c>
      <c r="BM1368" s="4">
        <v>43283.18472222222</v>
      </c>
      <c r="BN1368" s="4">
        <v>43283.202662037038</v>
      </c>
      <c r="BO1368" s="4">
        <v>43283.202662037038</v>
      </c>
      <c r="BP1368" t="s">
        <v>92</v>
      </c>
      <c r="BQ1368" t="s">
        <v>93</v>
      </c>
      <c r="BR1368" t="s">
        <v>94</v>
      </c>
    </row>
    <row r="1369" spans="1:70" x14ac:dyDescent="0.3">
      <c r="A1369" t="str">
        <f>"200708B0100"</f>
        <v>200708B0100</v>
      </c>
      <c r="B1369" t="s">
        <v>2868</v>
      </c>
      <c r="C1369">
        <v>20</v>
      </c>
      <c r="D1369" t="s">
        <v>88</v>
      </c>
      <c r="E1369">
        <v>76</v>
      </c>
      <c r="F1369" t="s">
        <v>2666</v>
      </c>
      <c r="G1369">
        <v>708</v>
      </c>
      <c r="H1369">
        <v>1</v>
      </c>
      <c r="I1369" t="s">
        <v>90</v>
      </c>
      <c r="J1369">
        <v>0</v>
      </c>
      <c r="K1369">
        <v>2</v>
      </c>
      <c r="L1369">
        <v>5</v>
      </c>
      <c r="M1369">
        <v>243</v>
      </c>
      <c r="N1369">
        <v>0</v>
      </c>
      <c r="O1369">
        <v>0</v>
      </c>
      <c r="P1369">
        <v>487</v>
      </c>
      <c r="Q1369">
        <v>33</v>
      </c>
      <c r="R1369">
        <v>119</v>
      </c>
      <c r="S1369">
        <v>8</v>
      </c>
      <c r="T1369">
        <v>11</v>
      </c>
      <c r="U1369">
        <v>5</v>
      </c>
      <c r="V1369">
        <v>42</v>
      </c>
      <c r="W1369">
        <v>2</v>
      </c>
      <c r="X1369">
        <v>67</v>
      </c>
      <c r="Y1369">
        <v>154</v>
      </c>
      <c r="Z1369">
        <v>4</v>
      </c>
      <c r="AA1369">
        <v>0</v>
      </c>
      <c r="AB1369">
        <v>0</v>
      </c>
      <c r="AC1369">
        <v>2</v>
      </c>
      <c r="AD1369">
        <v>0</v>
      </c>
      <c r="AE1369">
        <v>0</v>
      </c>
      <c r="AF1369">
        <v>0</v>
      </c>
      <c r="AK1369">
        <v>0</v>
      </c>
      <c r="AL1369">
        <v>2</v>
      </c>
      <c r="AM1369">
        <v>0</v>
      </c>
      <c r="AN1369">
        <v>2</v>
      </c>
      <c r="AT1369">
        <v>1</v>
      </c>
      <c r="AZ1369">
        <v>13</v>
      </c>
      <c r="BA1369">
        <v>2</v>
      </c>
      <c r="BB1369">
        <v>4</v>
      </c>
      <c r="BC1369" t="s">
        <v>105</v>
      </c>
      <c r="BD1369">
        <v>16</v>
      </c>
      <c r="BE1369">
        <v>487</v>
      </c>
      <c r="BF1369">
        <v>487</v>
      </c>
      <c r="BG1369">
        <v>704</v>
      </c>
      <c r="BI1369" t="s">
        <v>106</v>
      </c>
      <c r="BJ1369">
        <v>1</v>
      </c>
      <c r="BL1369" t="s">
        <v>2869</v>
      </c>
      <c r="BM1369" s="4">
        <v>43283.086805555555</v>
      </c>
      <c r="BN1369" s="4">
        <v>43283.091180555559</v>
      </c>
      <c r="BO1369" s="4">
        <v>43283.091180555559</v>
      </c>
      <c r="BP1369" t="s">
        <v>92</v>
      </c>
      <c r="BQ1369" t="s">
        <v>93</v>
      </c>
      <c r="BR1369" t="s">
        <v>94</v>
      </c>
    </row>
    <row r="1370" spans="1:70" x14ac:dyDescent="0.3">
      <c r="A1370" t="str">
        <f>"200708C0100"</f>
        <v>200708C0100</v>
      </c>
      <c r="B1370" t="s">
        <v>2870</v>
      </c>
      <c r="C1370">
        <v>20</v>
      </c>
      <c r="D1370" t="s">
        <v>88</v>
      </c>
      <c r="E1370">
        <v>76</v>
      </c>
      <c r="F1370" t="s">
        <v>2666</v>
      </c>
      <c r="G1370">
        <v>708</v>
      </c>
      <c r="H1370">
        <v>1</v>
      </c>
      <c r="I1370" t="s">
        <v>98</v>
      </c>
      <c r="J1370">
        <v>0</v>
      </c>
      <c r="K1370">
        <v>2</v>
      </c>
      <c r="L1370">
        <v>5</v>
      </c>
      <c r="M1370">
        <v>203</v>
      </c>
      <c r="N1370">
        <v>525</v>
      </c>
      <c r="O1370">
        <v>5</v>
      </c>
      <c r="P1370">
        <v>531</v>
      </c>
      <c r="Q1370">
        <v>25</v>
      </c>
      <c r="R1370">
        <v>145</v>
      </c>
      <c r="S1370">
        <v>9</v>
      </c>
      <c r="T1370">
        <v>15</v>
      </c>
      <c r="U1370">
        <v>8</v>
      </c>
      <c r="V1370">
        <v>63</v>
      </c>
      <c r="W1370">
        <v>5</v>
      </c>
      <c r="X1370">
        <v>66</v>
      </c>
      <c r="Y1370">
        <v>142</v>
      </c>
      <c r="Z1370">
        <v>7</v>
      </c>
      <c r="AA1370">
        <v>0</v>
      </c>
      <c r="AB1370">
        <v>1</v>
      </c>
      <c r="AC1370">
        <v>2</v>
      </c>
      <c r="AD1370">
        <v>0</v>
      </c>
      <c r="AE1370">
        <v>1</v>
      </c>
      <c r="AF1370">
        <v>1</v>
      </c>
      <c r="AK1370">
        <v>0</v>
      </c>
      <c r="AL1370">
        <v>0</v>
      </c>
      <c r="AM1370">
        <v>0</v>
      </c>
      <c r="AN1370">
        <v>0</v>
      </c>
      <c r="AT1370">
        <v>4</v>
      </c>
      <c r="AZ1370">
        <v>3</v>
      </c>
      <c r="BA1370">
        <v>1</v>
      </c>
      <c r="BB1370">
        <v>7</v>
      </c>
      <c r="BC1370" t="s">
        <v>105</v>
      </c>
      <c r="BD1370">
        <v>26</v>
      </c>
      <c r="BE1370" t="s">
        <v>105</v>
      </c>
      <c r="BF1370">
        <v>531</v>
      </c>
      <c r="BG1370">
        <v>703</v>
      </c>
      <c r="BI1370" t="s">
        <v>106</v>
      </c>
      <c r="BJ1370">
        <v>1</v>
      </c>
      <c r="BL1370" t="s">
        <v>2871</v>
      </c>
      <c r="BM1370" s="4">
        <v>43283.088194444441</v>
      </c>
      <c r="BN1370" s="4">
        <v>43283.093275462961</v>
      </c>
      <c r="BO1370" s="4">
        <v>43283.093275462961</v>
      </c>
      <c r="BP1370" t="s">
        <v>92</v>
      </c>
      <c r="BQ1370" t="s">
        <v>93</v>
      </c>
      <c r="BR1370" t="s">
        <v>94</v>
      </c>
    </row>
    <row r="1371" spans="1:70" x14ac:dyDescent="0.3">
      <c r="A1371" t="str">
        <f>"200708C0200"</f>
        <v>200708C0200</v>
      </c>
      <c r="B1371" t="s">
        <v>2872</v>
      </c>
      <c r="C1371">
        <v>20</v>
      </c>
      <c r="D1371" t="s">
        <v>88</v>
      </c>
      <c r="E1371">
        <v>76</v>
      </c>
      <c r="F1371" t="s">
        <v>2666</v>
      </c>
      <c r="G1371">
        <v>708</v>
      </c>
      <c r="H1371">
        <v>2</v>
      </c>
      <c r="I1371" t="s">
        <v>98</v>
      </c>
      <c r="J1371">
        <v>0</v>
      </c>
      <c r="K1371">
        <v>2</v>
      </c>
      <c r="L1371">
        <v>5</v>
      </c>
      <c r="M1371">
        <v>229</v>
      </c>
      <c r="N1371">
        <v>500</v>
      </c>
      <c r="O1371">
        <v>0</v>
      </c>
      <c r="P1371">
        <v>500</v>
      </c>
      <c r="Q1371">
        <v>46</v>
      </c>
      <c r="R1371">
        <v>123</v>
      </c>
      <c r="S1371">
        <v>8</v>
      </c>
      <c r="T1371">
        <v>10</v>
      </c>
      <c r="U1371">
        <v>11</v>
      </c>
      <c r="V1371">
        <v>45</v>
      </c>
      <c r="W1371">
        <v>0</v>
      </c>
      <c r="X1371">
        <v>74</v>
      </c>
      <c r="Y1371">
        <v>133</v>
      </c>
      <c r="Z1371">
        <v>5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K1371">
        <v>1</v>
      </c>
      <c r="AL1371">
        <v>1</v>
      </c>
      <c r="AM1371">
        <v>0</v>
      </c>
      <c r="AN1371">
        <v>0</v>
      </c>
      <c r="AT1371">
        <v>2</v>
      </c>
      <c r="AZ1371">
        <v>10</v>
      </c>
      <c r="BA1371">
        <v>1</v>
      </c>
      <c r="BB1371">
        <v>7</v>
      </c>
      <c r="BC1371">
        <v>0</v>
      </c>
      <c r="BD1371">
        <v>23</v>
      </c>
      <c r="BE1371">
        <v>500</v>
      </c>
      <c r="BF1371">
        <v>500</v>
      </c>
      <c r="BG1371">
        <v>703</v>
      </c>
      <c r="BJ1371">
        <v>1</v>
      </c>
      <c r="BL1371" t="s">
        <v>2873</v>
      </c>
      <c r="BM1371" s="4">
        <v>43283.106249999997</v>
      </c>
      <c r="BN1371" s="4">
        <v>43283.111331018517</v>
      </c>
      <c r="BO1371" s="4">
        <v>43283.111331018517</v>
      </c>
      <c r="BP1371" t="s">
        <v>92</v>
      </c>
      <c r="BQ1371" t="s">
        <v>93</v>
      </c>
      <c r="BR1371" t="s">
        <v>94</v>
      </c>
    </row>
    <row r="1372" spans="1:70" x14ac:dyDescent="0.3">
      <c r="A1372" t="str">
        <f>"200708E0100"</f>
        <v>200708E0100</v>
      </c>
      <c r="B1372" s="2" t="s">
        <v>2874</v>
      </c>
      <c r="C1372">
        <v>20</v>
      </c>
      <c r="D1372" t="s">
        <v>88</v>
      </c>
      <c r="E1372">
        <v>76</v>
      </c>
      <c r="F1372" t="s">
        <v>2666</v>
      </c>
      <c r="G1372">
        <v>708</v>
      </c>
      <c r="H1372">
        <v>1</v>
      </c>
      <c r="I1372" t="s">
        <v>156</v>
      </c>
      <c r="J1372">
        <v>0</v>
      </c>
      <c r="K1372">
        <v>2</v>
      </c>
      <c r="L1372">
        <v>5</v>
      </c>
      <c r="M1372">
        <v>84</v>
      </c>
      <c r="N1372">
        <v>127</v>
      </c>
      <c r="O1372">
        <v>4</v>
      </c>
      <c r="P1372">
        <v>127</v>
      </c>
      <c r="Q1372">
        <v>6</v>
      </c>
      <c r="R1372">
        <v>22</v>
      </c>
      <c r="S1372">
        <v>0</v>
      </c>
      <c r="T1372">
        <v>1</v>
      </c>
      <c r="U1372">
        <v>2</v>
      </c>
      <c r="V1372">
        <v>27</v>
      </c>
      <c r="W1372">
        <v>1</v>
      </c>
      <c r="X1372">
        <v>3</v>
      </c>
      <c r="Y1372">
        <v>51</v>
      </c>
      <c r="Z1372">
        <v>1</v>
      </c>
      <c r="AA1372">
        <v>0</v>
      </c>
      <c r="AB1372">
        <v>1</v>
      </c>
      <c r="AC1372">
        <v>0</v>
      </c>
      <c r="AD1372">
        <v>0</v>
      </c>
      <c r="AE1372">
        <v>0</v>
      </c>
      <c r="AF1372">
        <v>0</v>
      </c>
      <c r="AK1372">
        <v>1</v>
      </c>
      <c r="AL1372">
        <v>1</v>
      </c>
      <c r="AM1372">
        <v>0</v>
      </c>
      <c r="AN1372">
        <v>1</v>
      </c>
      <c r="AT1372">
        <v>0</v>
      </c>
      <c r="AZ1372">
        <v>2</v>
      </c>
      <c r="BA1372">
        <v>0</v>
      </c>
      <c r="BB1372">
        <v>3</v>
      </c>
      <c r="BC1372">
        <v>0</v>
      </c>
      <c r="BD1372">
        <v>3</v>
      </c>
      <c r="BE1372">
        <v>127</v>
      </c>
      <c r="BF1372">
        <v>126</v>
      </c>
      <c r="BG1372">
        <v>185</v>
      </c>
      <c r="BJ1372">
        <v>1</v>
      </c>
      <c r="BL1372" t="s">
        <v>2875</v>
      </c>
      <c r="BM1372" s="4">
        <v>43283.094444444447</v>
      </c>
      <c r="BN1372" s="4">
        <v>43283.100914351853</v>
      </c>
      <c r="BO1372" s="4">
        <v>43283.100914351853</v>
      </c>
      <c r="BP1372" t="s">
        <v>92</v>
      </c>
      <c r="BQ1372" t="s">
        <v>93</v>
      </c>
      <c r="BR1372" t="s">
        <v>94</v>
      </c>
    </row>
    <row r="1373" spans="1:70" x14ac:dyDescent="0.3">
      <c r="A1373" t="str">
        <f>"200709B0100"</f>
        <v>200709B0100</v>
      </c>
      <c r="B1373" t="s">
        <v>2876</v>
      </c>
      <c r="C1373">
        <v>20</v>
      </c>
      <c r="D1373" t="s">
        <v>88</v>
      </c>
      <c r="E1373">
        <v>76</v>
      </c>
      <c r="F1373" t="s">
        <v>2666</v>
      </c>
      <c r="G1373">
        <v>709</v>
      </c>
      <c r="H1373">
        <v>1</v>
      </c>
      <c r="I1373" t="s">
        <v>90</v>
      </c>
      <c r="J1373">
        <v>0</v>
      </c>
      <c r="K1373">
        <v>1</v>
      </c>
      <c r="L1373">
        <v>5</v>
      </c>
      <c r="M1373">
        <v>190</v>
      </c>
      <c r="N1373">
        <v>303</v>
      </c>
      <c r="O1373">
        <v>6</v>
      </c>
      <c r="P1373">
        <v>303</v>
      </c>
      <c r="Q1373">
        <v>12</v>
      </c>
      <c r="R1373">
        <v>41</v>
      </c>
      <c r="S1373">
        <v>7</v>
      </c>
      <c r="T1373">
        <v>4</v>
      </c>
      <c r="U1373">
        <v>8</v>
      </c>
      <c r="V1373">
        <v>17</v>
      </c>
      <c r="W1373">
        <v>2</v>
      </c>
      <c r="X1373">
        <v>42</v>
      </c>
      <c r="Y1373">
        <v>123</v>
      </c>
      <c r="Z1373">
        <v>2</v>
      </c>
      <c r="AA1373">
        <v>1</v>
      </c>
      <c r="AB1373">
        <v>2</v>
      </c>
      <c r="AC1373">
        <v>1</v>
      </c>
      <c r="AD1373">
        <v>0</v>
      </c>
      <c r="AE1373">
        <v>0</v>
      </c>
      <c r="AF1373">
        <v>0</v>
      </c>
      <c r="AK1373">
        <v>1</v>
      </c>
      <c r="AL1373">
        <v>0</v>
      </c>
      <c r="AM1373">
        <v>0</v>
      </c>
      <c r="AN1373">
        <v>1</v>
      </c>
      <c r="AT1373">
        <v>1</v>
      </c>
      <c r="AZ1373">
        <v>2</v>
      </c>
      <c r="BA1373">
        <v>5</v>
      </c>
      <c r="BB1373">
        <v>6</v>
      </c>
      <c r="BC1373">
        <v>0</v>
      </c>
      <c r="BD1373">
        <v>25</v>
      </c>
      <c r="BE1373">
        <v>303</v>
      </c>
      <c r="BF1373">
        <v>303</v>
      </c>
      <c r="BG1373">
        <v>467</v>
      </c>
      <c r="BJ1373">
        <v>1</v>
      </c>
      <c r="BL1373" t="s">
        <v>2877</v>
      </c>
      <c r="BM1373" s="4">
        <v>43283.017361111109</v>
      </c>
      <c r="BN1373" s="4">
        <v>43283.024664351855</v>
      </c>
      <c r="BO1373" s="4">
        <v>43283.024664351855</v>
      </c>
      <c r="BP1373" t="s">
        <v>92</v>
      </c>
      <c r="BQ1373" t="s">
        <v>93</v>
      </c>
      <c r="BR1373" t="s">
        <v>94</v>
      </c>
    </row>
    <row r="1374" spans="1:70" x14ac:dyDescent="0.3">
      <c r="A1374" t="str">
        <f>"200709C0100"</f>
        <v>200709C0100</v>
      </c>
      <c r="B1374" t="s">
        <v>2878</v>
      </c>
      <c r="C1374">
        <v>20</v>
      </c>
      <c r="D1374" t="s">
        <v>88</v>
      </c>
      <c r="E1374">
        <v>76</v>
      </c>
      <c r="F1374" t="s">
        <v>2666</v>
      </c>
      <c r="G1374">
        <v>709</v>
      </c>
      <c r="H1374">
        <v>1</v>
      </c>
      <c r="I1374" t="s">
        <v>98</v>
      </c>
      <c r="J1374">
        <v>0</v>
      </c>
      <c r="K1374">
        <v>1</v>
      </c>
      <c r="L1374">
        <v>5</v>
      </c>
      <c r="M1374">
        <v>183</v>
      </c>
      <c r="N1374">
        <v>309</v>
      </c>
      <c r="O1374">
        <v>2</v>
      </c>
      <c r="P1374">
        <v>296</v>
      </c>
      <c r="Q1374">
        <v>12</v>
      </c>
      <c r="R1374">
        <v>50</v>
      </c>
      <c r="S1374">
        <v>9</v>
      </c>
      <c r="T1374">
        <v>2</v>
      </c>
      <c r="U1374">
        <v>6</v>
      </c>
      <c r="V1374">
        <v>15</v>
      </c>
      <c r="W1374">
        <v>1</v>
      </c>
      <c r="X1374">
        <v>40</v>
      </c>
      <c r="Y1374">
        <v>147</v>
      </c>
      <c r="Z1374">
        <v>0</v>
      </c>
      <c r="AA1374">
        <v>2</v>
      </c>
      <c r="AB1374">
        <v>1</v>
      </c>
      <c r="AC1374">
        <v>0</v>
      </c>
      <c r="AD1374">
        <v>0</v>
      </c>
      <c r="AE1374">
        <v>0</v>
      </c>
      <c r="AF1374">
        <v>0</v>
      </c>
      <c r="AK1374">
        <v>3</v>
      </c>
      <c r="AL1374">
        <v>0</v>
      </c>
      <c r="AM1374">
        <v>0</v>
      </c>
      <c r="AN1374">
        <v>0</v>
      </c>
      <c r="AT1374">
        <v>1</v>
      </c>
      <c r="AZ1374">
        <v>5</v>
      </c>
      <c r="BA1374">
        <v>5</v>
      </c>
      <c r="BB1374">
        <v>6</v>
      </c>
      <c r="BC1374">
        <v>1</v>
      </c>
      <c r="BD1374">
        <v>5</v>
      </c>
      <c r="BE1374">
        <v>311</v>
      </c>
      <c r="BF1374">
        <v>311</v>
      </c>
      <c r="BG1374">
        <v>467</v>
      </c>
      <c r="BJ1374">
        <v>1</v>
      </c>
      <c r="BL1374" t="s">
        <v>2879</v>
      </c>
      <c r="BM1374" s="4">
        <v>43283.136111111111</v>
      </c>
      <c r="BN1374" s="4">
        <v>43283.142013888886</v>
      </c>
      <c r="BO1374" s="4">
        <v>43283.142013888886</v>
      </c>
      <c r="BP1374" t="s">
        <v>92</v>
      </c>
      <c r="BQ1374" t="s">
        <v>93</v>
      </c>
      <c r="BR1374" t="s">
        <v>94</v>
      </c>
    </row>
    <row r="1375" spans="1:70" x14ac:dyDescent="0.3">
      <c r="A1375" t="str">
        <f>"200710B0100"</f>
        <v>200710B0100</v>
      </c>
      <c r="B1375" t="s">
        <v>2880</v>
      </c>
      <c r="C1375">
        <v>20</v>
      </c>
      <c r="D1375" t="s">
        <v>88</v>
      </c>
      <c r="E1375">
        <v>77</v>
      </c>
      <c r="F1375" t="s">
        <v>2881</v>
      </c>
      <c r="G1375">
        <v>710</v>
      </c>
      <c r="H1375">
        <v>1</v>
      </c>
      <c r="I1375" t="s">
        <v>90</v>
      </c>
      <c r="J1375">
        <v>0</v>
      </c>
      <c r="K1375">
        <v>2</v>
      </c>
      <c r="L1375">
        <v>5</v>
      </c>
      <c r="M1375">
        <v>143</v>
      </c>
      <c r="N1375">
        <v>462</v>
      </c>
      <c r="O1375">
        <v>0</v>
      </c>
      <c r="P1375">
        <v>462</v>
      </c>
      <c r="Q1375">
        <v>84</v>
      </c>
      <c r="R1375">
        <v>102</v>
      </c>
      <c r="S1375">
        <v>8</v>
      </c>
      <c r="T1375">
        <v>2</v>
      </c>
      <c r="U1375">
        <v>75</v>
      </c>
      <c r="V1375">
        <v>1</v>
      </c>
      <c r="W1375">
        <v>106</v>
      </c>
      <c r="X1375">
        <v>6</v>
      </c>
      <c r="Y1375">
        <v>38</v>
      </c>
      <c r="Z1375">
        <v>3</v>
      </c>
      <c r="AC1375">
        <v>0</v>
      </c>
      <c r="AD1375">
        <v>0</v>
      </c>
      <c r="AE1375">
        <v>1</v>
      </c>
      <c r="AF1375">
        <v>0</v>
      </c>
      <c r="AG1375">
        <v>0</v>
      </c>
      <c r="AH1375">
        <v>2</v>
      </c>
      <c r="AI1375">
        <v>0</v>
      </c>
      <c r="AJ1375">
        <v>0</v>
      </c>
      <c r="AK1375">
        <v>0</v>
      </c>
      <c r="AL1375">
        <v>1</v>
      </c>
      <c r="AM1375">
        <v>0</v>
      </c>
      <c r="AN1375">
        <v>1</v>
      </c>
      <c r="BC1375">
        <v>0</v>
      </c>
      <c r="BD1375">
        <v>32</v>
      </c>
      <c r="BE1375">
        <v>462</v>
      </c>
      <c r="BF1375">
        <v>462</v>
      </c>
      <c r="BG1375">
        <v>583</v>
      </c>
      <c r="BJ1375">
        <v>1</v>
      </c>
      <c r="BL1375" t="s">
        <v>2882</v>
      </c>
      <c r="BM1375" s="4">
        <v>43283.228472222225</v>
      </c>
      <c r="BN1375" s="4">
        <v>43283.250868055555</v>
      </c>
      <c r="BO1375" s="4">
        <v>43283.250868055555</v>
      </c>
      <c r="BP1375" t="s">
        <v>92</v>
      </c>
      <c r="BQ1375" t="s">
        <v>93</v>
      </c>
      <c r="BR1375" t="s">
        <v>94</v>
      </c>
    </row>
    <row r="1376" spans="1:70" x14ac:dyDescent="0.3">
      <c r="A1376" t="str">
        <f>"200711B0100"</f>
        <v>200711B0100</v>
      </c>
      <c r="B1376" t="s">
        <v>2883</v>
      </c>
      <c r="C1376">
        <v>20</v>
      </c>
      <c r="D1376" t="s">
        <v>88</v>
      </c>
      <c r="E1376">
        <v>77</v>
      </c>
      <c r="F1376" t="s">
        <v>2881</v>
      </c>
      <c r="G1376">
        <v>711</v>
      </c>
      <c r="H1376">
        <v>1</v>
      </c>
      <c r="I1376" t="s">
        <v>90</v>
      </c>
      <c r="J1376">
        <v>0</v>
      </c>
      <c r="K1376">
        <v>2</v>
      </c>
      <c r="L1376">
        <v>5</v>
      </c>
      <c r="BG1376">
        <v>671</v>
      </c>
      <c r="BI1376" t="s">
        <v>122</v>
      </c>
      <c r="BJ1376">
        <v>0</v>
      </c>
      <c r="BL1376" t="s">
        <v>2884</v>
      </c>
      <c r="BM1376" s="4">
        <v>43283.752083333333</v>
      </c>
      <c r="BN1376" s="4">
        <v>43283.753935185188</v>
      </c>
      <c r="BO1376" s="4">
        <v>43283.753935185188</v>
      </c>
      <c r="BP1376" t="s">
        <v>92</v>
      </c>
      <c r="BQ1376" t="s">
        <v>93</v>
      </c>
      <c r="BR1376" t="s">
        <v>94</v>
      </c>
    </row>
    <row r="1377" spans="1:70" x14ac:dyDescent="0.3">
      <c r="A1377" t="str">
        <f>"200712B0100"</f>
        <v>200712B0100</v>
      </c>
      <c r="B1377" t="s">
        <v>2885</v>
      </c>
      <c r="C1377">
        <v>20</v>
      </c>
      <c r="D1377" t="s">
        <v>88</v>
      </c>
      <c r="E1377">
        <v>78</v>
      </c>
      <c r="F1377" t="s">
        <v>2886</v>
      </c>
      <c r="G1377">
        <v>712</v>
      </c>
      <c r="H1377">
        <v>1</v>
      </c>
      <c r="I1377" t="s">
        <v>90</v>
      </c>
      <c r="J1377">
        <v>0</v>
      </c>
      <c r="K1377">
        <v>2</v>
      </c>
      <c r="L1377">
        <v>5</v>
      </c>
      <c r="BG1377">
        <v>587</v>
      </c>
      <c r="BI1377" t="s">
        <v>365</v>
      </c>
      <c r="BJ1377">
        <v>0</v>
      </c>
      <c r="BL1377" t="s">
        <v>2887</v>
      </c>
      <c r="BM1377" s="4">
        <v>43282.402777777781</v>
      </c>
      <c r="BN1377" s="4">
        <v>43283.404999999999</v>
      </c>
      <c r="BO1377" s="4">
        <v>43283.404999999999</v>
      </c>
      <c r="BP1377" t="s">
        <v>92</v>
      </c>
      <c r="BQ1377" t="s">
        <v>93</v>
      </c>
      <c r="BR1377" t="s">
        <v>94</v>
      </c>
    </row>
    <row r="1378" spans="1:70" x14ac:dyDescent="0.3">
      <c r="A1378" t="str">
        <f>"200712C0100"</f>
        <v>200712C0100</v>
      </c>
      <c r="B1378" t="s">
        <v>2888</v>
      </c>
      <c r="C1378">
        <v>20</v>
      </c>
      <c r="D1378" t="s">
        <v>88</v>
      </c>
      <c r="E1378">
        <v>78</v>
      </c>
      <c r="F1378" t="s">
        <v>2886</v>
      </c>
      <c r="G1378">
        <v>712</v>
      </c>
      <c r="H1378">
        <v>1</v>
      </c>
      <c r="I1378" t="s">
        <v>98</v>
      </c>
      <c r="J1378">
        <v>0</v>
      </c>
      <c r="K1378">
        <v>2</v>
      </c>
      <c r="L1378">
        <v>5</v>
      </c>
      <c r="BG1378">
        <v>586</v>
      </c>
      <c r="BI1378" t="s">
        <v>365</v>
      </c>
      <c r="BJ1378">
        <v>0</v>
      </c>
      <c r="BL1378" t="s">
        <v>2889</v>
      </c>
      <c r="BM1378" s="4">
        <v>43282.40347222222</v>
      </c>
      <c r="BN1378" s="4">
        <v>43283.4062962963</v>
      </c>
      <c r="BO1378" s="4">
        <v>43283.4062962963</v>
      </c>
      <c r="BP1378" t="s">
        <v>92</v>
      </c>
      <c r="BQ1378" t="s">
        <v>93</v>
      </c>
      <c r="BR1378" t="s">
        <v>94</v>
      </c>
    </row>
    <row r="1379" spans="1:70" x14ac:dyDescent="0.3">
      <c r="A1379" t="str">
        <f>"200713B0100"</f>
        <v>200713B0100</v>
      </c>
      <c r="B1379" t="s">
        <v>2890</v>
      </c>
      <c r="C1379">
        <v>20</v>
      </c>
      <c r="D1379" t="s">
        <v>88</v>
      </c>
      <c r="E1379">
        <v>78</v>
      </c>
      <c r="F1379" t="s">
        <v>2886</v>
      </c>
      <c r="G1379">
        <v>713</v>
      </c>
      <c r="H1379">
        <v>1</v>
      </c>
      <c r="I1379" t="s">
        <v>90</v>
      </c>
      <c r="J1379">
        <v>0</v>
      </c>
      <c r="K1379">
        <v>2</v>
      </c>
      <c r="L1379">
        <v>5</v>
      </c>
      <c r="BG1379">
        <v>357</v>
      </c>
      <c r="BI1379" t="s">
        <v>365</v>
      </c>
      <c r="BJ1379">
        <v>0</v>
      </c>
      <c r="BL1379" t="s">
        <v>2891</v>
      </c>
      <c r="BM1379" s="4">
        <v>43282.404166666667</v>
      </c>
      <c r="BN1379" s="4">
        <v>43283.406793981485</v>
      </c>
      <c r="BO1379" s="4">
        <v>43283.406793981485</v>
      </c>
      <c r="BP1379" t="s">
        <v>92</v>
      </c>
      <c r="BQ1379" t="s">
        <v>93</v>
      </c>
      <c r="BR1379" t="s">
        <v>94</v>
      </c>
    </row>
    <row r="1380" spans="1:70" x14ac:dyDescent="0.3">
      <c r="A1380" t="str">
        <f>"200738B0100"</f>
        <v>200738B0100</v>
      </c>
      <c r="B1380" t="s">
        <v>2892</v>
      </c>
      <c r="C1380">
        <v>20</v>
      </c>
      <c r="D1380" t="s">
        <v>88</v>
      </c>
      <c r="E1380">
        <v>85</v>
      </c>
      <c r="F1380" t="s">
        <v>2893</v>
      </c>
      <c r="G1380">
        <v>738</v>
      </c>
      <c r="H1380">
        <v>1</v>
      </c>
      <c r="I1380" t="s">
        <v>90</v>
      </c>
      <c r="J1380">
        <v>0</v>
      </c>
      <c r="K1380">
        <v>2</v>
      </c>
      <c r="L1380">
        <v>5</v>
      </c>
      <c r="M1380">
        <v>116</v>
      </c>
      <c r="N1380">
        <v>328</v>
      </c>
      <c r="O1380">
        <v>1</v>
      </c>
      <c r="P1380">
        <v>328</v>
      </c>
      <c r="Q1380">
        <v>0</v>
      </c>
      <c r="R1380">
        <v>168</v>
      </c>
      <c r="S1380">
        <v>2</v>
      </c>
      <c r="T1380">
        <v>7</v>
      </c>
      <c r="U1380">
        <v>95</v>
      </c>
      <c r="V1380">
        <v>1</v>
      </c>
      <c r="X1380">
        <v>1</v>
      </c>
      <c r="Y1380">
        <v>13</v>
      </c>
      <c r="Z1380">
        <v>3</v>
      </c>
      <c r="AC1380">
        <v>0</v>
      </c>
      <c r="AD1380">
        <v>0</v>
      </c>
      <c r="AE1380">
        <v>0</v>
      </c>
      <c r="AF1380">
        <v>0</v>
      </c>
      <c r="AG1380">
        <v>7</v>
      </c>
      <c r="AH1380">
        <v>5</v>
      </c>
      <c r="AI1380">
        <v>0</v>
      </c>
      <c r="AJ1380">
        <v>0</v>
      </c>
      <c r="AK1380">
        <v>4</v>
      </c>
      <c r="AL1380">
        <v>4</v>
      </c>
      <c r="AM1380">
        <v>0</v>
      </c>
      <c r="AN1380">
        <v>0</v>
      </c>
      <c r="BC1380">
        <v>0</v>
      </c>
      <c r="BD1380">
        <v>18</v>
      </c>
      <c r="BE1380">
        <v>328</v>
      </c>
      <c r="BF1380">
        <v>328</v>
      </c>
      <c r="BG1380">
        <v>422</v>
      </c>
      <c r="BJ1380">
        <v>1</v>
      </c>
      <c r="BL1380" t="s">
        <v>2894</v>
      </c>
      <c r="BM1380" s="4">
        <v>43283.493750000001</v>
      </c>
      <c r="BN1380" s="4">
        <v>43283.498796296299</v>
      </c>
      <c r="BO1380" s="4">
        <v>43283.498796296299</v>
      </c>
      <c r="BP1380" t="s">
        <v>92</v>
      </c>
      <c r="BQ1380" t="s">
        <v>93</v>
      </c>
      <c r="BR1380" t="s">
        <v>94</v>
      </c>
    </row>
    <row r="1381" spans="1:70" x14ac:dyDescent="0.3">
      <c r="A1381" t="str">
        <f>"200738C0100"</f>
        <v>200738C0100</v>
      </c>
      <c r="B1381" t="s">
        <v>2895</v>
      </c>
      <c r="C1381">
        <v>20</v>
      </c>
      <c r="D1381" t="s">
        <v>88</v>
      </c>
      <c r="E1381">
        <v>85</v>
      </c>
      <c r="F1381" t="s">
        <v>2893</v>
      </c>
      <c r="G1381">
        <v>738</v>
      </c>
      <c r="H1381">
        <v>1</v>
      </c>
      <c r="I1381" t="s">
        <v>98</v>
      </c>
      <c r="J1381">
        <v>0</v>
      </c>
      <c r="K1381">
        <v>2</v>
      </c>
      <c r="L1381">
        <v>5</v>
      </c>
      <c r="M1381">
        <v>109</v>
      </c>
      <c r="N1381">
        <v>334</v>
      </c>
      <c r="O1381">
        <v>1</v>
      </c>
      <c r="P1381">
        <v>334</v>
      </c>
      <c r="Q1381">
        <v>2</v>
      </c>
      <c r="R1381">
        <v>152</v>
      </c>
      <c r="S1381">
        <v>4</v>
      </c>
      <c r="T1381">
        <v>15</v>
      </c>
      <c r="U1381">
        <v>105</v>
      </c>
      <c r="V1381">
        <v>0</v>
      </c>
      <c r="X1381">
        <v>1</v>
      </c>
      <c r="Y1381">
        <v>14</v>
      </c>
      <c r="Z1381">
        <v>0</v>
      </c>
      <c r="AC1381">
        <v>0</v>
      </c>
      <c r="AD1381">
        <v>0</v>
      </c>
      <c r="AE1381">
        <v>0</v>
      </c>
      <c r="AF1381">
        <v>0</v>
      </c>
      <c r="AG1381">
        <v>6</v>
      </c>
      <c r="AH1381">
        <v>14</v>
      </c>
      <c r="AI1381">
        <v>1</v>
      </c>
      <c r="AJ1381">
        <v>0</v>
      </c>
      <c r="AK1381">
        <v>4</v>
      </c>
      <c r="AL1381">
        <v>6</v>
      </c>
      <c r="AM1381">
        <v>0</v>
      </c>
      <c r="AN1381">
        <v>0</v>
      </c>
      <c r="BC1381">
        <v>0</v>
      </c>
      <c r="BD1381">
        <v>10</v>
      </c>
      <c r="BE1381">
        <v>334</v>
      </c>
      <c r="BF1381">
        <v>334</v>
      </c>
      <c r="BG1381">
        <v>421</v>
      </c>
      <c r="BJ1381">
        <v>1</v>
      </c>
      <c r="BL1381" t="s">
        <v>2896</v>
      </c>
      <c r="BM1381" s="4">
        <v>43283.493055555555</v>
      </c>
      <c r="BN1381" s="4">
        <v>43283.499178240738</v>
      </c>
      <c r="BO1381" s="4">
        <v>43283.499178240738</v>
      </c>
      <c r="BP1381" t="s">
        <v>92</v>
      </c>
      <c r="BQ1381" t="s">
        <v>93</v>
      </c>
      <c r="BR1381" t="s">
        <v>94</v>
      </c>
    </row>
    <row r="1382" spans="1:70" x14ac:dyDescent="0.3">
      <c r="A1382" t="str">
        <f>"200739B0100"</f>
        <v>200739B0100</v>
      </c>
      <c r="B1382" t="s">
        <v>2897</v>
      </c>
      <c r="C1382">
        <v>20</v>
      </c>
      <c r="D1382" t="s">
        <v>88</v>
      </c>
      <c r="E1382">
        <v>85</v>
      </c>
      <c r="F1382" t="s">
        <v>2893</v>
      </c>
      <c r="G1382">
        <v>739</v>
      </c>
      <c r="H1382">
        <v>1</v>
      </c>
      <c r="I1382" t="s">
        <v>90</v>
      </c>
      <c r="J1382">
        <v>0</v>
      </c>
      <c r="K1382">
        <v>2</v>
      </c>
      <c r="L1382">
        <v>5</v>
      </c>
      <c r="M1382">
        <v>135</v>
      </c>
      <c r="N1382">
        <v>389</v>
      </c>
      <c r="O1382">
        <v>1</v>
      </c>
      <c r="P1382">
        <v>389</v>
      </c>
      <c r="Q1382">
        <v>1</v>
      </c>
      <c r="R1382">
        <v>61</v>
      </c>
      <c r="S1382">
        <v>3</v>
      </c>
      <c r="T1382">
        <v>25</v>
      </c>
      <c r="U1382">
        <v>242</v>
      </c>
      <c r="V1382">
        <v>1</v>
      </c>
      <c r="X1382">
        <v>0</v>
      </c>
      <c r="Y1382">
        <v>18</v>
      </c>
      <c r="Z1382">
        <v>2</v>
      </c>
      <c r="AC1382">
        <v>0</v>
      </c>
      <c r="AD1382">
        <v>0</v>
      </c>
      <c r="AE1382">
        <v>0</v>
      </c>
      <c r="AF1382">
        <v>0</v>
      </c>
      <c r="AG1382">
        <v>1</v>
      </c>
      <c r="AH1382">
        <v>4</v>
      </c>
      <c r="AI1382">
        <v>0</v>
      </c>
      <c r="AJ1382">
        <v>0</v>
      </c>
      <c r="AK1382">
        <v>7</v>
      </c>
      <c r="AL1382">
        <v>6</v>
      </c>
      <c r="AM1382">
        <v>0</v>
      </c>
      <c r="AN1382">
        <v>1</v>
      </c>
      <c r="BC1382">
        <v>0</v>
      </c>
      <c r="BD1382">
        <v>17</v>
      </c>
      <c r="BE1382">
        <v>389</v>
      </c>
      <c r="BF1382">
        <v>389</v>
      </c>
      <c r="BG1382">
        <v>502</v>
      </c>
      <c r="BJ1382">
        <v>1</v>
      </c>
      <c r="BL1382" t="s">
        <v>2898</v>
      </c>
      <c r="BM1382" s="4">
        <v>43283.496527777781</v>
      </c>
      <c r="BN1382" s="4">
        <v>43283.50277777778</v>
      </c>
      <c r="BO1382" s="4">
        <v>43283.50277777778</v>
      </c>
      <c r="BP1382" t="s">
        <v>92</v>
      </c>
      <c r="BQ1382" t="s">
        <v>93</v>
      </c>
      <c r="BR1382" t="s">
        <v>94</v>
      </c>
    </row>
    <row r="1383" spans="1:70" x14ac:dyDescent="0.3">
      <c r="A1383" t="str">
        <f>"200740B0100"</f>
        <v>200740B0100</v>
      </c>
      <c r="B1383" t="s">
        <v>2899</v>
      </c>
      <c r="C1383">
        <v>20</v>
      </c>
      <c r="D1383" t="s">
        <v>88</v>
      </c>
      <c r="E1383">
        <v>85</v>
      </c>
      <c r="F1383" t="s">
        <v>2893</v>
      </c>
      <c r="G1383">
        <v>740</v>
      </c>
      <c r="H1383">
        <v>1</v>
      </c>
      <c r="I1383" t="s">
        <v>90</v>
      </c>
      <c r="J1383">
        <v>0</v>
      </c>
      <c r="K1383">
        <v>2</v>
      </c>
      <c r="L1383">
        <v>5</v>
      </c>
      <c r="M1383">
        <v>169</v>
      </c>
      <c r="N1383">
        <v>504</v>
      </c>
      <c r="O1383">
        <v>1</v>
      </c>
      <c r="P1383">
        <v>504</v>
      </c>
      <c r="Q1383">
        <v>0</v>
      </c>
      <c r="R1383">
        <v>208</v>
      </c>
      <c r="S1383">
        <v>8</v>
      </c>
      <c r="T1383">
        <v>12</v>
      </c>
      <c r="U1383">
        <v>206</v>
      </c>
      <c r="V1383">
        <v>1</v>
      </c>
      <c r="X1383">
        <v>4</v>
      </c>
      <c r="Y1383">
        <v>15</v>
      </c>
      <c r="Z1383">
        <v>5</v>
      </c>
      <c r="AC1383">
        <v>0</v>
      </c>
      <c r="AD1383">
        <v>0</v>
      </c>
      <c r="AE1383">
        <v>0</v>
      </c>
      <c r="AF1383">
        <v>0</v>
      </c>
      <c r="AG1383">
        <v>0</v>
      </c>
      <c r="AH1383">
        <v>4</v>
      </c>
      <c r="AI1383">
        <v>0</v>
      </c>
      <c r="AJ1383">
        <v>0</v>
      </c>
      <c r="AK1383">
        <v>9</v>
      </c>
      <c r="AL1383">
        <v>9</v>
      </c>
      <c r="AM1383">
        <v>1</v>
      </c>
      <c r="AN1383">
        <v>1</v>
      </c>
      <c r="BC1383">
        <v>0</v>
      </c>
      <c r="BD1383">
        <v>21</v>
      </c>
      <c r="BE1383">
        <v>504</v>
      </c>
      <c r="BF1383">
        <v>504</v>
      </c>
      <c r="BG1383">
        <v>651</v>
      </c>
      <c r="BJ1383">
        <v>1</v>
      </c>
      <c r="BL1383" t="s">
        <v>2900</v>
      </c>
      <c r="BM1383" s="4">
        <v>43283.495833333334</v>
      </c>
      <c r="BN1383" s="4">
        <v>43283.501851851855</v>
      </c>
      <c r="BO1383" s="4">
        <v>43283.501851851855</v>
      </c>
      <c r="BP1383" t="s">
        <v>92</v>
      </c>
      <c r="BQ1383" t="s">
        <v>93</v>
      </c>
      <c r="BR1383" t="s">
        <v>94</v>
      </c>
    </row>
    <row r="1384" spans="1:70" x14ac:dyDescent="0.3">
      <c r="A1384" t="str">
        <f>"200741B0100"</f>
        <v>200741B0100</v>
      </c>
      <c r="B1384" t="s">
        <v>2901</v>
      </c>
      <c r="C1384">
        <v>20</v>
      </c>
      <c r="D1384" t="s">
        <v>88</v>
      </c>
      <c r="E1384">
        <v>86</v>
      </c>
      <c r="F1384" t="s">
        <v>2902</v>
      </c>
      <c r="G1384">
        <v>741</v>
      </c>
      <c r="H1384">
        <v>1</v>
      </c>
      <c r="I1384" t="s">
        <v>90</v>
      </c>
      <c r="J1384">
        <v>0</v>
      </c>
      <c r="K1384">
        <v>2</v>
      </c>
      <c r="L1384">
        <v>5</v>
      </c>
      <c r="M1384" t="s">
        <v>105</v>
      </c>
      <c r="N1384" t="s">
        <v>105</v>
      </c>
      <c r="O1384" t="s">
        <v>105</v>
      </c>
      <c r="P1384" t="s">
        <v>105</v>
      </c>
      <c r="Q1384">
        <v>3</v>
      </c>
      <c r="R1384">
        <v>32</v>
      </c>
      <c r="S1384">
        <v>213</v>
      </c>
      <c r="T1384">
        <v>32</v>
      </c>
      <c r="U1384">
        <v>0</v>
      </c>
      <c r="V1384">
        <v>0</v>
      </c>
      <c r="X1384">
        <v>0</v>
      </c>
      <c r="Y1384">
        <v>3</v>
      </c>
      <c r="Z1384">
        <v>0</v>
      </c>
      <c r="AC1384">
        <v>1</v>
      </c>
      <c r="AD1384">
        <v>2</v>
      </c>
      <c r="AE1384">
        <v>0</v>
      </c>
      <c r="AF1384">
        <v>1</v>
      </c>
      <c r="AG1384">
        <v>2</v>
      </c>
      <c r="AH1384">
        <v>5</v>
      </c>
      <c r="AI1384">
        <v>0</v>
      </c>
      <c r="AJ1384">
        <v>0</v>
      </c>
      <c r="AK1384">
        <v>0</v>
      </c>
      <c r="AL1384">
        <v>0</v>
      </c>
      <c r="AM1384">
        <v>0</v>
      </c>
      <c r="AN1384">
        <v>0</v>
      </c>
      <c r="BC1384">
        <v>0</v>
      </c>
      <c r="BD1384">
        <v>14</v>
      </c>
      <c r="BE1384">
        <v>308</v>
      </c>
      <c r="BF1384">
        <v>308</v>
      </c>
      <c r="BG1384">
        <v>426</v>
      </c>
      <c r="BJ1384">
        <v>1</v>
      </c>
      <c r="BL1384" t="s">
        <v>2903</v>
      </c>
      <c r="BM1384" s="4">
        <v>43283.463194444441</v>
      </c>
      <c r="BN1384" s="4">
        <v>43283.468553240738</v>
      </c>
      <c r="BO1384" s="4">
        <v>43283.468553240738</v>
      </c>
      <c r="BP1384" t="s">
        <v>92</v>
      </c>
      <c r="BQ1384" t="s">
        <v>93</v>
      </c>
      <c r="BR1384" t="s">
        <v>94</v>
      </c>
    </row>
    <row r="1385" spans="1:70" x14ac:dyDescent="0.3">
      <c r="A1385" t="str">
        <f>"200741C0100"</f>
        <v>200741C0100</v>
      </c>
      <c r="B1385" t="s">
        <v>2904</v>
      </c>
      <c r="C1385">
        <v>20</v>
      </c>
      <c r="D1385" t="s">
        <v>88</v>
      </c>
      <c r="E1385">
        <v>86</v>
      </c>
      <c r="F1385" t="s">
        <v>2902</v>
      </c>
      <c r="G1385">
        <v>741</v>
      </c>
      <c r="H1385">
        <v>1</v>
      </c>
      <c r="I1385" t="s">
        <v>98</v>
      </c>
      <c r="J1385">
        <v>0</v>
      </c>
      <c r="K1385">
        <v>2</v>
      </c>
      <c r="L1385">
        <v>5</v>
      </c>
      <c r="M1385">
        <v>138</v>
      </c>
      <c r="N1385">
        <v>312</v>
      </c>
      <c r="O1385">
        <v>8</v>
      </c>
      <c r="P1385">
        <v>310</v>
      </c>
      <c r="Q1385">
        <v>3</v>
      </c>
      <c r="R1385">
        <v>23</v>
      </c>
      <c r="S1385">
        <v>200</v>
      </c>
      <c r="T1385">
        <v>52</v>
      </c>
      <c r="U1385">
        <v>2</v>
      </c>
      <c r="V1385">
        <v>0</v>
      </c>
      <c r="X1385">
        <v>0</v>
      </c>
      <c r="Y1385">
        <v>6</v>
      </c>
      <c r="Z1385">
        <v>0</v>
      </c>
      <c r="AC1385">
        <v>0</v>
      </c>
      <c r="AD1385">
        <v>2</v>
      </c>
      <c r="AE1385">
        <v>0</v>
      </c>
      <c r="AF1385">
        <v>2</v>
      </c>
      <c r="AG1385">
        <v>0</v>
      </c>
      <c r="AH1385">
        <v>6</v>
      </c>
      <c r="AI1385">
        <v>0</v>
      </c>
      <c r="AJ1385">
        <v>0</v>
      </c>
      <c r="AK1385">
        <v>0</v>
      </c>
      <c r="AL1385">
        <v>0</v>
      </c>
      <c r="AM1385">
        <v>0</v>
      </c>
      <c r="AN1385">
        <v>0</v>
      </c>
      <c r="BC1385">
        <v>0</v>
      </c>
      <c r="BD1385">
        <v>14</v>
      </c>
      <c r="BE1385">
        <v>310</v>
      </c>
      <c r="BF1385">
        <v>310</v>
      </c>
      <c r="BG1385">
        <v>426</v>
      </c>
      <c r="BJ1385">
        <v>1</v>
      </c>
      <c r="BL1385" s="2" t="s">
        <v>2905</v>
      </c>
      <c r="BM1385" s="4">
        <v>43283.473611111112</v>
      </c>
      <c r="BN1385" s="4">
        <v>43283.484351851854</v>
      </c>
      <c r="BO1385" s="4">
        <v>43283.484351851854</v>
      </c>
      <c r="BP1385" t="s">
        <v>92</v>
      </c>
      <c r="BQ1385" t="s">
        <v>93</v>
      </c>
      <c r="BR1385" t="s">
        <v>94</v>
      </c>
    </row>
    <row r="1386" spans="1:70" x14ac:dyDescent="0.3">
      <c r="A1386" t="str">
        <f>"200741E0100"</f>
        <v>200741E0100</v>
      </c>
      <c r="B1386" s="2" t="s">
        <v>2906</v>
      </c>
      <c r="C1386">
        <v>20</v>
      </c>
      <c r="D1386" t="s">
        <v>88</v>
      </c>
      <c r="E1386">
        <v>86</v>
      </c>
      <c r="F1386" t="s">
        <v>2902</v>
      </c>
      <c r="G1386">
        <v>741</v>
      </c>
      <c r="H1386">
        <v>1</v>
      </c>
      <c r="I1386" t="s">
        <v>156</v>
      </c>
      <c r="J1386">
        <v>0</v>
      </c>
      <c r="K1386">
        <v>2</v>
      </c>
      <c r="L1386">
        <v>5</v>
      </c>
      <c r="M1386">
        <v>145</v>
      </c>
      <c r="N1386" t="s">
        <v>105</v>
      </c>
      <c r="O1386">
        <v>310</v>
      </c>
      <c r="P1386">
        <v>310</v>
      </c>
      <c r="Q1386" t="s">
        <v>105</v>
      </c>
      <c r="R1386" t="s">
        <v>105</v>
      </c>
      <c r="S1386">
        <v>29</v>
      </c>
      <c r="T1386">
        <v>104</v>
      </c>
      <c r="U1386" t="s">
        <v>105</v>
      </c>
      <c r="V1386" t="s">
        <v>105</v>
      </c>
      <c r="X1386" t="s">
        <v>105</v>
      </c>
      <c r="Y1386">
        <v>154</v>
      </c>
      <c r="Z1386" t="s">
        <v>105</v>
      </c>
      <c r="AC1386" t="s">
        <v>105</v>
      </c>
      <c r="AD1386" t="s">
        <v>105</v>
      </c>
      <c r="AE1386" t="s">
        <v>105</v>
      </c>
      <c r="AF1386" t="s">
        <v>105</v>
      </c>
      <c r="AG1386" t="s">
        <v>105</v>
      </c>
      <c r="AH1386" t="s">
        <v>105</v>
      </c>
      <c r="AI1386" t="s">
        <v>105</v>
      </c>
      <c r="AJ1386" t="s">
        <v>105</v>
      </c>
      <c r="AK1386" t="s">
        <v>105</v>
      </c>
      <c r="AL1386" t="s">
        <v>105</v>
      </c>
      <c r="AM1386" t="s">
        <v>105</v>
      </c>
      <c r="AN1386" t="s">
        <v>105</v>
      </c>
      <c r="BC1386" t="s">
        <v>105</v>
      </c>
      <c r="BD1386" t="s">
        <v>105</v>
      </c>
      <c r="BE1386" t="s">
        <v>105</v>
      </c>
      <c r="BF1386">
        <v>287</v>
      </c>
      <c r="BG1386">
        <v>425</v>
      </c>
      <c r="BI1386" t="s">
        <v>106</v>
      </c>
      <c r="BJ1386">
        <v>1</v>
      </c>
      <c r="BL1386" t="s">
        <v>2907</v>
      </c>
      <c r="BM1386" s="4">
        <v>43283.475694444445</v>
      </c>
      <c r="BN1386" s="4">
        <v>43283.481226851851</v>
      </c>
      <c r="BO1386" s="4">
        <v>43283.481226851851</v>
      </c>
      <c r="BP1386" t="s">
        <v>92</v>
      </c>
      <c r="BQ1386" t="s">
        <v>93</v>
      </c>
      <c r="BR1386" t="s">
        <v>94</v>
      </c>
    </row>
    <row r="1387" spans="1:70" x14ac:dyDescent="0.3">
      <c r="A1387" t="str">
        <f>"200742B0100"</f>
        <v>200742B0100</v>
      </c>
      <c r="B1387" t="s">
        <v>2908</v>
      </c>
      <c r="C1387">
        <v>20</v>
      </c>
      <c r="D1387" t="s">
        <v>88</v>
      </c>
      <c r="E1387">
        <v>86</v>
      </c>
      <c r="F1387" t="s">
        <v>2902</v>
      </c>
      <c r="G1387">
        <v>742</v>
      </c>
      <c r="H1387">
        <v>1</v>
      </c>
      <c r="I1387" t="s">
        <v>90</v>
      </c>
      <c r="J1387">
        <v>0</v>
      </c>
      <c r="K1387">
        <v>2</v>
      </c>
      <c r="L1387">
        <v>5</v>
      </c>
      <c r="M1387">
        <v>83</v>
      </c>
      <c r="N1387">
        <v>103</v>
      </c>
      <c r="O1387">
        <v>4</v>
      </c>
      <c r="P1387">
        <v>103</v>
      </c>
      <c r="Q1387">
        <v>1</v>
      </c>
      <c r="R1387">
        <v>10</v>
      </c>
      <c r="S1387">
        <v>41</v>
      </c>
      <c r="T1387">
        <v>5</v>
      </c>
      <c r="U1387">
        <v>7</v>
      </c>
      <c r="V1387">
        <v>0</v>
      </c>
      <c r="X1387">
        <v>0</v>
      </c>
      <c r="Y1387">
        <v>32</v>
      </c>
      <c r="Z1387">
        <v>2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1</v>
      </c>
      <c r="AL1387">
        <v>0</v>
      </c>
      <c r="AM1387">
        <v>0</v>
      </c>
      <c r="AN1387">
        <v>1</v>
      </c>
      <c r="BC1387">
        <v>0</v>
      </c>
      <c r="BD1387">
        <v>4</v>
      </c>
      <c r="BE1387">
        <v>103</v>
      </c>
      <c r="BF1387">
        <v>104</v>
      </c>
      <c r="BG1387">
        <v>164</v>
      </c>
      <c r="BJ1387">
        <v>1</v>
      </c>
      <c r="BL1387" t="s">
        <v>2909</v>
      </c>
      <c r="BM1387" s="4">
        <v>43283.463888888888</v>
      </c>
      <c r="BN1387" s="4">
        <v>43283.467465277776</v>
      </c>
      <c r="BO1387" s="4">
        <v>43283.467465277776</v>
      </c>
      <c r="BP1387" t="s">
        <v>92</v>
      </c>
      <c r="BQ1387" t="s">
        <v>93</v>
      </c>
      <c r="BR1387" t="s">
        <v>94</v>
      </c>
    </row>
    <row r="1388" spans="1:70" x14ac:dyDescent="0.3">
      <c r="A1388" t="str">
        <f>"200742E0100"</f>
        <v>200742E0100</v>
      </c>
      <c r="B1388" s="2" t="s">
        <v>2910</v>
      </c>
      <c r="C1388">
        <v>20</v>
      </c>
      <c r="D1388" t="s">
        <v>88</v>
      </c>
      <c r="E1388">
        <v>86</v>
      </c>
      <c r="F1388" t="s">
        <v>2902</v>
      </c>
      <c r="G1388">
        <v>742</v>
      </c>
      <c r="H1388">
        <v>1</v>
      </c>
      <c r="I1388" t="s">
        <v>156</v>
      </c>
      <c r="J1388">
        <v>0</v>
      </c>
      <c r="K1388">
        <v>2</v>
      </c>
      <c r="L1388">
        <v>5</v>
      </c>
      <c r="BG1388">
        <v>155</v>
      </c>
      <c r="BI1388" t="s">
        <v>122</v>
      </c>
      <c r="BJ1388">
        <v>0</v>
      </c>
      <c r="BL1388" t="s">
        <v>2911</v>
      </c>
      <c r="BM1388" s="4">
        <v>43283.808333333334</v>
      </c>
      <c r="BN1388" s="4">
        <v>43283.809583333335</v>
      </c>
      <c r="BO1388" s="4">
        <v>43283.809583333335</v>
      </c>
      <c r="BP1388" t="s">
        <v>92</v>
      </c>
      <c r="BQ1388" t="s">
        <v>93</v>
      </c>
      <c r="BR1388" t="s">
        <v>94</v>
      </c>
    </row>
    <row r="1389" spans="1:70" x14ac:dyDescent="0.3">
      <c r="A1389" t="str">
        <f>"200743B0100"</f>
        <v>200743B0100</v>
      </c>
      <c r="B1389" t="s">
        <v>2912</v>
      </c>
      <c r="C1389">
        <v>20</v>
      </c>
      <c r="D1389" t="s">
        <v>88</v>
      </c>
      <c r="E1389">
        <v>86</v>
      </c>
      <c r="F1389" t="s">
        <v>2902</v>
      </c>
      <c r="G1389">
        <v>743</v>
      </c>
      <c r="H1389">
        <v>1</v>
      </c>
      <c r="I1389" t="s">
        <v>90</v>
      </c>
      <c r="J1389">
        <v>0</v>
      </c>
      <c r="K1389">
        <v>2</v>
      </c>
      <c r="L1389">
        <v>5</v>
      </c>
      <c r="M1389">
        <v>49</v>
      </c>
      <c r="N1389">
        <v>76</v>
      </c>
      <c r="O1389">
        <v>9</v>
      </c>
      <c r="P1389">
        <v>76</v>
      </c>
      <c r="Q1389">
        <v>0</v>
      </c>
      <c r="R1389">
        <v>10</v>
      </c>
      <c r="S1389">
        <v>30</v>
      </c>
      <c r="T1389">
        <v>11</v>
      </c>
      <c r="U1389">
        <v>0</v>
      </c>
      <c r="V1389">
        <v>0</v>
      </c>
      <c r="X1389">
        <v>0</v>
      </c>
      <c r="Y1389">
        <v>18</v>
      </c>
      <c r="Z1389">
        <v>0</v>
      </c>
      <c r="AC1389">
        <v>1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0</v>
      </c>
      <c r="AL1389">
        <v>1</v>
      </c>
      <c r="AM1389">
        <v>0</v>
      </c>
      <c r="AN1389">
        <v>0</v>
      </c>
      <c r="BC1389">
        <v>0</v>
      </c>
      <c r="BD1389">
        <v>5</v>
      </c>
      <c r="BE1389">
        <v>76</v>
      </c>
      <c r="BF1389">
        <v>76</v>
      </c>
      <c r="BG1389">
        <v>103</v>
      </c>
      <c r="BJ1389">
        <v>1</v>
      </c>
      <c r="BL1389" t="s">
        <v>2913</v>
      </c>
      <c r="BM1389" s="4">
        <v>43283.469444444447</v>
      </c>
      <c r="BN1389" s="4">
        <v>43283.476956018516</v>
      </c>
      <c r="BO1389" s="4">
        <v>43283.476956018516</v>
      </c>
      <c r="BP1389" t="s">
        <v>92</v>
      </c>
      <c r="BQ1389" t="s">
        <v>93</v>
      </c>
      <c r="BR1389" t="s">
        <v>94</v>
      </c>
    </row>
    <row r="1390" spans="1:70" x14ac:dyDescent="0.3">
      <c r="A1390" t="str">
        <f>"200744B0100"</f>
        <v>200744B0100</v>
      </c>
      <c r="B1390" t="s">
        <v>2914</v>
      </c>
      <c r="C1390">
        <v>20</v>
      </c>
      <c r="D1390" t="s">
        <v>88</v>
      </c>
      <c r="E1390">
        <v>87</v>
      </c>
      <c r="F1390" t="s">
        <v>2915</v>
      </c>
      <c r="G1390">
        <v>744</v>
      </c>
      <c r="H1390">
        <v>1</v>
      </c>
      <c r="I1390" t="s">
        <v>90</v>
      </c>
      <c r="J1390">
        <v>0</v>
      </c>
      <c r="K1390">
        <v>2</v>
      </c>
      <c r="L1390">
        <v>5</v>
      </c>
      <c r="M1390">
        <v>159</v>
      </c>
      <c r="N1390">
        <v>365</v>
      </c>
      <c r="O1390">
        <v>0</v>
      </c>
      <c r="P1390">
        <v>365</v>
      </c>
      <c r="Q1390">
        <v>2</v>
      </c>
      <c r="R1390">
        <v>106</v>
      </c>
      <c r="S1390">
        <v>2</v>
      </c>
      <c r="U1390">
        <v>1</v>
      </c>
      <c r="V1390">
        <v>1</v>
      </c>
      <c r="W1390">
        <v>95</v>
      </c>
      <c r="X1390">
        <v>105</v>
      </c>
      <c r="Y1390">
        <v>35</v>
      </c>
      <c r="Z1390">
        <v>0</v>
      </c>
      <c r="AC1390">
        <v>0</v>
      </c>
      <c r="AD1390">
        <v>0</v>
      </c>
      <c r="AE1390">
        <v>0</v>
      </c>
      <c r="AF1390">
        <v>0</v>
      </c>
      <c r="AK1390">
        <v>1</v>
      </c>
      <c r="AL1390">
        <v>0</v>
      </c>
      <c r="AM1390">
        <v>0</v>
      </c>
      <c r="AN1390">
        <v>0</v>
      </c>
      <c r="BC1390">
        <v>0</v>
      </c>
      <c r="BD1390">
        <v>17</v>
      </c>
      <c r="BE1390">
        <v>365</v>
      </c>
      <c r="BF1390">
        <v>365</v>
      </c>
      <c r="BG1390">
        <v>504</v>
      </c>
      <c r="BJ1390">
        <v>1</v>
      </c>
      <c r="BL1390" t="s">
        <v>2916</v>
      </c>
      <c r="BM1390" s="4">
        <v>43283.254224537035</v>
      </c>
      <c r="BN1390" s="4">
        <v>43283.291388888887</v>
      </c>
      <c r="BO1390" s="4">
        <v>43283.291388888887</v>
      </c>
      <c r="BP1390" t="s">
        <v>92</v>
      </c>
      <c r="BQ1390" t="s">
        <v>93</v>
      </c>
      <c r="BR1390" t="s">
        <v>94</v>
      </c>
    </row>
    <row r="1391" spans="1:70" x14ac:dyDescent="0.3">
      <c r="A1391" t="str">
        <f>"200744C0100"</f>
        <v>200744C0100</v>
      </c>
      <c r="B1391" t="s">
        <v>2917</v>
      </c>
      <c r="C1391">
        <v>20</v>
      </c>
      <c r="D1391" t="s">
        <v>88</v>
      </c>
      <c r="E1391">
        <v>87</v>
      </c>
      <c r="F1391" t="s">
        <v>2915</v>
      </c>
      <c r="G1391">
        <v>744</v>
      </c>
      <c r="H1391">
        <v>1</v>
      </c>
      <c r="I1391" t="s">
        <v>98</v>
      </c>
      <c r="J1391">
        <v>0</v>
      </c>
      <c r="K1391">
        <v>2</v>
      </c>
      <c r="L1391">
        <v>5</v>
      </c>
      <c r="M1391">
        <v>153</v>
      </c>
      <c r="N1391">
        <v>0</v>
      </c>
      <c r="O1391">
        <v>0</v>
      </c>
      <c r="P1391">
        <v>371</v>
      </c>
      <c r="Q1391">
        <v>1</v>
      </c>
      <c r="R1391">
        <v>105</v>
      </c>
      <c r="S1391">
        <v>1</v>
      </c>
      <c r="U1391">
        <v>1</v>
      </c>
      <c r="V1391">
        <v>2</v>
      </c>
      <c r="W1391">
        <v>89</v>
      </c>
      <c r="X1391">
        <v>99</v>
      </c>
      <c r="Y1391">
        <v>56</v>
      </c>
      <c r="Z1391">
        <v>0</v>
      </c>
      <c r="AC1391">
        <v>0</v>
      </c>
      <c r="AD1391">
        <v>0</v>
      </c>
      <c r="AE1391">
        <v>0</v>
      </c>
      <c r="AF1391">
        <v>0</v>
      </c>
      <c r="AK1391">
        <v>0</v>
      </c>
      <c r="AL1391">
        <v>0</v>
      </c>
      <c r="AM1391">
        <v>0</v>
      </c>
      <c r="AN1391">
        <v>0</v>
      </c>
      <c r="BC1391">
        <v>0</v>
      </c>
      <c r="BD1391">
        <v>17</v>
      </c>
      <c r="BE1391">
        <v>371</v>
      </c>
      <c r="BF1391">
        <v>371</v>
      </c>
      <c r="BG1391">
        <v>504</v>
      </c>
      <c r="BJ1391">
        <v>1</v>
      </c>
      <c r="BL1391" t="s">
        <v>2918</v>
      </c>
      <c r="BM1391" s="4">
        <v>43283.252233796295</v>
      </c>
      <c r="BN1391" s="4">
        <v>43283.275972222225</v>
      </c>
      <c r="BO1391" s="4">
        <v>43283.275972222225</v>
      </c>
      <c r="BP1391" t="s">
        <v>92</v>
      </c>
      <c r="BQ1391" t="s">
        <v>93</v>
      </c>
      <c r="BR1391" t="s">
        <v>94</v>
      </c>
    </row>
    <row r="1392" spans="1:70" x14ac:dyDescent="0.3">
      <c r="A1392" t="str">
        <f>"200744C0200"</f>
        <v>200744C0200</v>
      </c>
      <c r="B1392" t="s">
        <v>2919</v>
      </c>
      <c r="C1392">
        <v>20</v>
      </c>
      <c r="D1392" t="s">
        <v>88</v>
      </c>
      <c r="E1392">
        <v>87</v>
      </c>
      <c r="F1392" t="s">
        <v>2915</v>
      </c>
      <c r="G1392">
        <v>744</v>
      </c>
      <c r="H1392">
        <v>2</v>
      </c>
      <c r="I1392" t="s">
        <v>98</v>
      </c>
      <c r="J1392">
        <v>0</v>
      </c>
      <c r="K1392">
        <v>2</v>
      </c>
      <c r="L1392">
        <v>5</v>
      </c>
      <c r="M1392">
        <v>155</v>
      </c>
      <c r="N1392">
        <v>371</v>
      </c>
      <c r="O1392" t="s">
        <v>105</v>
      </c>
      <c r="P1392">
        <v>371</v>
      </c>
      <c r="Q1392">
        <v>3</v>
      </c>
      <c r="R1392">
        <v>98</v>
      </c>
      <c r="S1392" t="s">
        <v>105</v>
      </c>
      <c r="U1392">
        <v>1</v>
      </c>
      <c r="V1392">
        <v>1</v>
      </c>
      <c r="W1392">
        <v>95</v>
      </c>
      <c r="X1392">
        <v>94</v>
      </c>
      <c r="Y1392">
        <v>58</v>
      </c>
      <c r="Z1392" t="s">
        <v>105</v>
      </c>
      <c r="AC1392" t="s">
        <v>105</v>
      </c>
      <c r="AD1392" t="s">
        <v>105</v>
      </c>
      <c r="AE1392" t="s">
        <v>105</v>
      </c>
      <c r="AF1392" t="s">
        <v>105</v>
      </c>
      <c r="AK1392">
        <v>1</v>
      </c>
      <c r="AL1392" t="s">
        <v>105</v>
      </c>
      <c r="AM1392" t="s">
        <v>105</v>
      </c>
      <c r="AN1392">
        <v>1</v>
      </c>
      <c r="BC1392" t="s">
        <v>105</v>
      </c>
      <c r="BD1392">
        <v>19</v>
      </c>
      <c r="BE1392">
        <v>371</v>
      </c>
      <c r="BF1392">
        <v>371</v>
      </c>
      <c r="BG1392">
        <v>504</v>
      </c>
      <c r="BI1392" t="s">
        <v>106</v>
      </c>
      <c r="BJ1392">
        <v>1</v>
      </c>
      <c r="BL1392" s="2" t="s">
        <v>2920</v>
      </c>
      <c r="BM1392" s="4">
        <v>43283.251296296294</v>
      </c>
      <c r="BN1392" s="4">
        <v>43283.274398148147</v>
      </c>
      <c r="BO1392" s="4">
        <v>43283.274398148147</v>
      </c>
      <c r="BP1392" t="s">
        <v>92</v>
      </c>
      <c r="BQ1392" t="s">
        <v>93</v>
      </c>
      <c r="BR1392" t="s">
        <v>94</v>
      </c>
    </row>
    <row r="1393" spans="1:70" x14ac:dyDescent="0.3">
      <c r="A1393" t="str">
        <f>"200745B0100"</f>
        <v>200745B0100</v>
      </c>
      <c r="B1393" t="s">
        <v>2921</v>
      </c>
      <c r="C1393">
        <v>20</v>
      </c>
      <c r="D1393" t="s">
        <v>88</v>
      </c>
      <c r="E1393">
        <v>87</v>
      </c>
      <c r="F1393" t="s">
        <v>2915</v>
      </c>
      <c r="G1393">
        <v>745</v>
      </c>
      <c r="H1393">
        <v>1</v>
      </c>
      <c r="I1393" t="s">
        <v>90</v>
      </c>
      <c r="J1393">
        <v>0</v>
      </c>
      <c r="K1393">
        <v>2</v>
      </c>
      <c r="L1393">
        <v>5</v>
      </c>
      <c r="M1393">
        <v>220</v>
      </c>
      <c r="N1393">
        <v>530</v>
      </c>
      <c r="O1393">
        <v>0</v>
      </c>
      <c r="P1393">
        <v>528</v>
      </c>
      <c r="Q1393">
        <v>0</v>
      </c>
      <c r="R1393">
        <v>211</v>
      </c>
      <c r="S1393">
        <v>4</v>
      </c>
      <c r="U1393">
        <v>3</v>
      </c>
      <c r="V1393">
        <v>3</v>
      </c>
      <c r="W1393">
        <v>104</v>
      </c>
      <c r="X1393">
        <v>107</v>
      </c>
      <c r="Y1393">
        <v>71</v>
      </c>
      <c r="Z1393">
        <v>3</v>
      </c>
      <c r="AC1393">
        <v>0</v>
      </c>
      <c r="AD1393">
        <v>0</v>
      </c>
      <c r="AE1393">
        <v>0</v>
      </c>
      <c r="AF1393">
        <v>0</v>
      </c>
      <c r="AK1393">
        <v>1</v>
      </c>
      <c r="AL1393">
        <v>1</v>
      </c>
      <c r="AM1393">
        <v>0</v>
      </c>
      <c r="AN1393">
        <v>0</v>
      </c>
      <c r="BC1393">
        <v>0</v>
      </c>
      <c r="BD1393">
        <v>20</v>
      </c>
      <c r="BE1393">
        <v>528</v>
      </c>
      <c r="BF1393">
        <v>528</v>
      </c>
      <c r="BG1393">
        <v>729</v>
      </c>
      <c r="BJ1393">
        <v>1</v>
      </c>
      <c r="BL1393" t="s">
        <v>2922</v>
      </c>
      <c r="BM1393" s="4">
        <v>43283.263807870368</v>
      </c>
      <c r="BN1393" s="4">
        <v>43283.301192129627</v>
      </c>
      <c r="BO1393" s="4">
        <v>43283.301192129627</v>
      </c>
      <c r="BP1393" t="s">
        <v>92</v>
      </c>
      <c r="BQ1393" t="s">
        <v>93</v>
      </c>
      <c r="BR1393" t="s">
        <v>94</v>
      </c>
    </row>
    <row r="1394" spans="1:70" x14ac:dyDescent="0.3">
      <c r="A1394" t="str">
        <f>"200745C0100"</f>
        <v>200745C0100</v>
      </c>
      <c r="B1394" t="s">
        <v>2923</v>
      </c>
      <c r="C1394">
        <v>20</v>
      </c>
      <c r="D1394" t="s">
        <v>88</v>
      </c>
      <c r="E1394">
        <v>87</v>
      </c>
      <c r="F1394" t="s">
        <v>2915</v>
      </c>
      <c r="G1394">
        <v>745</v>
      </c>
      <c r="H1394">
        <v>1</v>
      </c>
      <c r="I1394" t="s">
        <v>98</v>
      </c>
      <c r="J1394">
        <v>0</v>
      </c>
      <c r="K1394">
        <v>2</v>
      </c>
      <c r="L1394">
        <v>5</v>
      </c>
      <c r="M1394">
        <v>237</v>
      </c>
      <c r="N1394">
        <v>514</v>
      </c>
      <c r="O1394">
        <v>0</v>
      </c>
      <c r="P1394">
        <v>516</v>
      </c>
      <c r="Q1394">
        <v>3</v>
      </c>
      <c r="R1394">
        <v>206</v>
      </c>
      <c r="S1394">
        <v>2</v>
      </c>
      <c r="U1394">
        <v>4</v>
      </c>
      <c r="V1394">
        <v>3</v>
      </c>
      <c r="W1394">
        <v>92</v>
      </c>
      <c r="X1394">
        <v>100</v>
      </c>
      <c r="Y1394">
        <v>75</v>
      </c>
      <c r="Z1394">
        <v>4</v>
      </c>
      <c r="AC1394">
        <v>0</v>
      </c>
      <c r="AD1394">
        <v>0</v>
      </c>
      <c r="AE1394">
        <v>0</v>
      </c>
      <c r="AF1394">
        <v>0</v>
      </c>
      <c r="AK1394">
        <v>2</v>
      </c>
      <c r="AL1394">
        <v>0</v>
      </c>
      <c r="AM1394">
        <v>0</v>
      </c>
      <c r="AN1394">
        <v>1</v>
      </c>
      <c r="BC1394">
        <v>0</v>
      </c>
      <c r="BD1394">
        <v>24</v>
      </c>
      <c r="BE1394" t="s">
        <v>127</v>
      </c>
      <c r="BF1394">
        <v>516</v>
      </c>
      <c r="BG1394">
        <v>729</v>
      </c>
      <c r="BJ1394">
        <v>1</v>
      </c>
      <c r="BL1394" t="s">
        <v>2924</v>
      </c>
      <c r="BM1394" s="4">
        <v>43283.257789351854</v>
      </c>
      <c r="BN1394" s="4">
        <v>43283.284537037034</v>
      </c>
      <c r="BO1394" s="4">
        <v>43283.284537037034</v>
      </c>
      <c r="BP1394" t="s">
        <v>92</v>
      </c>
      <c r="BQ1394" t="s">
        <v>93</v>
      </c>
      <c r="BR1394" t="s">
        <v>94</v>
      </c>
    </row>
    <row r="1395" spans="1:70" x14ac:dyDescent="0.3">
      <c r="A1395" t="str">
        <f>"200746B0100"</f>
        <v>200746B0100</v>
      </c>
      <c r="B1395" t="s">
        <v>2925</v>
      </c>
      <c r="C1395">
        <v>20</v>
      </c>
      <c r="D1395" t="s">
        <v>88</v>
      </c>
      <c r="E1395">
        <v>87</v>
      </c>
      <c r="F1395" t="s">
        <v>2915</v>
      </c>
      <c r="G1395">
        <v>746</v>
      </c>
      <c r="H1395">
        <v>1</v>
      </c>
      <c r="I1395" t="s">
        <v>90</v>
      </c>
      <c r="J1395">
        <v>0</v>
      </c>
      <c r="K1395">
        <v>2</v>
      </c>
      <c r="L1395">
        <v>5</v>
      </c>
      <c r="M1395">
        <v>182</v>
      </c>
      <c r="N1395">
        <v>557</v>
      </c>
      <c r="O1395">
        <v>0</v>
      </c>
      <c r="P1395">
        <v>557</v>
      </c>
      <c r="Q1395">
        <v>3</v>
      </c>
      <c r="R1395">
        <v>165</v>
      </c>
      <c r="S1395">
        <v>3</v>
      </c>
      <c r="U1395">
        <v>0</v>
      </c>
      <c r="V1395">
        <v>4</v>
      </c>
      <c r="W1395">
        <v>176</v>
      </c>
      <c r="X1395">
        <v>139</v>
      </c>
      <c r="Y1395">
        <v>50</v>
      </c>
      <c r="Z1395">
        <v>0</v>
      </c>
      <c r="AC1395">
        <v>0</v>
      </c>
      <c r="AD1395">
        <v>0</v>
      </c>
      <c r="AE1395">
        <v>0</v>
      </c>
      <c r="AF1395">
        <v>0</v>
      </c>
      <c r="AK1395">
        <v>0</v>
      </c>
      <c r="AL1395">
        <v>0</v>
      </c>
      <c r="AM1395">
        <v>0</v>
      </c>
      <c r="AN1395">
        <v>0</v>
      </c>
      <c r="BC1395">
        <v>0</v>
      </c>
      <c r="BD1395">
        <v>17</v>
      </c>
      <c r="BE1395">
        <v>557</v>
      </c>
      <c r="BF1395">
        <v>557</v>
      </c>
      <c r="BG1395">
        <v>718</v>
      </c>
      <c r="BJ1395">
        <v>1</v>
      </c>
      <c r="BL1395" t="s">
        <v>2926</v>
      </c>
      <c r="BM1395" s="4">
        <v>43283.260960648149</v>
      </c>
      <c r="BN1395" s="4">
        <v>43283.287754629629</v>
      </c>
      <c r="BO1395" s="4">
        <v>43283.287754629629</v>
      </c>
      <c r="BP1395" t="s">
        <v>92</v>
      </c>
      <c r="BQ1395" t="s">
        <v>93</v>
      </c>
      <c r="BR1395" t="s">
        <v>94</v>
      </c>
    </row>
    <row r="1396" spans="1:70" x14ac:dyDescent="0.3">
      <c r="A1396" t="str">
        <f>"200746C0100"</f>
        <v>200746C0100</v>
      </c>
      <c r="B1396" t="s">
        <v>2927</v>
      </c>
      <c r="C1396">
        <v>20</v>
      </c>
      <c r="D1396" t="s">
        <v>88</v>
      </c>
      <c r="E1396">
        <v>87</v>
      </c>
      <c r="F1396" t="s">
        <v>2915</v>
      </c>
      <c r="G1396">
        <v>746</v>
      </c>
      <c r="H1396">
        <v>1</v>
      </c>
      <c r="I1396" t="s">
        <v>98</v>
      </c>
      <c r="J1396">
        <v>0</v>
      </c>
      <c r="K1396">
        <v>2</v>
      </c>
      <c r="L1396">
        <v>5</v>
      </c>
      <c r="M1396">
        <v>200</v>
      </c>
      <c r="N1396">
        <v>539</v>
      </c>
      <c r="O1396">
        <v>0</v>
      </c>
      <c r="P1396">
        <v>539</v>
      </c>
      <c r="Q1396">
        <v>0</v>
      </c>
      <c r="R1396">
        <v>159</v>
      </c>
      <c r="S1396">
        <v>1</v>
      </c>
      <c r="U1396">
        <v>2</v>
      </c>
      <c r="V1396">
        <v>2</v>
      </c>
      <c r="W1396">
        <v>172</v>
      </c>
      <c r="X1396">
        <v>123</v>
      </c>
      <c r="Y1396">
        <v>46</v>
      </c>
      <c r="Z1396">
        <v>1</v>
      </c>
      <c r="AC1396">
        <v>0</v>
      </c>
      <c r="AD1396">
        <v>0</v>
      </c>
      <c r="AE1396">
        <v>0</v>
      </c>
      <c r="AF1396">
        <v>0</v>
      </c>
      <c r="AK1396">
        <v>0</v>
      </c>
      <c r="AL1396">
        <v>0</v>
      </c>
      <c r="AM1396">
        <v>0</v>
      </c>
      <c r="AN1396">
        <v>0</v>
      </c>
      <c r="BC1396">
        <v>1</v>
      </c>
      <c r="BD1396">
        <v>32</v>
      </c>
      <c r="BE1396">
        <v>539</v>
      </c>
      <c r="BF1396">
        <v>539</v>
      </c>
      <c r="BG1396">
        <v>717</v>
      </c>
      <c r="BJ1396">
        <v>1</v>
      </c>
      <c r="BL1396" t="s">
        <v>2928</v>
      </c>
      <c r="BM1396" s="4">
        <v>43283.256203703706</v>
      </c>
      <c r="BN1396" s="4">
        <v>43283.27957175926</v>
      </c>
      <c r="BO1396" s="4">
        <v>43283.27957175926</v>
      </c>
      <c r="BP1396" t="s">
        <v>92</v>
      </c>
      <c r="BQ1396" t="s">
        <v>93</v>
      </c>
      <c r="BR1396" t="s">
        <v>94</v>
      </c>
    </row>
    <row r="1397" spans="1:70" x14ac:dyDescent="0.3">
      <c r="A1397" t="str">
        <f>"200764B0100"</f>
        <v>200764B0100</v>
      </c>
      <c r="B1397" t="s">
        <v>2929</v>
      </c>
      <c r="C1397">
        <v>20</v>
      </c>
      <c r="D1397" t="s">
        <v>88</v>
      </c>
      <c r="E1397">
        <v>99</v>
      </c>
      <c r="F1397" t="s">
        <v>2930</v>
      </c>
      <c r="G1397">
        <v>764</v>
      </c>
      <c r="H1397">
        <v>1</v>
      </c>
      <c r="I1397" t="s">
        <v>90</v>
      </c>
      <c r="J1397">
        <v>0</v>
      </c>
      <c r="K1397">
        <v>2</v>
      </c>
      <c r="L1397">
        <v>5</v>
      </c>
      <c r="M1397">
        <v>125</v>
      </c>
      <c r="N1397">
        <v>495</v>
      </c>
      <c r="O1397">
        <v>0</v>
      </c>
      <c r="P1397">
        <v>15</v>
      </c>
      <c r="Q1397">
        <v>2</v>
      </c>
      <c r="R1397">
        <v>195</v>
      </c>
      <c r="S1397">
        <v>3</v>
      </c>
      <c r="T1397">
        <v>0</v>
      </c>
      <c r="U1397">
        <v>0</v>
      </c>
      <c r="V1397">
        <v>1</v>
      </c>
      <c r="X1397">
        <v>2</v>
      </c>
      <c r="Y1397">
        <v>26</v>
      </c>
      <c r="Z1397">
        <v>4</v>
      </c>
      <c r="AB1397">
        <v>258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1</v>
      </c>
      <c r="AI1397">
        <v>0</v>
      </c>
      <c r="AJ1397">
        <v>0</v>
      </c>
      <c r="AK1397">
        <v>1</v>
      </c>
      <c r="AL1397">
        <v>0</v>
      </c>
      <c r="AM1397">
        <v>0</v>
      </c>
      <c r="AN1397">
        <v>0</v>
      </c>
      <c r="BC1397">
        <v>0</v>
      </c>
      <c r="BD1397">
        <v>2</v>
      </c>
      <c r="BE1397">
        <v>495</v>
      </c>
      <c r="BF1397">
        <v>495</v>
      </c>
      <c r="BG1397">
        <v>598</v>
      </c>
      <c r="BJ1397">
        <v>1</v>
      </c>
      <c r="BL1397" t="s">
        <v>2931</v>
      </c>
      <c r="BM1397" s="4">
        <v>43283.182638888888</v>
      </c>
      <c r="BN1397" s="4">
        <v>43283.198136574072</v>
      </c>
      <c r="BO1397" s="4">
        <v>43283.198136574072</v>
      </c>
      <c r="BP1397" t="s">
        <v>92</v>
      </c>
      <c r="BQ1397" t="s">
        <v>93</v>
      </c>
      <c r="BR1397" t="s">
        <v>94</v>
      </c>
    </row>
    <row r="1398" spans="1:70" x14ac:dyDescent="0.3">
      <c r="A1398" t="str">
        <f>"200764C0100"</f>
        <v>200764C0100</v>
      </c>
      <c r="B1398" t="s">
        <v>2932</v>
      </c>
      <c r="C1398">
        <v>20</v>
      </c>
      <c r="D1398" t="s">
        <v>88</v>
      </c>
      <c r="E1398">
        <v>99</v>
      </c>
      <c r="F1398" t="s">
        <v>2930</v>
      </c>
      <c r="G1398">
        <v>764</v>
      </c>
      <c r="H1398">
        <v>1</v>
      </c>
      <c r="I1398" t="s">
        <v>98</v>
      </c>
      <c r="J1398">
        <v>0</v>
      </c>
      <c r="K1398">
        <v>2</v>
      </c>
      <c r="L1398">
        <v>5</v>
      </c>
      <c r="M1398">
        <v>120</v>
      </c>
      <c r="N1398">
        <v>499</v>
      </c>
      <c r="O1398">
        <v>0</v>
      </c>
      <c r="P1398">
        <v>471</v>
      </c>
      <c r="Q1398">
        <v>1</v>
      </c>
      <c r="R1398">
        <v>188</v>
      </c>
      <c r="S1398">
        <v>1</v>
      </c>
      <c r="T1398">
        <v>0</v>
      </c>
      <c r="U1398">
        <v>2</v>
      </c>
      <c r="V1398">
        <v>2</v>
      </c>
      <c r="X1398">
        <v>1</v>
      </c>
      <c r="Y1398">
        <v>33</v>
      </c>
      <c r="Z1398">
        <v>5</v>
      </c>
      <c r="AB1398">
        <v>251</v>
      </c>
      <c r="AC1398">
        <v>0</v>
      </c>
      <c r="AD1398">
        <v>0</v>
      </c>
      <c r="AE1398">
        <v>0</v>
      </c>
      <c r="AF1398">
        <v>0</v>
      </c>
      <c r="AG1398">
        <v>2</v>
      </c>
      <c r="AH1398">
        <v>1</v>
      </c>
      <c r="AI1398">
        <v>0</v>
      </c>
      <c r="AJ1398">
        <v>0</v>
      </c>
      <c r="AK1398">
        <v>0</v>
      </c>
      <c r="AL1398">
        <v>1</v>
      </c>
      <c r="AM1398">
        <v>0</v>
      </c>
      <c r="AN1398">
        <v>0</v>
      </c>
      <c r="BC1398">
        <v>0</v>
      </c>
      <c r="BD1398">
        <v>11</v>
      </c>
      <c r="BE1398">
        <v>499</v>
      </c>
      <c r="BF1398">
        <v>499</v>
      </c>
      <c r="BG1398">
        <v>598</v>
      </c>
      <c r="BJ1398">
        <v>1</v>
      </c>
      <c r="BL1398" t="s">
        <v>2933</v>
      </c>
      <c r="BM1398" s="4">
        <v>43283.18472222222</v>
      </c>
      <c r="BN1398" s="4">
        <v>43283.202303240738</v>
      </c>
      <c r="BO1398" s="4">
        <v>43283.202303240738</v>
      </c>
      <c r="BP1398" t="s">
        <v>92</v>
      </c>
      <c r="BQ1398" t="s">
        <v>93</v>
      </c>
      <c r="BR1398" t="s">
        <v>94</v>
      </c>
    </row>
    <row r="1399" spans="1:70" x14ac:dyDescent="0.3">
      <c r="A1399" t="str">
        <f>"200764C0200"</f>
        <v>200764C0200</v>
      </c>
      <c r="B1399" t="s">
        <v>2934</v>
      </c>
      <c r="C1399">
        <v>20</v>
      </c>
      <c r="D1399" t="s">
        <v>88</v>
      </c>
      <c r="E1399">
        <v>99</v>
      </c>
      <c r="F1399" t="s">
        <v>2930</v>
      </c>
      <c r="G1399">
        <v>764</v>
      </c>
      <c r="H1399">
        <v>2</v>
      </c>
      <c r="I1399" t="s">
        <v>98</v>
      </c>
      <c r="J1399">
        <v>0</v>
      </c>
      <c r="K1399">
        <v>2</v>
      </c>
      <c r="L1399">
        <v>5</v>
      </c>
      <c r="M1399">
        <v>138</v>
      </c>
      <c r="N1399">
        <v>482</v>
      </c>
      <c r="O1399">
        <v>0</v>
      </c>
      <c r="P1399">
        <v>482</v>
      </c>
      <c r="Q1399">
        <v>0</v>
      </c>
      <c r="R1399">
        <v>150</v>
      </c>
      <c r="S1399">
        <v>2</v>
      </c>
      <c r="T1399">
        <v>0</v>
      </c>
      <c r="U1399">
        <v>4</v>
      </c>
      <c r="V1399">
        <v>1</v>
      </c>
      <c r="X1399">
        <v>1</v>
      </c>
      <c r="Y1399">
        <v>27</v>
      </c>
      <c r="Z1399">
        <v>1</v>
      </c>
      <c r="AB1399">
        <v>272</v>
      </c>
      <c r="AC1399">
        <v>0</v>
      </c>
      <c r="AD1399">
        <v>0</v>
      </c>
      <c r="AE1399">
        <v>0</v>
      </c>
      <c r="AF1399">
        <v>0</v>
      </c>
      <c r="AG1399">
        <v>2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2</v>
      </c>
      <c r="AN1399">
        <v>0</v>
      </c>
      <c r="BC1399">
        <v>0</v>
      </c>
      <c r="BD1399">
        <v>20</v>
      </c>
      <c r="BE1399">
        <v>482</v>
      </c>
      <c r="BF1399">
        <v>482</v>
      </c>
      <c r="BG1399">
        <v>597</v>
      </c>
      <c r="BJ1399">
        <v>1</v>
      </c>
      <c r="BL1399" t="s">
        <v>2935</v>
      </c>
      <c r="BM1399" s="4">
        <v>43283.183333333334</v>
      </c>
      <c r="BN1399" s="4">
        <v>43283.199560185189</v>
      </c>
      <c r="BO1399" s="4">
        <v>43283.199560185189</v>
      </c>
      <c r="BP1399" t="s">
        <v>92</v>
      </c>
      <c r="BQ1399" t="s">
        <v>93</v>
      </c>
      <c r="BR1399" t="s">
        <v>94</v>
      </c>
    </row>
    <row r="1400" spans="1:70" x14ac:dyDescent="0.3">
      <c r="A1400" t="str">
        <f>"200765B0100"</f>
        <v>200765B0100</v>
      </c>
      <c r="B1400" t="s">
        <v>2936</v>
      </c>
      <c r="C1400">
        <v>20</v>
      </c>
      <c r="D1400" t="s">
        <v>88</v>
      </c>
      <c r="E1400">
        <v>99</v>
      </c>
      <c r="F1400" t="s">
        <v>2930</v>
      </c>
      <c r="G1400">
        <v>765</v>
      </c>
      <c r="H1400">
        <v>1</v>
      </c>
      <c r="I1400" t="s">
        <v>90</v>
      </c>
      <c r="J1400">
        <v>0</v>
      </c>
      <c r="K1400">
        <v>2</v>
      </c>
      <c r="L1400">
        <v>5</v>
      </c>
      <c r="M1400">
        <v>195</v>
      </c>
      <c r="N1400">
        <v>425</v>
      </c>
      <c r="O1400">
        <v>0</v>
      </c>
      <c r="P1400">
        <v>425</v>
      </c>
      <c r="Q1400">
        <v>2</v>
      </c>
      <c r="R1400">
        <v>118</v>
      </c>
      <c r="S1400">
        <v>2</v>
      </c>
      <c r="T1400">
        <v>2</v>
      </c>
      <c r="U1400">
        <v>4</v>
      </c>
      <c r="V1400">
        <v>2</v>
      </c>
      <c r="X1400">
        <v>1</v>
      </c>
      <c r="Y1400">
        <v>58</v>
      </c>
      <c r="Z1400">
        <v>6</v>
      </c>
      <c r="AB1400">
        <v>204</v>
      </c>
      <c r="AC1400">
        <v>0</v>
      </c>
      <c r="AD1400">
        <v>0</v>
      </c>
      <c r="AE1400">
        <v>0</v>
      </c>
      <c r="AF1400">
        <v>0</v>
      </c>
      <c r="AG1400">
        <v>4</v>
      </c>
      <c r="AH1400">
        <v>1</v>
      </c>
      <c r="AI1400">
        <v>0</v>
      </c>
      <c r="AJ1400">
        <v>0</v>
      </c>
      <c r="AK1400">
        <v>4</v>
      </c>
      <c r="AL1400">
        <v>3</v>
      </c>
      <c r="AM1400">
        <v>0</v>
      </c>
      <c r="AN1400">
        <v>3</v>
      </c>
      <c r="BC1400">
        <v>0</v>
      </c>
      <c r="BD1400">
        <v>12</v>
      </c>
      <c r="BE1400">
        <v>425</v>
      </c>
      <c r="BF1400">
        <v>426</v>
      </c>
      <c r="BG1400">
        <v>598</v>
      </c>
      <c r="BJ1400">
        <v>1</v>
      </c>
      <c r="BL1400" t="s">
        <v>2937</v>
      </c>
      <c r="BM1400" s="4">
        <v>43283.186805555553</v>
      </c>
      <c r="BN1400" s="4">
        <v>43283.204421296294</v>
      </c>
      <c r="BO1400" s="4">
        <v>43283.204421296294</v>
      </c>
      <c r="BP1400" t="s">
        <v>92</v>
      </c>
      <c r="BQ1400" t="s">
        <v>93</v>
      </c>
      <c r="BR1400" t="s">
        <v>94</v>
      </c>
    </row>
    <row r="1401" spans="1:70" x14ac:dyDescent="0.3">
      <c r="A1401" t="str">
        <f>"200765C0100"</f>
        <v>200765C0100</v>
      </c>
      <c r="B1401" t="s">
        <v>2938</v>
      </c>
      <c r="C1401">
        <v>20</v>
      </c>
      <c r="D1401" t="s">
        <v>88</v>
      </c>
      <c r="E1401">
        <v>99</v>
      </c>
      <c r="F1401" t="s">
        <v>2930</v>
      </c>
      <c r="G1401">
        <v>765</v>
      </c>
      <c r="H1401">
        <v>1</v>
      </c>
      <c r="I1401" t="s">
        <v>98</v>
      </c>
      <c r="J1401">
        <v>0</v>
      </c>
      <c r="K1401">
        <v>2</v>
      </c>
      <c r="L1401">
        <v>5</v>
      </c>
      <c r="M1401">
        <v>202</v>
      </c>
      <c r="N1401">
        <v>417</v>
      </c>
      <c r="O1401">
        <v>0</v>
      </c>
      <c r="P1401">
        <v>417</v>
      </c>
      <c r="Q1401">
        <v>1</v>
      </c>
      <c r="R1401">
        <v>117</v>
      </c>
      <c r="S1401">
        <v>1</v>
      </c>
      <c r="T1401">
        <v>1</v>
      </c>
      <c r="U1401">
        <v>12</v>
      </c>
      <c r="V1401">
        <v>1</v>
      </c>
      <c r="X1401">
        <v>1</v>
      </c>
      <c r="Y1401">
        <v>52</v>
      </c>
      <c r="Z1401">
        <v>1</v>
      </c>
      <c r="AB1401">
        <v>206</v>
      </c>
      <c r="AC1401">
        <v>0</v>
      </c>
      <c r="AD1401">
        <v>0</v>
      </c>
      <c r="AE1401">
        <v>0</v>
      </c>
      <c r="AF1401">
        <v>0</v>
      </c>
      <c r="AG1401">
        <v>5</v>
      </c>
      <c r="AH1401">
        <v>4</v>
      </c>
      <c r="AI1401">
        <v>0</v>
      </c>
      <c r="AJ1401">
        <v>0</v>
      </c>
      <c r="AK1401">
        <v>2</v>
      </c>
      <c r="AL1401">
        <v>0</v>
      </c>
      <c r="AM1401">
        <v>1</v>
      </c>
      <c r="AN1401">
        <v>0</v>
      </c>
      <c r="BC1401">
        <v>0</v>
      </c>
      <c r="BD1401">
        <v>13</v>
      </c>
      <c r="BE1401">
        <v>417</v>
      </c>
      <c r="BF1401">
        <v>418</v>
      </c>
      <c r="BG1401">
        <v>597</v>
      </c>
      <c r="BJ1401">
        <v>1</v>
      </c>
      <c r="BL1401" t="s">
        <v>2939</v>
      </c>
      <c r="BM1401" s="4">
        <v>43283.186111111114</v>
      </c>
      <c r="BN1401" s="4">
        <v>43283.203622685185</v>
      </c>
      <c r="BO1401" s="4">
        <v>43283.203622685185</v>
      </c>
      <c r="BP1401" t="s">
        <v>92</v>
      </c>
      <c r="BQ1401" t="s">
        <v>93</v>
      </c>
      <c r="BR1401" t="s">
        <v>94</v>
      </c>
    </row>
    <row r="1402" spans="1:70" x14ac:dyDescent="0.3">
      <c r="A1402" t="str">
        <f>"200766B0100"</f>
        <v>200766B0100</v>
      </c>
      <c r="B1402" t="s">
        <v>2940</v>
      </c>
      <c r="C1402">
        <v>20</v>
      </c>
      <c r="D1402" t="s">
        <v>88</v>
      </c>
      <c r="E1402">
        <v>100</v>
      </c>
      <c r="F1402" t="s">
        <v>2941</v>
      </c>
      <c r="G1402">
        <v>766</v>
      </c>
      <c r="H1402">
        <v>1</v>
      </c>
      <c r="I1402" t="s">
        <v>90</v>
      </c>
      <c r="J1402">
        <v>0</v>
      </c>
      <c r="K1402">
        <v>1</v>
      </c>
      <c r="L1402">
        <v>5</v>
      </c>
      <c r="M1402">
        <v>253</v>
      </c>
      <c r="N1402">
        <v>415</v>
      </c>
      <c r="O1402">
        <v>7</v>
      </c>
      <c r="P1402">
        <v>417</v>
      </c>
      <c r="Q1402">
        <v>0</v>
      </c>
      <c r="R1402">
        <v>134</v>
      </c>
      <c r="S1402">
        <v>8</v>
      </c>
      <c r="T1402">
        <v>15</v>
      </c>
      <c r="U1402">
        <v>13</v>
      </c>
      <c r="V1402">
        <v>4</v>
      </c>
      <c r="X1402">
        <v>0</v>
      </c>
      <c r="Y1402">
        <v>90</v>
      </c>
      <c r="Z1402">
        <v>6</v>
      </c>
      <c r="AA1402">
        <v>112</v>
      </c>
      <c r="AB1402">
        <v>7</v>
      </c>
      <c r="AC1402">
        <v>0</v>
      </c>
      <c r="AD1402">
        <v>0</v>
      </c>
      <c r="AE1402">
        <v>0</v>
      </c>
      <c r="AF1402">
        <v>0</v>
      </c>
      <c r="AK1402">
        <v>4</v>
      </c>
      <c r="AL1402">
        <v>1</v>
      </c>
      <c r="AM1402">
        <v>1</v>
      </c>
      <c r="AN1402">
        <v>4</v>
      </c>
      <c r="AV1402">
        <v>0</v>
      </c>
      <c r="BC1402">
        <v>0</v>
      </c>
      <c r="BD1402">
        <v>18</v>
      </c>
      <c r="BE1402">
        <v>417</v>
      </c>
      <c r="BF1402">
        <v>417</v>
      </c>
      <c r="BG1402">
        <v>646</v>
      </c>
      <c r="BJ1402">
        <v>1</v>
      </c>
      <c r="BL1402" t="s">
        <v>2942</v>
      </c>
      <c r="BM1402" s="4">
        <v>43283.260416666664</v>
      </c>
      <c r="BN1402" s="4">
        <v>43283.290462962963</v>
      </c>
      <c r="BO1402" s="4">
        <v>43283.290462962963</v>
      </c>
      <c r="BP1402" t="s">
        <v>92</v>
      </c>
      <c r="BQ1402" t="s">
        <v>93</v>
      </c>
      <c r="BR1402" t="s">
        <v>94</v>
      </c>
    </row>
    <row r="1403" spans="1:70" x14ac:dyDescent="0.3">
      <c r="A1403" t="str">
        <f>"200766C0100"</f>
        <v>200766C0100</v>
      </c>
      <c r="B1403" t="s">
        <v>2943</v>
      </c>
      <c r="C1403">
        <v>20</v>
      </c>
      <c r="D1403" t="s">
        <v>88</v>
      </c>
      <c r="E1403">
        <v>100</v>
      </c>
      <c r="F1403" t="s">
        <v>2941</v>
      </c>
      <c r="G1403">
        <v>766</v>
      </c>
      <c r="H1403">
        <v>1</v>
      </c>
      <c r="I1403" t="s">
        <v>98</v>
      </c>
      <c r="J1403">
        <v>0</v>
      </c>
      <c r="K1403">
        <v>1</v>
      </c>
      <c r="L1403">
        <v>5</v>
      </c>
      <c r="M1403">
        <v>237</v>
      </c>
      <c r="N1403">
        <v>430</v>
      </c>
      <c r="O1403">
        <v>0</v>
      </c>
      <c r="P1403">
        <v>430</v>
      </c>
      <c r="Q1403">
        <v>3</v>
      </c>
      <c r="R1403">
        <v>159</v>
      </c>
      <c r="S1403">
        <v>7</v>
      </c>
      <c r="T1403">
        <v>17</v>
      </c>
      <c r="U1403">
        <v>7</v>
      </c>
      <c r="V1403">
        <v>4</v>
      </c>
      <c r="X1403">
        <v>0</v>
      </c>
      <c r="Y1403">
        <v>81</v>
      </c>
      <c r="Z1403">
        <v>6</v>
      </c>
      <c r="AA1403">
        <v>127</v>
      </c>
      <c r="AB1403">
        <v>7</v>
      </c>
      <c r="AC1403">
        <v>0</v>
      </c>
      <c r="AD1403">
        <v>0</v>
      </c>
      <c r="AE1403">
        <v>0</v>
      </c>
      <c r="AF1403">
        <v>0</v>
      </c>
      <c r="AK1403">
        <v>2</v>
      </c>
      <c r="AL1403">
        <v>0</v>
      </c>
      <c r="AM1403">
        <v>1</v>
      </c>
      <c r="AN1403">
        <v>0</v>
      </c>
      <c r="AV1403">
        <v>0</v>
      </c>
      <c r="BC1403">
        <v>0</v>
      </c>
      <c r="BD1403">
        <v>9</v>
      </c>
      <c r="BE1403">
        <v>430</v>
      </c>
      <c r="BF1403">
        <v>430</v>
      </c>
      <c r="BG1403">
        <v>646</v>
      </c>
      <c r="BJ1403">
        <v>1</v>
      </c>
      <c r="BL1403" t="s">
        <v>2944</v>
      </c>
      <c r="BM1403" s="4">
        <v>43283.260416666664</v>
      </c>
      <c r="BN1403" s="4">
        <v>43283.287326388891</v>
      </c>
      <c r="BO1403" s="4">
        <v>43283.287326388891</v>
      </c>
      <c r="BP1403" t="s">
        <v>92</v>
      </c>
      <c r="BQ1403" t="s">
        <v>93</v>
      </c>
      <c r="BR1403" t="s">
        <v>94</v>
      </c>
    </row>
    <row r="1404" spans="1:70" x14ac:dyDescent="0.3">
      <c r="A1404" t="str">
        <f>"200767B0100"</f>
        <v>200767B0100</v>
      </c>
      <c r="B1404" t="s">
        <v>2945</v>
      </c>
      <c r="C1404">
        <v>20</v>
      </c>
      <c r="D1404" t="s">
        <v>88</v>
      </c>
      <c r="E1404">
        <v>100</v>
      </c>
      <c r="F1404" t="s">
        <v>2941</v>
      </c>
      <c r="G1404">
        <v>767</v>
      </c>
      <c r="H1404">
        <v>1</v>
      </c>
      <c r="I1404" t="s">
        <v>90</v>
      </c>
      <c r="J1404">
        <v>0</v>
      </c>
      <c r="K1404">
        <v>2</v>
      </c>
      <c r="L1404">
        <v>5</v>
      </c>
      <c r="M1404">
        <v>175</v>
      </c>
      <c r="N1404">
        <v>334</v>
      </c>
      <c r="O1404">
        <v>0</v>
      </c>
      <c r="P1404">
        <v>335</v>
      </c>
      <c r="Q1404">
        <v>0</v>
      </c>
      <c r="R1404">
        <v>92</v>
      </c>
      <c r="S1404">
        <v>2</v>
      </c>
      <c r="T1404">
        <v>16</v>
      </c>
      <c r="U1404">
        <v>5</v>
      </c>
      <c r="V1404">
        <v>3</v>
      </c>
      <c r="X1404">
        <v>0</v>
      </c>
      <c r="Y1404">
        <v>99</v>
      </c>
      <c r="Z1404">
        <v>6</v>
      </c>
      <c r="AA1404">
        <v>84</v>
      </c>
      <c r="AB1404">
        <v>9</v>
      </c>
      <c r="AC1404">
        <v>0</v>
      </c>
      <c r="AD1404">
        <v>0</v>
      </c>
      <c r="AE1404">
        <v>0</v>
      </c>
      <c r="AF1404">
        <v>0</v>
      </c>
      <c r="AK1404">
        <v>3</v>
      </c>
      <c r="AL1404">
        <v>3</v>
      </c>
      <c r="AM1404">
        <v>1</v>
      </c>
      <c r="AN1404">
        <v>1</v>
      </c>
      <c r="AV1404">
        <v>0</v>
      </c>
      <c r="BC1404">
        <v>0</v>
      </c>
      <c r="BD1404">
        <v>11</v>
      </c>
      <c r="BE1404">
        <v>335</v>
      </c>
      <c r="BF1404">
        <v>335</v>
      </c>
      <c r="BG1404">
        <v>488</v>
      </c>
      <c r="BJ1404">
        <v>1</v>
      </c>
      <c r="BL1404" t="s">
        <v>2946</v>
      </c>
      <c r="BM1404" s="4">
        <v>43283.260416666664</v>
      </c>
      <c r="BN1404" s="4">
        <v>43283.290092592593</v>
      </c>
      <c r="BO1404" s="4">
        <v>43283.290092592593</v>
      </c>
      <c r="BP1404" t="s">
        <v>92</v>
      </c>
      <c r="BQ1404" t="s">
        <v>93</v>
      </c>
      <c r="BR1404" t="s">
        <v>94</v>
      </c>
    </row>
    <row r="1405" spans="1:70" x14ac:dyDescent="0.3">
      <c r="A1405" t="str">
        <f>"200767C0100"</f>
        <v>200767C0100</v>
      </c>
      <c r="B1405" t="s">
        <v>2947</v>
      </c>
      <c r="C1405">
        <v>20</v>
      </c>
      <c r="D1405" t="s">
        <v>88</v>
      </c>
      <c r="E1405">
        <v>100</v>
      </c>
      <c r="F1405" t="s">
        <v>2941</v>
      </c>
      <c r="G1405">
        <v>767</v>
      </c>
      <c r="H1405">
        <v>1</v>
      </c>
      <c r="I1405" t="s">
        <v>98</v>
      </c>
      <c r="J1405">
        <v>0</v>
      </c>
      <c r="K1405">
        <v>2</v>
      </c>
      <c r="L1405">
        <v>5</v>
      </c>
      <c r="M1405">
        <v>184</v>
      </c>
      <c r="N1405">
        <v>326</v>
      </c>
      <c r="O1405">
        <v>0</v>
      </c>
      <c r="P1405">
        <v>0</v>
      </c>
      <c r="Q1405">
        <v>1</v>
      </c>
      <c r="R1405">
        <v>101</v>
      </c>
      <c r="S1405">
        <v>2</v>
      </c>
      <c r="T1405">
        <v>16</v>
      </c>
      <c r="U1405">
        <v>9</v>
      </c>
      <c r="V1405">
        <v>2</v>
      </c>
      <c r="X1405">
        <v>1</v>
      </c>
      <c r="Y1405">
        <v>83</v>
      </c>
      <c r="Z1405">
        <v>5</v>
      </c>
      <c r="AA1405">
        <v>76</v>
      </c>
      <c r="AB1405">
        <v>10</v>
      </c>
      <c r="AC1405">
        <v>0</v>
      </c>
      <c r="AD1405">
        <v>0</v>
      </c>
      <c r="AE1405">
        <v>0</v>
      </c>
      <c r="AF1405">
        <v>0</v>
      </c>
      <c r="AK1405">
        <v>5</v>
      </c>
      <c r="AL1405">
        <v>1</v>
      </c>
      <c r="AM1405">
        <v>0</v>
      </c>
      <c r="AN1405">
        <v>1</v>
      </c>
      <c r="AV1405">
        <v>0</v>
      </c>
      <c r="BC1405">
        <v>0</v>
      </c>
      <c r="BD1405">
        <v>13</v>
      </c>
      <c r="BE1405">
        <v>326</v>
      </c>
      <c r="BF1405">
        <v>326</v>
      </c>
      <c r="BG1405">
        <v>488</v>
      </c>
      <c r="BJ1405">
        <v>1</v>
      </c>
      <c r="BL1405" t="s">
        <v>2948</v>
      </c>
      <c r="BM1405" s="4">
        <v>43283.260416666664</v>
      </c>
      <c r="BN1405" s="4">
        <v>43283.291921296295</v>
      </c>
      <c r="BO1405" s="4">
        <v>43283.291921296295</v>
      </c>
      <c r="BP1405" t="s">
        <v>92</v>
      </c>
      <c r="BQ1405" t="s">
        <v>93</v>
      </c>
      <c r="BR1405" t="s">
        <v>94</v>
      </c>
    </row>
    <row r="1406" spans="1:70" x14ac:dyDescent="0.3">
      <c r="A1406" t="str">
        <f>"200768B0100"</f>
        <v>200768B0100</v>
      </c>
      <c r="B1406" t="s">
        <v>2949</v>
      </c>
      <c r="C1406">
        <v>20</v>
      </c>
      <c r="D1406" t="s">
        <v>88</v>
      </c>
      <c r="E1406">
        <v>100</v>
      </c>
      <c r="F1406" t="s">
        <v>2941</v>
      </c>
      <c r="G1406">
        <v>768</v>
      </c>
      <c r="H1406">
        <v>1</v>
      </c>
      <c r="I1406" t="s">
        <v>90</v>
      </c>
      <c r="J1406">
        <v>0</v>
      </c>
      <c r="K1406">
        <v>2</v>
      </c>
      <c r="L1406">
        <v>5</v>
      </c>
      <c r="M1406">
        <v>137</v>
      </c>
      <c r="N1406">
        <v>331</v>
      </c>
      <c r="O1406">
        <v>0</v>
      </c>
      <c r="P1406">
        <v>331</v>
      </c>
      <c r="Q1406">
        <v>3</v>
      </c>
      <c r="R1406">
        <v>87</v>
      </c>
      <c r="S1406">
        <v>3</v>
      </c>
      <c r="T1406">
        <v>14</v>
      </c>
      <c r="U1406">
        <v>6</v>
      </c>
      <c r="V1406">
        <v>1</v>
      </c>
      <c r="X1406">
        <v>1</v>
      </c>
      <c r="Y1406">
        <v>99</v>
      </c>
      <c r="Z1406">
        <v>4</v>
      </c>
      <c r="AA1406">
        <v>77</v>
      </c>
      <c r="AB1406">
        <v>15</v>
      </c>
      <c r="AC1406">
        <v>0</v>
      </c>
      <c r="AD1406">
        <v>0</v>
      </c>
      <c r="AE1406">
        <v>0</v>
      </c>
      <c r="AF1406">
        <v>0</v>
      </c>
      <c r="AK1406">
        <v>8</v>
      </c>
      <c r="AL1406">
        <v>0</v>
      </c>
      <c r="AM1406">
        <v>1</v>
      </c>
      <c r="AN1406">
        <v>2</v>
      </c>
      <c r="AV1406">
        <v>0</v>
      </c>
      <c r="BC1406">
        <v>0</v>
      </c>
      <c r="BD1406">
        <v>10</v>
      </c>
      <c r="BE1406">
        <v>331</v>
      </c>
      <c r="BF1406">
        <v>331</v>
      </c>
      <c r="BG1406">
        <v>446</v>
      </c>
      <c r="BJ1406">
        <v>1</v>
      </c>
      <c r="BL1406" t="s">
        <v>2950</v>
      </c>
      <c r="BM1406" s="4">
        <v>43283.260416666664</v>
      </c>
      <c r="BN1406" s="4">
        <v>43283.287673611114</v>
      </c>
      <c r="BO1406" s="4">
        <v>43283.287673611114</v>
      </c>
      <c r="BP1406" t="s">
        <v>92</v>
      </c>
      <c r="BQ1406" t="s">
        <v>93</v>
      </c>
      <c r="BR1406" t="s">
        <v>94</v>
      </c>
    </row>
    <row r="1407" spans="1:70" x14ac:dyDescent="0.3">
      <c r="A1407" t="str">
        <f>"200768C0100"</f>
        <v>200768C0100</v>
      </c>
      <c r="B1407" t="s">
        <v>2951</v>
      </c>
      <c r="C1407">
        <v>20</v>
      </c>
      <c r="D1407" t="s">
        <v>88</v>
      </c>
      <c r="E1407">
        <v>100</v>
      </c>
      <c r="F1407" t="s">
        <v>2941</v>
      </c>
      <c r="G1407">
        <v>768</v>
      </c>
      <c r="H1407">
        <v>1</v>
      </c>
      <c r="I1407" t="s">
        <v>98</v>
      </c>
      <c r="J1407">
        <v>0</v>
      </c>
      <c r="K1407">
        <v>1</v>
      </c>
      <c r="L1407">
        <v>5</v>
      </c>
      <c r="M1407">
        <v>174</v>
      </c>
      <c r="N1407">
        <v>293</v>
      </c>
      <c r="O1407">
        <v>0</v>
      </c>
      <c r="P1407">
        <v>293</v>
      </c>
      <c r="Q1407">
        <v>2</v>
      </c>
      <c r="R1407">
        <v>67</v>
      </c>
      <c r="S1407">
        <v>4</v>
      </c>
      <c r="T1407">
        <v>19</v>
      </c>
      <c r="U1407">
        <v>8</v>
      </c>
      <c r="V1407">
        <v>3</v>
      </c>
      <c r="X1407">
        <v>0</v>
      </c>
      <c r="Y1407">
        <v>86</v>
      </c>
      <c r="Z1407">
        <v>5</v>
      </c>
      <c r="AA1407">
        <v>73</v>
      </c>
      <c r="AB1407">
        <v>10</v>
      </c>
      <c r="AC1407">
        <v>0</v>
      </c>
      <c r="AD1407">
        <v>0</v>
      </c>
      <c r="AE1407">
        <v>0</v>
      </c>
      <c r="AF1407">
        <v>0</v>
      </c>
      <c r="AK1407">
        <v>2</v>
      </c>
      <c r="AL1407">
        <v>1</v>
      </c>
      <c r="AM1407">
        <v>1</v>
      </c>
      <c r="AN1407">
        <v>0</v>
      </c>
      <c r="AV1407">
        <v>1</v>
      </c>
      <c r="BC1407">
        <v>0</v>
      </c>
      <c r="BD1407">
        <v>11</v>
      </c>
      <c r="BE1407">
        <v>293</v>
      </c>
      <c r="BF1407">
        <v>293</v>
      </c>
      <c r="BG1407">
        <v>446</v>
      </c>
      <c r="BJ1407">
        <v>1</v>
      </c>
      <c r="BL1407" t="s">
        <v>2952</v>
      </c>
      <c r="BM1407" s="4">
        <v>43283.260416666664</v>
      </c>
      <c r="BN1407" s="4">
        <v>43283.287534722222</v>
      </c>
      <c r="BO1407" s="4">
        <v>43283.287534722222</v>
      </c>
      <c r="BP1407" t="s">
        <v>92</v>
      </c>
      <c r="BQ1407" t="s">
        <v>93</v>
      </c>
      <c r="BR1407" t="s">
        <v>94</v>
      </c>
    </row>
    <row r="1408" spans="1:70" x14ac:dyDescent="0.3">
      <c r="A1408" t="str">
        <f>"200769B0100"</f>
        <v>200769B0100</v>
      </c>
      <c r="B1408" t="s">
        <v>2953</v>
      </c>
      <c r="C1408">
        <v>20</v>
      </c>
      <c r="D1408" t="s">
        <v>88</v>
      </c>
      <c r="E1408">
        <v>100</v>
      </c>
      <c r="F1408" t="s">
        <v>2941</v>
      </c>
      <c r="G1408">
        <v>769</v>
      </c>
      <c r="H1408">
        <v>1</v>
      </c>
      <c r="I1408" t="s">
        <v>90</v>
      </c>
      <c r="J1408">
        <v>0</v>
      </c>
      <c r="K1408">
        <v>1</v>
      </c>
      <c r="L1408">
        <v>5</v>
      </c>
      <c r="BG1408">
        <v>543</v>
      </c>
      <c r="BI1408" t="s">
        <v>122</v>
      </c>
      <c r="BJ1408">
        <v>0</v>
      </c>
      <c r="BL1408" t="s">
        <v>2954</v>
      </c>
      <c r="BM1408" s="4">
        <v>43283.513888888891</v>
      </c>
      <c r="BN1408" s="4">
        <v>43283.515046296299</v>
      </c>
      <c r="BO1408" s="4">
        <v>43283.515046296299</v>
      </c>
      <c r="BP1408" t="s">
        <v>92</v>
      </c>
      <c r="BQ1408" t="s">
        <v>93</v>
      </c>
      <c r="BR1408" t="s">
        <v>94</v>
      </c>
    </row>
    <row r="1409" spans="1:70" x14ac:dyDescent="0.3">
      <c r="A1409" t="str">
        <f>"200769C0100"</f>
        <v>200769C0100</v>
      </c>
      <c r="B1409" t="s">
        <v>2955</v>
      </c>
      <c r="C1409">
        <v>20</v>
      </c>
      <c r="D1409" t="s">
        <v>88</v>
      </c>
      <c r="E1409">
        <v>100</v>
      </c>
      <c r="F1409" t="s">
        <v>2941</v>
      </c>
      <c r="G1409">
        <v>769</v>
      </c>
      <c r="H1409">
        <v>1</v>
      </c>
      <c r="I1409" t="s">
        <v>98</v>
      </c>
      <c r="J1409">
        <v>0</v>
      </c>
      <c r="K1409">
        <v>1</v>
      </c>
      <c r="L1409">
        <v>5</v>
      </c>
      <c r="M1409">
        <v>201</v>
      </c>
      <c r="N1409">
        <v>362</v>
      </c>
      <c r="O1409">
        <v>0</v>
      </c>
      <c r="P1409">
        <v>362</v>
      </c>
      <c r="Q1409">
        <v>3</v>
      </c>
      <c r="R1409">
        <v>104</v>
      </c>
      <c r="S1409">
        <v>8</v>
      </c>
      <c r="T1409">
        <v>20</v>
      </c>
      <c r="U1409">
        <v>7</v>
      </c>
      <c r="V1409">
        <v>1</v>
      </c>
      <c r="X1409">
        <v>4</v>
      </c>
      <c r="Y1409">
        <v>79</v>
      </c>
      <c r="Z1409">
        <v>7</v>
      </c>
      <c r="AA1409">
        <v>92</v>
      </c>
      <c r="AB1409">
        <v>12</v>
      </c>
      <c r="AC1409">
        <v>1</v>
      </c>
      <c r="AD1409">
        <v>0</v>
      </c>
      <c r="AE1409">
        <v>0</v>
      </c>
      <c r="AF1409">
        <v>1</v>
      </c>
      <c r="AK1409">
        <v>1</v>
      </c>
      <c r="AL1409">
        <v>1</v>
      </c>
      <c r="AM1409">
        <v>0</v>
      </c>
      <c r="AN1409">
        <v>1</v>
      </c>
      <c r="AV1409">
        <v>0</v>
      </c>
      <c r="BC1409">
        <v>0</v>
      </c>
      <c r="BD1409">
        <v>23</v>
      </c>
      <c r="BE1409">
        <v>364</v>
      </c>
      <c r="BF1409">
        <v>365</v>
      </c>
      <c r="BG1409">
        <v>543</v>
      </c>
      <c r="BJ1409">
        <v>1</v>
      </c>
      <c r="BL1409" t="s">
        <v>2956</v>
      </c>
      <c r="BM1409" s="4">
        <v>43283.260416666664</v>
      </c>
      <c r="BN1409" s="4">
        <v>43283.288356481484</v>
      </c>
      <c r="BO1409" s="4">
        <v>43283.288356481484</v>
      </c>
      <c r="BP1409" t="s">
        <v>92</v>
      </c>
      <c r="BQ1409" t="s">
        <v>93</v>
      </c>
      <c r="BR1409" t="s">
        <v>94</v>
      </c>
    </row>
    <row r="1410" spans="1:70" x14ac:dyDescent="0.3">
      <c r="A1410" t="str">
        <f>"200792B0100"</f>
        <v>200792B0100</v>
      </c>
      <c r="B1410" t="s">
        <v>2957</v>
      </c>
      <c r="C1410">
        <v>20</v>
      </c>
      <c r="D1410" t="s">
        <v>88</v>
      </c>
      <c r="E1410">
        <v>109</v>
      </c>
      <c r="F1410" t="s">
        <v>2958</v>
      </c>
      <c r="G1410">
        <v>792</v>
      </c>
      <c r="H1410">
        <v>1</v>
      </c>
      <c r="I1410" t="s">
        <v>90</v>
      </c>
      <c r="J1410">
        <v>0</v>
      </c>
      <c r="K1410">
        <v>1</v>
      </c>
      <c r="L1410">
        <v>5</v>
      </c>
      <c r="M1410">
        <v>106</v>
      </c>
      <c r="N1410">
        <v>484</v>
      </c>
      <c r="O1410">
        <v>3</v>
      </c>
      <c r="P1410">
        <v>417</v>
      </c>
      <c r="Q1410">
        <v>1</v>
      </c>
      <c r="R1410">
        <v>213</v>
      </c>
      <c r="S1410">
        <v>12</v>
      </c>
      <c r="T1410">
        <v>10</v>
      </c>
      <c r="U1410">
        <v>9</v>
      </c>
      <c r="V1410">
        <v>6</v>
      </c>
      <c r="X1410">
        <v>2</v>
      </c>
      <c r="Y1410">
        <v>194</v>
      </c>
      <c r="Z1410">
        <v>3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0</v>
      </c>
      <c r="AH1410">
        <v>6</v>
      </c>
      <c r="AI1410">
        <v>0</v>
      </c>
      <c r="AJ1410">
        <v>0</v>
      </c>
      <c r="AK1410">
        <v>2</v>
      </c>
      <c r="AL1410">
        <v>2</v>
      </c>
      <c r="AM1410">
        <v>0</v>
      </c>
      <c r="AN1410">
        <v>0</v>
      </c>
      <c r="BC1410">
        <v>0</v>
      </c>
      <c r="BD1410">
        <v>24</v>
      </c>
      <c r="BE1410">
        <v>484</v>
      </c>
      <c r="BF1410">
        <v>484</v>
      </c>
      <c r="BG1410">
        <v>568</v>
      </c>
      <c r="BJ1410">
        <v>1</v>
      </c>
      <c r="BL1410" t="s">
        <v>2959</v>
      </c>
      <c r="BM1410" s="4">
        <v>43283.177557870367</v>
      </c>
      <c r="BN1410" s="4">
        <v>43283.191064814811</v>
      </c>
      <c r="BO1410" s="4">
        <v>43283.191064814811</v>
      </c>
      <c r="BP1410" t="s">
        <v>339</v>
      </c>
      <c r="BQ1410" t="s">
        <v>340</v>
      </c>
      <c r="BR1410" t="s">
        <v>94</v>
      </c>
    </row>
    <row r="1411" spans="1:70" x14ac:dyDescent="0.3">
      <c r="A1411" t="str">
        <f>"200792C0100"</f>
        <v>200792C0100</v>
      </c>
      <c r="B1411" t="s">
        <v>2960</v>
      </c>
      <c r="C1411">
        <v>20</v>
      </c>
      <c r="D1411" t="s">
        <v>88</v>
      </c>
      <c r="E1411">
        <v>109</v>
      </c>
      <c r="F1411" t="s">
        <v>2958</v>
      </c>
      <c r="G1411">
        <v>792</v>
      </c>
      <c r="H1411">
        <v>1</v>
      </c>
      <c r="I1411" t="s">
        <v>98</v>
      </c>
      <c r="J1411">
        <v>0</v>
      </c>
      <c r="K1411">
        <v>1</v>
      </c>
      <c r="L1411">
        <v>5</v>
      </c>
      <c r="M1411">
        <v>85</v>
      </c>
      <c r="N1411">
        <v>504</v>
      </c>
      <c r="O1411">
        <v>0</v>
      </c>
      <c r="P1411">
        <v>504</v>
      </c>
      <c r="Q1411">
        <v>2</v>
      </c>
      <c r="R1411">
        <v>176</v>
      </c>
      <c r="S1411">
        <v>8</v>
      </c>
      <c r="T1411">
        <v>8</v>
      </c>
      <c r="U1411">
        <v>15</v>
      </c>
      <c r="V1411">
        <v>4</v>
      </c>
      <c r="X1411">
        <v>2</v>
      </c>
      <c r="Y1411">
        <v>250</v>
      </c>
      <c r="Z1411">
        <v>3</v>
      </c>
      <c r="AA1411">
        <v>1</v>
      </c>
      <c r="AB1411">
        <v>1</v>
      </c>
      <c r="AC1411">
        <v>0</v>
      </c>
      <c r="AD1411">
        <v>0</v>
      </c>
      <c r="AE1411">
        <v>0</v>
      </c>
      <c r="AF1411">
        <v>0</v>
      </c>
      <c r="AG1411">
        <v>5</v>
      </c>
      <c r="AH1411">
        <v>5</v>
      </c>
      <c r="AI1411">
        <v>0</v>
      </c>
      <c r="AJ1411">
        <v>0</v>
      </c>
      <c r="AK1411">
        <v>2</v>
      </c>
      <c r="AL1411">
        <v>1</v>
      </c>
      <c r="AM1411">
        <v>0</v>
      </c>
      <c r="AN1411">
        <v>0</v>
      </c>
      <c r="BC1411">
        <v>0</v>
      </c>
      <c r="BD1411">
        <v>20</v>
      </c>
      <c r="BE1411">
        <v>504</v>
      </c>
      <c r="BF1411">
        <v>503</v>
      </c>
      <c r="BG1411">
        <v>567</v>
      </c>
      <c r="BJ1411">
        <v>1</v>
      </c>
      <c r="BL1411" t="s">
        <v>2961</v>
      </c>
      <c r="BM1411" s="4">
        <v>43283.149918981479</v>
      </c>
      <c r="BN1411" s="4">
        <v>43283.157731481479</v>
      </c>
      <c r="BO1411" s="4">
        <v>43283.157731481479</v>
      </c>
      <c r="BP1411" t="s">
        <v>339</v>
      </c>
      <c r="BQ1411" t="s">
        <v>340</v>
      </c>
      <c r="BR1411" t="s">
        <v>94</v>
      </c>
    </row>
    <row r="1412" spans="1:70" x14ac:dyDescent="0.3">
      <c r="A1412" t="str">
        <f>"200793B0100"</f>
        <v>200793B0100</v>
      </c>
      <c r="B1412" t="s">
        <v>2962</v>
      </c>
      <c r="C1412">
        <v>20</v>
      </c>
      <c r="D1412" t="s">
        <v>88</v>
      </c>
      <c r="E1412">
        <v>109</v>
      </c>
      <c r="F1412" t="s">
        <v>2958</v>
      </c>
      <c r="G1412">
        <v>793</v>
      </c>
      <c r="H1412">
        <v>1</v>
      </c>
      <c r="I1412" t="s">
        <v>90</v>
      </c>
      <c r="J1412">
        <v>0</v>
      </c>
      <c r="K1412">
        <v>1</v>
      </c>
      <c r="L1412">
        <v>5</v>
      </c>
      <c r="BG1412">
        <v>549</v>
      </c>
      <c r="BI1412" t="s">
        <v>365</v>
      </c>
      <c r="BJ1412">
        <v>0</v>
      </c>
      <c r="BL1412" t="s">
        <v>2963</v>
      </c>
      <c r="BM1412" s="4">
        <v>43283.499305555553</v>
      </c>
      <c r="BN1412" s="4">
        <v>43283.501458333332</v>
      </c>
      <c r="BO1412" s="4">
        <v>43283.501458333332</v>
      </c>
      <c r="BP1412" t="s">
        <v>92</v>
      </c>
      <c r="BQ1412" t="s">
        <v>93</v>
      </c>
      <c r="BR1412" t="s">
        <v>94</v>
      </c>
    </row>
    <row r="1413" spans="1:70" x14ac:dyDescent="0.3">
      <c r="A1413" t="str">
        <f>"200793C0100"</f>
        <v>200793C0100</v>
      </c>
      <c r="B1413" t="s">
        <v>2964</v>
      </c>
      <c r="C1413">
        <v>20</v>
      </c>
      <c r="D1413" t="s">
        <v>88</v>
      </c>
      <c r="E1413">
        <v>109</v>
      </c>
      <c r="F1413" t="s">
        <v>2958</v>
      </c>
      <c r="G1413">
        <v>793</v>
      </c>
      <c r="H1413">
        <v>1</v>
      </c>
      <c r="I1413" t="s">
        <v>98</v>
      </c>
      <c r="J1413">
        <v>0</v>
      </c>
      <c r="K1413">
        <v>1</v>
      </c>
      <c r="L1413">
        <v>5</v>
      </c>
      <c r="M1413">
        <v>86</v>
      </c>
      <c r="N1413">
        <v>485</v>
      </c>
      <c r="O1413">
        <v>0</v>
      </c>
      <c r="P1413">
        <v>485</v>
      </c>
      <c r="Q1413">
        <v>4</v>
      </c>
      <c r="R1413">
        <v>170</v>
      </c>
      <c r="S1413">
        <v>3</v>
      </c>
      <c r="T1413">
        <v>6</v>
      </c>
      <c r="U1413">
        <v>16</v>
      </c>
      <c r="V1413">
        <v>5</v>
      </c>
      <c r="X1413">
        <v>0</v>
      </c>
      <c r="Y1413">
        <v>245</v>
      </c>
      <c r="Z1413">
        <v>4</v>
      </c>
      <c r="AA1413">
        <v>1</v>
      </c>
      <c r="AB1413">
        <v>2</v>
      </c>
      <c r="AC1413">
        <v>0</v>
      </c>
      <c r="AD1413">
        <v>0</v>
      </c>
      <c r="AE1413">
        <v>0</v>
      </c>
      <c r="AF1413">
        <v>0</v>
      </c>
      <c r="AG1413">
        <v>0</v>
      </c>
      <c r="AH1413">
        <v>0</v>
      </c>
      <c r="AI1413">
        <v>0</v>
      </c>
      <c r="AJ1413">
        <v>0</v>
      </c>
      <c r="AK1413">
        <v>4</v>
      </c>
      <c r="AL1413">
        <v>3</v>
      </c>
      <c r="AM1413">
        <v>0</v>
      </c>
      <c r="AN1413">
        <v>0</v>
      </c>
      <c r="BC1413">
        <v>0</v>
      </c>
      <c r="BD1413">
        <v>17</v>
      </c>
      <c r="BE1413">
        <v>485</v>
      </c>
      <c r="BF1413">
        <v>480</v>
      </c>
      <c r="BG1413">
        <v>549</v>
      </c>
      <c r="BJ1413">
        <v>1</v>
      </c>
      <c r="BL1413" t="s">
        <v>2965</v>
      </c>
      <c r="BM1413" s="4">
        <v>43283.111701388887</v>
      </c>
      <c r="BN1413" s="4">
        <v>43283.116886574076</v>
      </c>
      <c r="BO1413" s="4">
        <v>43283.116886574076</v>
      </c>
      <c r="BP1413" t="s">
        <v>339</v>
      </c>
      <c r="BQ1413" t="s">
        <v>340</v>
      </c>
      <c r="BR1413" t="s">
        <v>94</v>
      </c>
    </row>
    <row r="1414" spans="1:70" x14ac:dyDescent="0.3">
      <c r="A1414" t="str">
        <f>"200804B0100"</f>
        <v>200804B0100</v>
      </c>
      <c r="B1414" t="s">
        <v>2966</v>
      </c>
      <c r="C1414">
        <v>20</v>
      </c>
      <c r="D1414" t="s">
        <v>88</v>
      </c>
      <c r="E1414">
        <v>115</v>
      </c>
      <c r="F1414" t="s">
        <v>2967</v>
      </c>
      <c r="G1414">
        <v>804</v>
      </c>
      <c r="H1414">
        <v>1</v>
      </c>
      <c r="I1414" t="s">
        <v>90</v>
      </c>
      <c r="J1414">
        <v>0</v>
      </c>
      <c r="K1414">
        <v>2</v>
      </c>
      <c r="L1414">
        <v>5</v>
      </c>
      <c r="M1414">
        <v>118</v>
      </c>
      <c r="N1414">
        <v>518</v>
      </c>
      <c r="O1414">
        <v>0</v>
      </c>
      <c r="P1414">
        <v>517</v>
      </c>
      <c r="Q1414">
        <v>0</v>
      </c>
      <c r="R1414">
        <v>114</v>
      </c>
      <c r="S1414">
        <v>0</v>
      </c>
      <c r="V1414">
        <v>3</v>
      </c>
      <c r="W1414">
        <v>152</v>
      </c>
      <c r="X1414">
        <v>98</v>
      </c>
      <c r="AA1414">
        <v>127</v>
      </c>
      <c r="AC1414">
        <v>0</v>
      </c>
      <c r="AD1414">
        <v>0</v>
      </c>
      <c r="AE1414">
        <v>0</v>
      </c>
      <c r="AF1414">
        <v>0</v>
      </c>
      <c r="BC1414">
        <v>0</v>
      </c>
      <c r="BD1414">
        <v>23</v>
      </c>
      <c r="BE1414">
        <v>517</v>
      </c>
      <c r="BF1414">
        <v>517</v>
      </c>
      <c r="BG1414">
        <v>618</v>
      </c>
      <c r="BJ1414">
        <v>1</v>
      </c>
      <c r="BL1414" t="s">
        <v>2968</v>
      </c>
      <c r="BM1414" s="4">
        <v>43283.292129629626</v>
      </c>
      <c r="BN1414" s="4">
        <v>43283.316412037035</v>
      </c>
      <c r="BO1414" s="4">
        <v>43283.316412037035</v>
      </c>
      <c r="BP1414" t="s">
        <v>92</v>
      </c>
      <c r="BQ1414" t="s">
        <v>93</v>
      </c>
      <c r="BR1414" t="s">
        <v>94</v>
      </c>
    </row>
    <row r="1415" spans="1:70" x14ac:dyDescent="0.3">
      <c r="A1415" t="str">
        <f>"200804C0100"</f>
        <v>200804C0100</v>
      </c>
      <c r="B1415" t="s">
        <v>2969</v>
      </c>
      <c r="C1415">
        <v>20</v>
      </c>
      <c r="D1415" t="s">
        <v>88</v>
      </c>
      <c r="E1415">
        <v>115</v>
      </c>
      <c r="F1415" t="s">
        <v>2967</v>
      </c>
      <c r="G1415">
        <v>804</v>
      </c>
      <c r="H1415">
        <v>1</v>
      </c>
      <c r="I1415" t="s">
        <v>98</v>
      </c>
      <c r="J1415">
        <v>0</v>
      </c>
      <c r="K1415">
        <v>2</v>
      </c>
      <c r="L1415">
        <v>5</v>
      </c>
      <c r="M1415">
        <v>124</v>
      </c>
      <c r="N1415" t="s">
        <v>105</v>
      </c>
      <c r="O1415" t="s">
        <v>105</v>
      </c>
      <c r="P1415" t="s">
        <v>105</v>
      </c>
      <c r="Q1415">
        <v>1</v>
      </c>
      <c r="R1415">
        <v>124</v>
      </c>
      <c r="S1415">
        <v>3</v>
      </c>
      <c r="V1415">
        <v>2</v>
      </c>
      <c r="W1415">
        <v>128</v>
      </c>
      <c r="X1415">
        <v>107</v>
      </c>
      <c r="AA1415">
        <v>125</v>
      </c>
      <c r="AC1415">
        <v>0</v>
      </c>
      <c r="AD1415">
        <v>0</v>
      </c>
      <c r="AE1415">
        <v>0</v>
      </c>
      <c r="AF1415">
        <v>0</v>
      </c>
      <c r="BC1415">
        <v>0</v>
      </c>
      <c r="BD1415">
        <v>24</v>
      </c>
      <c r="BE1415">
        <v>514</v>
      </c>
      <c r="BF1415">
        <v>514</v>
      </c>
      <c r="BG1415">
        <v>618</v>
      </c>
      <c r="BJ1415">
        <v>1</v>
      </c>
      <c r="BL1415" t="s">
        <v>2970</v>
      </c>
      <c r="BM1415" s="4">
        <v>43283.288807870369</v>
      </c>
      <c r="BN1415" s="4">
        <v>43283.315486111111</v>
      </c>
      <c r="BO1415" s="4">
        <v>43283.315486111111</v>
      </c>
      <c r="BP1415" t="s">
        <v>92</v>
      </c>
      <c r="BQ1415" t="s">
        <v>93</v>
      </c>
      <c r="BR1415" t="s">
        <v>94</v>
      </c>
    </row>
    <row r="1416" spans="1:70" x14ac:dyDescent="0.3">
      <c r="A1416" t="str">
        <f>"200805B0100"</f>
        <v>200805B0100</v>
      </c>
      <c r="B1416" t="s">
        <v>2971</v>
      </c>
      <c r="C1416">
        <v>20</v>
      </c>
      <c r="D1416" t="s">
        <v>88</v>
      </c>
      <c r="E1416">
        <v>115</v>
      </c>
      <c r="F1416" t="s">
        <v>2967</v>
      </c>
      <c r="G1416">
        <v>805</v>
      </c>
      <c r="H1416">
        <v>1</v>
      </c>
      <c r="I1416" t="s">
        <v>90</v>
      </c>
      <c r="J1416">
        <v>0</v>
      </c>
      <c r="K1416">
        <v>2</v>
      </c>
      <c r="L1416">
        <v>5</v>
      </c>
      <c r="M1416">
        <v>81</v>
      </c>
      <c r="N1416">
        <v>360</v>
      </c>
      <c r="O1416">
        <v>0</v>
      </c>
      <c r="P1416">
        <v>360</v>
      </c>
      <c r="Q1416">
        <v>5</v>
      </c>
      <c r="R1416">
        <v>89</v>
      </c>
      <c r="S1416">
        <v>1</v>
      </c>
      <c r="V1416">
        <v>0</v>
      </c>
      <c r="W1416">
        <v>89</v>
      </c>
      <c r="X1416">
        <v>69</v>
      </c>
      <c r="AA1416">
        <v>95</v>
      </c>
      <c r="AC1416">
        <v>0</v>
      </c>
      <c r="AD1416">
        <v>0</v>
      </c>
      <c r="AE1416">
        <v>0</v>
      </c>
      <c r="AF1416">
        <v>0</v>
      </c>
      <c r="BC1416">
        <v>0</v>
      </c>
      <c r="BD1416">
        <v>12</v>
      </c>
      <c r="BE1416">
        <v>360</v>
      </c>
      <c r="BF1416">
        <v>360</v>
      </c>
      <c r="BG1416">
        <v>423</v>
      </c>
      <c r="BJ1416">
        <v>1</v>
      </c>
      <c r="BL1416" s="2" t="s">
        <v>2972</v>
      </c>
      <c r="BM1416" s="4">
        <v>43283.291041666664</v>
      </c>
      <c r="BN1416" s="4">
        <v>43283.316087962965</v>
      </c>
      <c r="BO1416" s="4">
        <v>43283.316087962965</v>
      </c>
      <c r="BP1416" t="s">
        <v>92</v>
      </c>
      <c r="BQ1416" t="s">
        <v>93</v>
      </c>
      <c r="BR1416" t="s">
        <v>94</v>
      </c>
    </row>
    <row r="1417" spans="1:70" x14ac:dyDescent="0.3">
      <c r="A1417" t="str">
        <f>"200805C0100"</f>
        <v>200805C0100</v>
      </c>
      <c r="B1417" t="s">
        <v>2973</v>
      </c>
      <c r="C1417">
        <v>20</v>
      </c>
      <c r="D1417" t="s">
        <v>88</v>
      </c>
      <c r="E1417">
        <v>115</v>
      </c>
      <c r="F1417" t="s">
        <v>2967</v>
      </c>
      <c r="G1417">
        <v>805</v>
      </c>
      <c r="H1417">
        <v>1</v>
      </c>
      <c r="I1417" t="s">
        <v>98</v>
      </c>
      <c r="J1417">
        <v>0</v>
      </c>
      <c r="K1417">
        <v>2</v>
      </c>
      <c r="L1417">
        <v>5</v>
      </c>
      <c r="M1417">
        <v>88</v>
      </c>
      <c r="N1417">
        <v>357</v>
      </c>
      <c r="O1417">
        <v>0</v>
      </c>
      <c r="P1417">
        <v>357</v>
      </c>
      <c r="Q1417">
        <v>3</v>
      </c>
      <c r="R1417">
        <v>78</v>
      </c>
      <c r="S1417">
        <v>2</v>
      </c>
      <c r="V1417">
        <v>1</v>
      </c>
      <c r="W1417">
        <v>81</v>
      </c>
      <c r="X1417">
        <v>88</v>
      </c>
      <c r="AA1417">
        <v>87</v>
      </c>
      <c r="AC1417">
        <v>0</v>
      </c>
      <c r="AD1417">
        <v>0</v>
      </c>
      <c r="AE1417">
        <v>0</v>
      </c>
      <c r="AF1417">
        <v>0</v>
      </c>
      <c r="BC1417">
        <v>0</v>
      </c>
      <c r="BD1417">
        <v>17</v>
      </c>
      <c r="BE1417">
        <v>357</v>
      </c>
      <c r="BF1417">
        <v>357</v>
      </c>
      <c r="BG1417">
        <v>423</v>
      </c>
      <c r="BJ1417">
        <v>1</v>
      </c>
      <c r="BL1417" t="s">
        <v>2974</v>
      </c>
      <c r="BM1417" s="4">
        <v>43283.293171296296</v>
      </c>
      <c r="BN1417" s="4">
        <v>43283.318414351852</v>
      </c>
      <c r="BO1417" s="4">
        <v>43283.318414351852</v>
      </c>
      <c r="BP1417" t="s">
        <v>92</v>
      </c>
      <c r="BQ1417" t="s">
        <v>93</v>
      </c>
      <c r="BR1417" t="s">
        <v>94</v>
      </c>
    </row>
    <row r="1418" spans="1:70" x14ac:dyDescent="0.3">
      <c r="A1418" t="str">
        <f>"200806B0100"</f>
        <v>200806B0100</v>
      </c>
      <c r="B1418" t="s">
        <v>2975</v>
      </c>
      <c r="C1418">
        <v>20</v>
      </c>
      <c r="D1418" t="s">
        <v>88</v>
      </c>
      <c r="E1418">
        <v>115</v>
      </c>
      <c r="F1418" t="s">
        <v>2967</v>
      </c>
      <c r="G1418">
        <v>806</v>
      </c>
      <c r="H1418">
        <v>1</v>
      </c>
      <c r="I1418" t="s">
        <v>90</v>
      </c>
      <c r="J1418">
        <v>0</v>
      </c>
      <c r="K1418">
        <v>2</v>
      </c>
      <c r="L1418">
        <v>5</v>
      </c>
      <c r="M1418" t="s">
        <v>105</v>
      </c>
      <c r="N1418" t="s">
        <v>105</v>
      </c>
      <c r="O1418" t="s">
        <v>105</v>
      </c>
      <c r="P1418" t="s">
        <v>105</v>
      </c>
      <c r="Q1418">
        <v>2</v>
      </c>
      <c r="R1418">
        <v>118</v>
      </c>
      <c r="S1418">
        <v>1</v>
      </c>
      <c r="V1418">
        <v>5</v>
      </c>
      <c r="W1418">
        <v>84</v>
      </c>
      <c r="X1418">
        <v>181</v>
      </c>
      <c r="AA1418">
        <v>164</v>
      </c>
      <c r="AC1418">
        <v>0</v>
      </c>
      <c r="AD1418">
        <v>0</v>
      </c>
      <c r="AE1418">
        <v>0</v>
      </c>
      <c r="AF1418">
        <v>0</v>
      </c>
      <c r="BC1418">
        <v>0</v>
      </c>
      <c r="BD1418">
        <v>20</v>
      </c>
      <c r="BE1418">
        <v>575</v>
      </c>
      <c r="BF1418">
        <v>575</v>
      </c>
      <c r="BG1418">
        <v>684</v>
      </c>
      <c r="BJ1418">
        <v>1</v>
      </c>
      <c r="BL1418" t="s">
        <v>2976</v>
      </c>
      <c r="BM1418" s="4">
        <v>43283.294166666667</v>
      </c>
      <c r="BN1418" s="4">
        <v>43283.319490740738</v>
      </c>
      <c r="BO1418" s="4">
        <v>43283.319490740738</v>
      </c>
      <c r="BP1418" t="s">
        <v>92</v>
      </c>
      <c r="BQ1418" t="s">
        <v>93</v>
      </c>
      <c r="BR1418" t="s">
        <v>94</v>
      </c>
    </row>
    <row r="1419" spans="1:70" x14ac:dyDescent="0.3">
      <c r="A1419" t="str">
        <f>"200814B0100"</f>
        <v>200814B0100</v>
      </c>
      <c r="B1419" t="s">
        <v>2977</v>
      </c>
      <c r="C1419">
        <v>20</v>
      </c>
      <c r="D1419" t="s">
        <v>88</v>
      </c>
      <c r="E1419">
        <v>121</v>
      </c>
      <c r="F1419" t="s">
        <v>2978</v>
      </c>
      <c r="G1419">
        <v>814</v>
      </c>
      <c r="H1419">
        <v>1</v>
      </c>
      <c r="I1419" t="s">
        <v>90</v>
      </c>
      <c r="J1419">
        <v>0</v>
      </c>
      <c r="K1419">
        <v>1</v>
      </c>
      <c r="L1419">
        <v>5</v>
      </c>
      <c r="M1419">
        <v>125</v>
      </c>
      <c r="N1419">
        <v>441</v>
      </c>
      <c r="O1419">
        <v>1</v>
      </c>
      <c r="P1419">
        <v>441</v>
      </c>
      <c r="Q1419">
        <v>0</v>
      </c>
      <c r="R1419">
        <v>135</v>
      </c>
      <c r="S1419">
        <v>59</v>
      </c>
      <c r="T1419">
        <v>3</v>
      </c>
      <c r="U1419">
        <v>6</v>
      </c>
      <c r="V1419">
        <v>3</v>
      </c>
      <c r="W1419">
        <v>8</v>
      </c>
      <c r="X1419">
        <v>2</v>
      </c>
      <c r="Y1419">
        <v>209</v>
      </c>
      <c r="Z1419">
        <v>0</v>
      </c>
      <c r="AA1419">
        <v>0</v>
      </c>
      <c r="AC1419">
        <v>0</v>
      </c>
      <c r="AD1419">
        <v>1</v>
      </c>
      <c r="AE1419">
        <v>0</v>
      </c>
      <c r="AF1419">
        <v>0</v>
      </c>
      <c r="AK1419">
        <v>1</v>
      </c>
      <c r="AL1419">
        <v>0</v>
      </c>
      <c r="AM1419">
        <v>0</v>
      </c>
      <c r="AN1419">
        <v>1</v>
      </c>
      <c r="AS1419">
        <v>0</v>
      </c>
      <c r="AT1419">
        <v>0</v>
      </c>
      <c r="AU1419">
        <v>0</v>
      </c>
      <c r="AV1419">
        <v>0</v>
      </c>
      <c r="BC1419">
        <v>0</v>
      </c>
      <c r="BD1419">
        <v>13</v>
      </c>
      <c r="BE1419" t="s">
        <v>105</v>
      </c>
      <c r="BF1419">
        <v>441</v>
      </c>
      <c r="BG1419">
        <v>544</v>
      </c>
      <c r="BJ1419">
        <v>1</v>
      </c>
      <c r="BL1419" t="s">
        <v>2979</v>
      </c>
      <c r="BM1419" s="4">
        <v>43282.977777777778</v>
      </c>
      <c r="BN1419" s="4">
        <v>43282.995613425926</v>
      </c>
      <c r="BO1419" s="4">
        <v>43282.995613425926</v>
      </c>
      <c r="BP1419" t="s">
        <v>92</v>
      </c>
      <c r="BQ1419" t="s">
        <v>93</v>
      </c>
      <c r="BR1419" t="s">
        <v>94</v>
      </c>
    </row>
    <row r="1420" spans="1:70" x14ac:dyDescent="0.3">
      <c r="A1420" t="str">
        <f>"200814C0100"</f>
        <v>200814C0100</v>
      </c>
      <c r="B1420" t="s">
        <v>2980</v>
      </c>
      <c r="C1420">
        <v>20</v>
      </c>
      <c r="D1420" t="s">
        <v>88</v>
      </c>
      <c r="E1420">
        <v>121</v>
      </c>
      <c r="F1420" t="s">
        <v>2978</v>
      </c>
      <c r="G1420">
        <v>814</v>
      </c>
      <c r="H1420">
        <v>1</v>
      </c>
      <c r="I1420" t="s">
        <v>98</v>
      </c>
      <c r="J1420">
        <v>0</v>
      </c>
      <c r="K1420">
        <v>1</v>
      </c>
      <c r="L1420">
        <v>5</v>
      </c>
      <c r="M1420" t="s">
        <v>127</v>
      </c>
      <c r="N1420" t="s">
        <v>127</v>
      </c>
      <c r="O1420" t="s">
        <v>127</v>
      </c>
      <c r="P1420">
        <v>435</v>
      </c>
      <c r="Q1420">
        <v>1</v>
      </c>
      <c r="R1420">
        <v>116</v>
      </c>
      <c r="S1420" t="s">
        <v>127</v>
      </c>
      <c r="T1420">
        <v>0</v>
      </c>
      <c r="U1420">
        <v>3</v>
      </c>
      <c r="V1420">
        <v>4</v>
      </c>
      <c r="W1420">
        <v>18</v>
      </c>
      <c r="X1420">
        <v>2</v>
      </c>
      <c r="Y1420">
        <v>234</v>
      </c>
      <c r="Z1420" t="s">
        <v>127</v>
      </c>
      <c r="AA1420">
        <v>1</v>
      </c>
      <c r="AC1420">
        <v>0</v>
      </c>
      <c r="AD1420">
        <v>0</v>
      </c>
      <c r="AE1420">
        <v>0</v>
      </c>
      <c r="AF1420">
        <v>0</v>
      </c>
      <c r="AK1420">
        <v>4</v>
      </c>
      <c r="AL1420">
        <v>1</v>
      </c>
      <c r="AM1420">
        <v>0</v>
      </c>
      <c r="AN1420">
        <v>0</v>
      </c>
      <c r="AS1420">
        <v>0</v>
      </c>
      <c r="AT1420">
        <v>1</v>
      </c>
      <c r="AU1420">
        <v>0</v>
      </c>
      <c r="AV1420">
        <v>0</v>
      </c>
      <c r="BC1420">
        <v>0</v>
      </c>
      <c r="BD1420">
        <v>8</v>
      </c>
      <c r="BE1420">
        <v>435</v>
      </c>
      <c r="BF1420">
        <v>393</v>
      </c>
      <c r="BG1420">
        <v>544</v>
      </c>
      <c r="BI1420" t="s">
        <v>106</v>
      </c>
      <c r="BJ1420">
        <v>1</v>
      </c>
      <c r="BL1420" t="s">
        <v>2981</v>
      </c>
      <c r="BM1420" s="4">
        <v>43282.973611111112</v>
      </c>
      <c r="BN1420" s="4">
        <v>43283.021307870367</v>
      </c>
      <c r="BO1420" s="4">
        <v>43283.021307870367</v>
      </c>
      <c r="BP1420" t="s">
        <v>92</v>
      </c>
      <c r="BQ1420" t="s">
        <v>93</v>
      </c>
      <c r="BR1420" t="s">
        <v>94</v>
      </c>
    </row>
    <row r="1421" spans="1:70" x14ac:dyDescent="0.3">
      <c r="A1421" t="str">
        <f>"200814C0200"</f>
        <v>200814C0200</v>
      </c>
      <c r="B1421" t="s">
        <v>2982</v>
      </c>
      <c r="C1421">
        <v>20</v>
      </c>
      <c r="D1421" t="s">
        <v>88</v>
      </c>
      <c r="E1421">
        <v>121</v>
      </c>
      <c r="F1421" t="s">
        <v>2978</v>
      </c>
      <c r="G1421">
        <v>814</v>
      </c>
      <c r="H1421">
        <v>2</v>
      </c>
      <c r="I1421" t="s">
        <v>98</v>
      </c>
      <c r="J1421">
        <v>0</v>
      </c>
      <c r="K1421">
        <v>1</v>
      </c>
      <c r="L1421">
        <v>5</v>
      </c>
      <c r="M1421">
        <v>114</v>
      </c>
      <c r="N1421">
        <v>453</v>
      </c>
      <c r="O1421">
        <v>3</v>
      </c>
      <c r="P1421">
        <v>453</v>
      </c>
      <c r="Q1421">
        <v>6</v>
      </c>
      <c r="R1421">
        <v>100</v>
      </c>
      <c r="S1421">
        <v>42</v>
      </c>
      <c r="T1421">
        <v>1</v>
      </c>
      <c r="U1421">
        <v>6</v>
      </c>
      <c r="V1421">
        <v>5</v>
      </c>
      <c r="W1421">
        <v>6</v>
      </c>
      <c r="X1421">
        <v>1</v>
      </c>
      <c r="Y1421">
        <v>271</v>
      </c>
      <c r="Z1421">
        <v>0</v>
      </c>
      <c r="AA1421">
        <v>1</v>
      </c>
      <c r="AC1421">
        <v>0</v>
      </c>
      <c r="AD1421">
        <v>0</v>
      </c>
      <c r="AE1421">
        <v>0</v>
      </c>
      <c r="AF1421">
        <v>0</v>
      </c>
      <c r="AK1421">
        <v>3</v>
      </c>
      <c r="AL1421">
        <v>0</v>
      </c>
      <c r="AM1421">
        <v>0</v>
      </c>
      <c r="AN1421">
        <v>0</v>
      </c>
      <c r="AS1421">
        <v>0</v>
      </c>
      <c r="AT1421">
        <v>1</v>
      </c>
      <c r="AU1421">
        <v>0</v>
      </c>
      <c r="AV1421">
        <v>1</v>
      </c>
      <c r="BC1421">
        <v>0</v>
      </c>
      <c r="BD1421">
        <v>7</v>
      </c>
      <c r="BE1421">
        <v>451</v>
      </c>
      <c r="BF1421">
        <v>451</v>
      </c>
      <c r="BG1421">
        <v>544</v>
      </c>
      <c r="BJ1421">
        <v>1</v>
      </c>
      <c r="BL1421" t="s">
        <v>2983</v>
      </c>
      <c r="BM1421" s="4">
        <v>43282.978472222225</v>
      </c>
      <c r="BN1421" s="4">
        <v>43282.994895833333</v>
      </c>
      <c r="BO1421" s="4">
        <v>43282.994895833333</v>
      </c>
      <c r="BP1421" t="s">
        <v>92</v>
      </c>
      <c r="BQ1421" t="s">
        <v>93</v>
      </c>
      <c r="BR1421" t="s">
        <v>94</v>
      </c>
    </row>
    <row r="1422" spans="1:70" x14ac:dyDescent="0.3">
      <c r="A1422" t="str">
        <f>"200815B0100"</f>
        <v>200815B0100</v>
      </c>
      <c r="B1422" t="s">
        <v>2984</v>
      </c>
      <c r="C1422">
        <v>20</v>
      </c>
      <c r="D1422" t="s">
        <v>88</v>
      </c>
      <c r="E1422">
        <v>121</v>
      </c>
      <c r="F1422" t="s">
        <v>2978</v>
      </c>
      <c r="G1422">
        <v>815</v>
      </c>
      <c r="H1422">
        <v>1</v>
      </c>
      <c r="I1422" t="s">
        <v>90</v>
      </c>
      <c r="J1422">
        <v>0</v>
      </c>
      <c r="K1422">
        <v>1</v>
      </c>
      <c r="L1422">
        <v>5</v>
      </c>
      <c r="M1422">
        <v>185</v>
      </c>
      <c r="N1422">
        <v>476</v>
      </c>
      <c r="O1422">
        <v>7</v>
      </c>
      <c r="P1422">
        <v>475</v>
      </c>
      <c r="Q1422">
        <v>4</v>
      </c>
      <c r="R1422">
        <v>112</v>
      </c>
      <c r="S1422">
        <v>95</v>
      </c>
      <c r="T1422">
        <v>0</v>
      </c>
      <c r="U1422">
        <v>9</v>
      </c>
      <c r="V1422">
        <v>6</v>
      </c>
      <c r="W1422">
        <v>8</v>
      </c>
      <c r="X1422">
        <v>2</v>
      </c>
      <c r="Y1422">
        <v>222</v>
      </c>
      <c r="Z1422">
        <v>0</v>
      </c>
      <c r="AA1422">
        <v>0</v>
      </c>
      <c r="AC1422">
        <v>2</v>
      </c>
      <c r="AD1422">
        <v>0</v>
      </c>
      <c r="AE1422">
        <v>0</v>
      </c>
      <c r="AF1422">
        <v>0</v>
      </c>
      <c r="AK1422">
        <v>0</v>
      </c>
      <c r="AL1422">
        <v>0</v>
      </c>
      <c r="AM1422">
        <v>0</v>
      </c>
      <c r="AN1422">
        <v>0</v>
      </c>
      <c r="AS1422">
        <v>0</v>
      </c>
      <c r="AT1422">
        <v>0</v>
      </c>
      <c r="AU1422">
        <v>0</v>
      </c>
      <c r="AV1422">
        <v>1</v>
      </c>
      <c r="BC1422">
        <v>0</v>
      </c>
      <c r="BD1422">
        <v>13</v>
      </c>
      <c r="BE1422">
        <v>472</v>
      </c>
      <c r="BF1422">
        <v>474</v>
      </c>
      <c r="BG1422">
        <v>637</v>
      </c>
      <c r="BJ1422">
        <v>1</v>
      </c>
      <c r="BL1422" t="s">
        <v>2985</v>
      </c>
      <c r="BM1422" s="4">
        <v>43283.147916666669</v>
      </c>
      <c r="BN1422" s="4">
        <v>43283.156712962962</v>
      </c>
      <c r="BO1422" s="4">
        <v>43283.156712962962</v>
      </c>
      <c r="BP1422" t="s">
        <v>92</v>
      </c>
      <c r="BQ1422" t="s">
        <v>93</v>
      </c>
      <c r="BR1422" t="s">
        <v>94</v>
      </c>
    </row>
    <row r="1423" spans="1:70" x14ac:dyDescent="0.3">
      <c r="A1423" t="str">
        <f>"200815C0100"</f>
        <v>200815C0100</v>
      </c>
      <c r="B1423" t="s">
        <v>2986</v>
      </c>
      <c r="C1423">
        <v>20</v>
      </c>
      <c r="D1423" t="s">
        <v>88</v>
      </c>
      <c r="E1423">
        <v>121</v>
      </c>
      <c r="F1423" t="s">
        <v>2978</v>
      </c>
      <c r="G1423">
        <v>815</v>
      </c>
      <c r="H1423">
        <v>1</v>
      </c>
      <c r="I1423" t="s">
        <v>98</v>
      </c>
      <c r="J1423">
        <v>0</v>
      </c>
      <c r="K1423">
        <v>1</v>
      </c>
      <c r="L1423">
        <v>5</v>
      </c>
      <c r="M1423">
        <v>151</v>
      </c>
      <c r="N1423">
        <v>508</v>
      </c>
      <c r="O1423">
        <v>0</v>
      </c>
      <c r="P1423">
        <v>508</v>
      </c>
      <c r="Q1423">
        <v>1</v>
      </c>
      <c r="R1423">
        <v>138</v>
      </c>
      <c r="S1423">
        <v>103</v>
      </c>
      <c r="T1423">
        <v>0</v>
      </c>
      <c r="U1423">
        <v>6</v>
      </c>
      <c r="V1423">
        <v>5</v>
      </c>
      <c r="W1423">
        <v>4</v>
      </c>
      <c r="X1423">
        <v>3</v>
      </c>
      <c r="Y1423">
        <v>229</v>
      </c>
      <c r="Z1423">
        <v>4</v>
      </c>
      <c r="AA1423">
        <v>0</v>
      </c>
      <c r="AC1423">
        <v>0</v>
      </c>
      <c r="AD1423">
        <v>0</v>
      </c>
      <c r="AE1423">
        <v>0</v>
      </c>
      <c r="AF1423">
        <v>0</v>
      </c>
      <c r="AK1423">
        <v>3</v>
      </c>
      <c r="AL1423">
        <v>0</v>
      </c>
      <c r="AM1423">
        <v>0</v>
      </c>
      <c r="AN1423">
        <v>0</v>
      </c>
      <c r="AS1423">
        <v>2</v>
      </c>
      <c r="AT1423">
        <v>0</v>
      </c>
      <c r="AU1423">
        <v>0</v>
      </c>
      <c r="AV1423">
        <v>0</v>
      </c>
      <c r="BC1423">
        <v>0</v>
      </c>
      <c r="BD1423">
        <v>13</v>
      </c>
      <c r="BE1423">
        <v>511</v>
      </c>
      <c r="BF1423">
        <v>511</v>
      </c>
      <c r="BG1423">
        <v>636</v>
      </c>
      <c r="BJ1423">
        <v>1</v>
      </c>
      <c r="BL1423" t="s">
        <v>2987</v>
      </c>
      <c r="BM1423" s="4">
        <v>43283.140972222223</v>
      </c>
      <c r="BN1423" s="4">
        <v>43283.148564814815</v>
      </c>
      <c r="BO1423" s="4">
        <v>43283.148564814815</v>
      </c>
      <c r="BP1423" t="s">
        <v>92</v>
      </c>
      <c r="BQ1423" t="s">
        <v>93</v>
      </c>
      <c r="BR1423" t="s">
        <v>94</v>
      </c>
    </row>
    <row r="1424" spans="1:70" x14ac:dyDescent="0.3">
      <c r="A1424" t="str">
        <f>"200815C0200"</f>
        <v>200815C0200</v>
      </c>
      <c r="B1424" t="s">
        <v>2988</v>
      </c>
      <c r="C1424">
        <v>20</v>
      </c>
      <c r="D1424" t="s">
        <v>88</v>
      </c>
      <c r="E1424">
        <v>121</v>
      </c>
      <c r="F1424" t="s">
        <v>2978</v>
      </c>
      <c r="G1424">
        <v>815</v>
      </c>
      <c r="H1424">
        <v>2</v>
      </c>
      <c r="I1424" t="s">
        <v>98</v>
      </c>
      <c r="J1424">
        <v>0</v>
      </c>
      <c r="K1424">
        <v>1</v>
      </c>
      <c r="L1424">
        <v>5</v>
      </c>
      <c r="M1424">
        <v>159</v>
      </c>
      <c r="N1424">
        <v>500</v>
      </c>
      <c r="O1424">
        <v>0</v>
      </c>
      <c r="P1424">
        <v>496</v>
      </c>
      <c r="Q1424">
        <v>1</v>
      </c>
      <c r="R1424">
        <v>110</v>
      </c>
      <c r="S1424">
        <v>92</v>
      </c>
      <c r="T1424">
        <v>1</v>
      </c>
      <c r="U1424">
        <v>6</v>
      </c>
      <c r="V1424">
        <v>2</v>
      </c>
      <c r="W1424">
        <v>17</v>
      </c>
      <c r="X1424">
        <v>7</v>
      </c>
      <c r="Y1424">
        <v>242</v>
      </c>
      <c r="Z1424">
        <v>3</v>
      </c>
      <c r="AA1424">
        <v>0</v>
      </c>
      <c r="AC1424">
        <v>0</v>
      </c>
      <c r="AD1424">
        <v>0</v>
      </c>
      <c r="AE1424">
        <v>0</v>
      </c>
      <c r="AF1424">
        <v>0</v>
      </c>
      <c r="AK1424">
        <v>0</v>
      </c>
      <c r="AL1424">
        <v>1</v>
      </c>
      <c r="AM1424">
        <v>2</v>
      </c>
      <c r="AN1424">
        <v>0</v>
      </c>
      <c r="AS1424">
        <v>0</v>
      </c>
      <c r="AT1424">
        <v>1</v>
      </c>
      <c r="AU1424">
        <v>1</v>
      </c>
      <c r="AV1424">
        <v>0</v>
      </c>
      <c r="BC1424">
        <v>0</v>
      </c>
      <c r="BD1424">
        <v>13</v>
      </c>
      <c r="BE1424">
        <v>499</v>
      </c>
      <c r="BF1424">
        <v>499</v>
      </c>
      <c r="BG1424">
        <v>636</v>
      </c>
      <c r="BJ1424">
        <v>1</v>
      </c>
      <c r="BL1424" t="s">
        <v>2989</v>
      </c>
      <c r="BM1424" s="4">
        <v>43283.143750000003</v>
      </c>
      <c r="BN1424" s="4">
        <v>43283.152071759258</v>
      </c>
      <c r="BO1424" s="4">
        <v>43283.152071759258</v>
      </c>
      <c r="BP1424" t="s">
        <v>92</v>
      </c>
      <c r="BQ1424" t="s">
        <v>93</v>
      </c>
      <c r="BR1424" t="s">
        <v>94</v>
      </c>
    </row>
    <row r="1425" spans="1:70" x14ac:dyDescent="0.3">
      <c r="A1425" t="str">
        <f>"200815C0300"</f>
        <v>200815C0300</v>
      </c>
      <c r="B1425" t="s">
        <v>2990</v>
      </c>
      <c r="C1425">
        <v>20</v>
      </c>
      <c r="D1425" t="s">
        <v>88</v>
      </c>
      <c r="E1425">
        <v>121</v>
      </c>
      <c r="F1425" t="s">
        <v>2978</v>
      </c>
      <c r="G1425">
        <v>815</v>
      </c>
      <c r="H1425">
        <v>3</v>
      </c>
      <c r="I1425" t="s">
        <v>98</v>
      </c>
      <c r="J1425">
        <v>0</v>
      </c>
      <c r="K1425">
        <v>1</v>
      </c>
      <c r="L1425">
        <v>5</v>
      </c>
      <c r="M1425">
        <v>158</v>
      </c>
      <c r="N1425">
        <v>501</v>
      </c>
      <c r="O1425">
        <v>1</v>
      </c>
      <c r="P1425">
        <v>497</v>
      </c>
      <c r="Q1425">
        <v>5</v>
      </c>
      <c r="R1425">
        <v>121</v>
      </c>
      <c r="S1425">
        <v>101</v>
      </c>
      <c r="T1425">
        <v>0</v>
      </c>
      <c r="U1425">
        <v>5</v>
      </c>
      <c r="V1425">
        <v>3</v>
      </c>
      <c r="W1425">
        <v>11</v>
      </c>
      <c r="X1425">
        <v>2</v>
      </c>
      <c r="Y1425">
        <v>226</v>
      </c>
      <c r="Z1425">
        <v>6</v>
      </c>
      <c r="AA1425">
        <v>1</v>
      </c>
      <c r="AC1425">
        <v>1</v>
      </c>
      <c r="AD1425">
        <v>0</v>
      </c>
      <c r="AE1425">
        <v>0</v>
      </c>
      <c r="AF1425">
        <v>0</v>
      </c>
      <c r="AK1425">
        <v>1</v>
      </c>
      <c r="AL1425">
        <v>0</v>
      </c>
      <c r="AM1425">
        <v>1</v>
      </c>
      <c r="AN1425">
        <v>0</v>
      </c>
      <c r="AS1425">
        <v>1</v>
      </c>
      <c r="AT1425">
        <v>1</v>
      </c>
      <c r="AU1425">
        <v>0</v>
      </c>
      <c r="AV1425">
        <v>0</v>
      </c>
      <c r="BC1425" t="s">
        <v>105</v>
      </c>
      <c r="BD1425">
        <v>13</v>
      </c>
      <c r="BE1425">
        <v>501</v>
      </c>
      <c r="BF1425">
        <v>499</v>
      </c>
      <c r="BG1425">
        <v>636</v>
      </c>
      <c r="BI1425" t="s">
        <v>106</v>
      </c>
      <c r="BJ1425">
        <v>1</v>
      </c>
      <c r="BL1425" t="s">
        <v>2991</v>
      </c>
      <c r="BM1425" s="4">
        <v>43283.15</v>
      </c>
      <c r="BN1425" s="4">
        <v>43283.164004629631</v>
      </c>
      <c r="BO1425" s="4">
        <v>43283.164004629631</v>
      </c>
      <c r="BP1425" t="s">
        <v>92</v>
      </c>
      <c r="BQ1425" t="s">
        <v>93</v>
      </c>
      <c r="BR1425" t="s">
        <v>94</v>
      </c>
    </row>
    <row r="1426" spans="1:70" x14ac:dyDescent="0.3">
      <c r="A1426" t="str">
        <f>"200815C0400"</f>
        <v>200815C0400</v>
      </c>
      <c r="B1426" t="s">
        <v>2992</v>
      </c>
      <c r="C1426">
        <v>20</v>
      </c>
      <c r="D1426" t="s">
        <v>88</v>
      </c>
      <c r="E1426">
        <v>121</v>
      </c>
      <c r="F1426" t="s">
        <v>2978</v>
      </c>
      <c r="G1426">
        <v>815</v>
      </c>
      <c r="H1426">
        <v>4</v>
      </c>
      <c r="I1426" t="s">
        <v>98</v>
      </c>
      <c r="J1426">
        <v>0</v>
      </c>
      <c r="K1426">
        <v>1</v>
      </c>
      <c r="L1426">
        <v>5</v>
      </c>
      <c r="M1426">
        <v>171</v>
      </c>
      <c r="N1426">
        <v>488</v>
      </c>
      <c r="O1426">
        <v>0</v>
      </c>
      <c r="P1426">
        <v>488</v>
      </c>
      <c r="Q1426">
        <v>4</v>
      </c>
      <c r="R1426">
        <v>105</v>
      </c>
      <c r="S1426">
        <v>101</v>
      </c>
      <c r="T1426">
        <v>1</v>
      </c>
      <c r="U1426">
        <v>6</v>
      </c>
      <c r="V1426">
        <v>4</v>
      </c>
      <c r="W1426">
        <v>5</v>
      </c>
      <c r="X1426" t="s">
        <v>105</v>
      </c>
      <c r="Y1426">
        <v>245</v>
      </c>
      <c r="Z1426">
        <v>2</v>
      </c>
      <c r="AA1426" t="s">
        <v>105</v>
      </c>
      <c r="AC1426" t="s">
        <v>105</v>
      </c>
      <c r="AD1426" t="s">
        <v>105</v>
      </c>
      <c r="AE1426" t="s">
        <v>105</v>
      </c>
      <c r="AF1426" t="s">
        <v>105</v>
      </c>
      <c r="AK1426">
        <v>1</v>
      </c>
      <c r="AL1426">
        <v>1</v>
      </c>
      <c r="AM1426">
        <v>1</v>
      </c>
      <c r="AN1426" t="s">
        <v>105</v>
      </c>
      <c r="AS1426" t="s">
        <v>105</v>
      </c>
      <c r="AT1426" t="s">
        <v>105</v>
      </c>
      <c r="AU1426" t="s">
        <v>105</v>
      </c>
      <c r="AV1426" t="s">
        <v>105</v>
      </c>
      <c r="BC1426" t="s">
        <v>105</v>
      </c>
      <c r="BD1426">
        <v>12</v>
      </c>
      <c r="BE1426">
        <v>488</v>
      </c>
      <c r="BF1426">
        <v>488</v>
      </c>
      <c r="BG1426">
        <v>636</v>
      </c>
      <c r="BI1426" t="s">
        <v>106</v>
      </c>
      <c r="BJ1426">
        <v>1</v>
      </c>
      <c r="BL1426" s="2" t="s">
        <v>2993</v>
      </c>
      <c r="BM1426" s="4">
        <v>43283.03402777778</v>
      </c>
      <c r="BN1426" s="4">
        <v>43283.04005787037</v>
      </c>
      <c r="BO1426" s="4">
        <v>43283.04005787037</v>
      </c>
      <c r="BP1426" t="s">
        <v>92</v>
      </c>
      <c r="BQ1426" t="s">
        <v>93</v>
      </c>
      <c r="BR1426" t="s">
        <v>94</v>
      </c>
    </row>
    <row r="1427" spans="1:70" x14ac:dyDescent="0.3">
      <c r="A1427" t="str">
        <f>"200816B0100"</f>
        <v>200816B0100</v>
      </c>
      <c r="B1427" t="s">
        <v>2994</v>
      </c>
      <c r="C1427">
        <v>20</v>
      </c>
      <c r="D1427" t="s">
        <v>88</v>
      </c>
      <c r="E1427">
        <v>121</v>
      </c>
      <c r="F1427" t="s">
        <v>2978</v>
      </c>
      <c r="G1427">
        <v>816</v>
      </c>
      <c r="H1427">
        <v>1</v>
      </c>
      <c r="I1427" t="s">
        <v>90</v>
      </c>
      <c r="J1427">
        <v>0</v>
      </c>
      <c r="K1427">
        <v>1</v>
      </c>
      <c r="L1427">
        <v>5</v>
      </c>
      <c r="M1427">
        <v>137</v>
      </c>
      <c r="N1427">
        <v>534</v>
      </c>
      <c r="O1427">
        <v>4</v>
      </c>
      <c r="P1427">
        <v>535</v>
      </c>
      <c r="Q1427">
        <v>6</v>
      </c>
      <c r="R1427">
        <v>122</v>
      </c>
      <c r="S1427">
        <v>140</v>
      </c>
      <c r="T1427">
        <v>2</v>
      </c>
      <c r="U1427">
        <v>7</v>
      </c>
      <c r="V1427">
        <v>5</v>
      </c>
      <c r="W1427">
        <v>4</v>
      </c>
      <c r="X1427">
        <v>7</v>
      </c>
      <c r="Y1427">
        <v>219</v>
      </c>
      <c r="Z1427">
        <v>5</v>
      </c>
      <c r="AA1427">
        <v>0</v>
      </c>
      <c r="AC1427">
        <v>1</v>
      </c>
      <c r="AD1427">
        <v>0</v>
      </c>
      <c r="AE1427">
        <v>0</v>
      </c>
      <c r="AF1427">
        <v>1</v>
      </c>
      <c r="AK1427">
        <v>4</v>
      </c>
      <c r="AL1427">
        <v>0</v>
      </c>
      <c r="AM1427">
        <v>0</v>
      </c>
      <c r="AN1427">
        <v>0</v>
      </c>
      <c r="AS1427">
        <v>0</v>
      </c>
      <c r="AT1427">
        <v>0</v>
      </c>
      <c r="AU1427">
        <v>0</v>
      </c>
      <c r="AV1427">
        <v>0</v>
      </c>
      <c r="BC1427">
        <v>0</v>
      </c>
      <c r="BD1427">
        <v>13</v>
      </c>
      <c r="BE1427">
        <v>535</v>
      </c>
      <c r="BF1427">
        <v>536</v>
      </c>
      <c r="BG1427">
        <v>650</v>
      </c>
      <c r="BJ1427">
        <v>1</v>
      </c>
      <c r="BL1427" t="s">
        <v>2995</v>
      </c>
      <c r="BM1427" s="4">
        <v>43283.168749999997</v>
      </c>
      <c r="BN1427" s="4">
        <v>43283.183113425926</v>
      </c>
      <c r="BO1427" s="4">
        <v>43283.183113425926</v>
      </c>
      <c r="BP1427" t="s">
        <v>92</v>
      </c>
      <c r="BQ1427" t="s">
        <v>93</v>
      </c>
      <c r="BR1427" t="s">
        <v>94</v>
      </c>
    </row>
    <row r="1428" spans="1:70" x14ac:dyDescent="0.3">
      <c r="A1428" t="str">
        <f>"200816C0100"</f>
        <v>200816C0100</v>
      </c>
      <c r="B1428" t="s">
        <v>2996</v>
      </c>
      <c r="C1428">
        <v>20</v>
      </c>
      <c r="D1428" t="s">
        <v>88</v>
      </c>
      <c r="E1428">
        <v>121</v>
      </c>
      <c r="F1428" t="s">
        <v>2978</v>
      </c>
      <c r="G1428">
        <v>816</v>
      </c>
      <c r="H1428">
        <v>1</v>
      </c>
      <c r="I1428" t="s">
        <v>98</v>
      </c>
      <c r="J1428">
        <v>0</v>
      </c>
      <c r="K1428">
        <v>1</v>
      </c>
      <c r="L1428">
        <v>5</v>
      </c>
      <c r="M1428">
        <v>133</v>
      </c>
      <c r="N1428">
        <v>540</v>
      </c>
      <c r="O1428">
        <v>5</v>
      </c>
      <c r="P1428">
        <v>540</v>
      </c>
      <c r="Q1428">
        <v>2</v>
      </c>
      <c r="R1428">
        <v>138</v>
      </c>
      <c r="S1428">
        <v>151</v>
      </c>
      <c r="T1428">
        <v>0</v>
      </c>
      <c r="U1428">
        <v>6</v>
      </c>
      <c r="V1428">
        <v>3</v>
      </c>
      <c r="W1428">
        <v>5</v>
      </c>
      <c r="X1428">
        <v>2</v>
      </c>
      <c r="Y1428">
        <v>213</v>
      </c>
      <c r="Z1428">
        <v>2</v>
      </c>
      <c r="AA1428">
        <v>0</v>
      </c>
      <c r="AC1428">
        <v>1</v>
      </c>
      <c r="AD1428">
        <v>0</v>
      </c>
      <c r="AE1428">
        <v>0</v>
      </c>
      <c r="AF1428">
        <v>0</v>
      </c>
      <c r="AK1428">
        <v>1</v>
      </c>
      <c r="AL1428">
        <v>1</v>
      </c>
      <c r="AM1428">
        <v>0</v>
      </c>
      <c r="AN1428">
        <v>1</v>
      </c>
      <c r="AS1428">
        <v>0</v>
      </c>
      <c r="AT1428">
        <v>2</v>
      </c>
      <c r="AU1428">
        <v>0</v>
      </c>
      <c r="AV1428">
        <v>0</v>
      </c>
      <c r="BC1428">
        <v>0</v>
      </c>
      <c r="BD1428">
        <v>12</v>
      </c>
      <c r="BE1428">
        <v>540</v>
      </c>
      <c r="BF1428">
        <v>540</v>
      </c>
      <c r="BG1428">
        <v>650</v>
      </c>
      <c r="BJ1428">
        <v>1</v>
      </c>
      <c r="BL1428" t="s">
        <v>2997</v>
      </c>
      <c r="BM1428" s="4">
        <v>43283.171527777777</v>
      </c>
      <c r="BN1428" s="4">
        <v>43283.185995370368</v>
      </c>
      <c r="BO1428" s="4">
        <v>43283.185995370368</v>
      </c>
      <c r="BP1428" t="s">
        <v>92</v>
      </c>
      <c r="BQ1428" t="s">
        <v>93</v>
      </c>
      <c r="BR1428" t="s">
        <v>94</v>
      </c>
    </row>
    <row r="1429" spans="1:70" x14ac:dyDescent="0.3">
      <c r="A1429" t="str">
        <f>"200816C0200"</f>
        <v>200816C0200</v>
      </c>
      <c r="B1429" t="s">
        <v>2998</v>
      </c>
      <c r="C1429">
        <v>20</v>
      </c>
      <c r="D1429" t="s">
        <v>88</v>
      </c>
      <c r="E1429">
        <v>121</v>
      </c>
      <c r="F1429" t="s">
        <v>2978</v>
      </c>
      <c r="G1429">
        <v>816</v>
      </c>
      <c r="H1429">
        <v>2</v>
      </c>
      <c r="I1429" t="s">
        <v>98</v>
      </c>
      <c r="J1429">
        <v>0</v>
      </c>
      <c r="K1429">
        <v>1</v>
      </c>
      <c r="L1429">
        <v>5</v>
      </c>
      <c r="M1429">
        <v>133</v>
      </c>
      <c r="N1429" t="s">
        <v>105</v>
      </c>
      <c r="O1429">
        <v>0</v>
      </c>
      <c r="P1429">
        <v>538</v>
      </c>
      <c r="Q1429">
        <v>6</v>
      </c>
      <c r="R1429">
        <v>148</v>
      </c>
      <c r="S1429">
        <v>127</v>
      </c>
      <c r="T1429">
        <v>1</v>
      </c>
      <c r="U1429">
        <v>8</v>
      </c>
      <c r="V1429">
        <v>2</v>
      </c>
      <c r="W1429">
        <v>7</v>
      </c>
      <c r="X1429">
        <v>3</v>
      </c>
      <c r="Y1429">
        <v>209</v>
      </c>
      <c r="Z1429">
        <v>4</v>
      </c>
      <c r="AA1429">
        <v>1</v>
      </c>
      <c r="AC1429">
        <v>0</v>
      </c>
      <c r="AD1429">
        <v>2</v>
      </c>
      <c r="AE1429">
        <v>0</v>
      </c>
      <c r="AF1429">
        <v>0</v>
      </c>
      <c r="AK1429">
        <v>3</v>
      </c>
      <c r="AL1429">
        <v>2</v>
      </c>
      <c r="AM1429">
        <v>0</v>
      </c>
      <c r="AN1429">
        <v>1</v>
      </c>
      <c r="AS1429">
        <v>1</v>
      </c>
      <c r="AT1429">
        <v>0</v>
      </c>
      <c r="AU1429">
        <v>0</v>
      </c>
      <c r="AV1429">
        <v>0</v>
      </c>
      <c r="BC1429">
        <v>0</v>
      </c>
      <c r="BD1429">
        <v>13</v>
      </c>
      <c r="BE1429">
        <v>538</v>
      </c>
      <c r="BF1429">
        <v>538</v>
      </c>
      <c r="BG1429">
        <v>649</v>
      </c>
      <c r="BJ1429">
        <v>1</v>
      </c>
      <c r="BL1429" t="s">
        <v>2999</v>
      </c>
      <c r="BM1429" s="4">
        <v>43283.165972222225</v>
      </c>
      <c r="BN1429" s="4">
        <v>43283.191053240742</v>
      </c>
      <c r="BO1429" s="4">
        <v>43283.191053240742</v>
      </c>
      <c r="BP1429" t="s">
        <v>92</v>
      </c>
      <c r="BQ1429" t="s">
        <v>93</v>
      </c>
      <c r="BR1429" t="s">
        <v>94</v>
      </c>
    </row>
    <row r="1430" spans="1:70" x14ac:dyDescent="0.3">
      <c r="A1430" t="str">
        <f>"200817B0100"</f>
        <v>200817B0100</v>
      </c>
      <c r="B1430" t="s">
        <v>3000</v>
      </c>
      <c r="C1430">
        <v>20</v>
      </c>
      <c r="D1430" t="s">
        <v>88</v>
      </c>
      <c r="E1430">
        <v>121</v>
      </c>
      <c r="F1430" t="s">
        <v>2978</v>
      </c>
      <c r="G1430">
        <v>817</v>
      </c>
      <c r="H1430">
        <v>1</v>
      </c>
      <c r="I1430" t="s">
        <v>90</v>
      </c>
      <c r="J1430">
        <v>0</v>
      </c>
      <c r="K1430">
        <v>1</v>
      </c>
      <c r="L1430">
        <v>5</v>
      </c>
      <c r="M1430" t="s">
        <v>105</v>
      </c>
      <c r="N1430">
        <v>402</v>
      </c>
      <c r="O1430">
        <v>0</v>
      </c>
      <c r="P1430">
        <v>402</v>
      </c>
      <c r="Q1430">
        <v>2</v>
      </c>
      <c r="R1430">
        <v>71</v>
      </c>
      <c r="S1430">
        <v>100</v>
      </c>
      <c r="T1430">
        <v>2</v>
      </c>
      <c r="U1430">
        <v>6</v>
      </c>
      <c r="V1430">
        <v>3</v>
      </c>
      <c r="W1430">
        <v>6</v>
      </c>
      <c r="X1430">
        <v>3</v>
      </c>
      <c r="Y1430">
        <v>198</v>
      </c>
      <c r="Z1430" t="s">
        <v>105</v>
      </c>
      <c r="AA1430">
        <v>1</v>
      </c>
      <c r="AC1430" t="s">
        <v>105</v>
      </c>
      <c r="AD1430" t="s">
        <v>105</v>
      </c>
      <c r="AE1430" t="s">
        <v>105</v>
      </c>
      <c r="AF1430" t="s">
        <v>105</v>
      </c>
      <c r="AK1430" t="s">
        <v>105</v>
      </c>
      <c r="AL1430" t="s">
        <v>105</v>
      </c>
      <c r="AM1430" t="s">
        <v>105</v>
      </c>
      <c r="AN1430" t="s">
        <v>105</v>
      </c>
      <c r="AS1430" t="s">
        <v>105</v>
      </c>
      <c r="AT1430">
        <v>1</v>
      </c>
      <c r="AU1430" t="s">
        <v>105</v>
      </c>
      <c r="AV1430" t="s">
        <v>105</v>
      </c>
      <c r="BC1430" t="s">
        <v>105</v>
      </c>
      <c r="BD1430">
        <v>9</v>
      </c>
      <c r="BE1430">
        <v>402</v>
      </c>
      <c r="BF1430">
        <v>402</v>
      </c>
      <c r="BG1430">
        <v>521</v>
      </c>
      <c r="BI1430" t="s">
        <v>106</v>
      </c>
      <c r="BJ1430">
        <v>1</v>
      </c>
      <c r="BL1430" t="s">
        <v>3001</v>
      </c>
      <c r="BM1430" s="4">
        <v>43283.158333333333</v>
      </c>
      <c r="BN1430" s="4">
        <v>43283.169942129629</v>
      </c>
      <c r="BO1430" s="4">
        <v>43283.169942129629</v>
      </c>
      <c r="BP1430" t="s">
        <v>92</v>
      </c>
      <c r="BQ1430" t="s">
        <v>93</v>
      </c>
      <c r="BR1430" t="s">
        <v>94</v>
      </c>
    </row>
    <row r="1431" spans="1:70" x14ac:dyDescent="0.3">
      <c r="A1431" t="str">
        <f>"200817C0100"</f>
        <v>200817C0100</v>
      </c>
      <c r="B1431" t="s">
        <v>3002</v>
      </c>
      <c r="C1431">
        <v>20</v>
      </c>
      <c r="D1431" t="s">
        <v>88</v>
      </c>
      <c r="E1431">
        <v>121</v>
      </c>
      <c r="F1431" t="s">
        <v>2978</v>
      </c>
      <c r="G1431">
        <v>817</v>
      </c>
      <c r="H1431">
        <v>1</v>
      </c>
      <c r="I1431" t="s">
        <v>98</v>
      </c>
      <c r="J1431">
        <v>0</v>
      </c>
      <c r="K1431">
        <v>1</v>
      </c>
      <c r="L1431">
        <v>5</v>
      </c>
      <c r="M1431">
        <v>145</v>
      </c>
      <c r="N1431">
        <v>398</v>
      </c>
      <c r="O1431">
        <v>6</v>
      </c>
      <c r="P1431">
        <v>399</v>
      </c>
      <c r="Q1431">
        <v>2</v>
      </c>
      <c r="R1431">
        <v>95</v>
      </c>
      <c r="S1431">
        <v>110</v>
      </c>
      <c r="T1431">
        <v>1</v>
      </c>
      <c r="U1431">
        <v>4</v>
      </c>
      <c r="V1431">
        <v>1</v>
      </c>
      <c r="W1431">
        <v>5</v>
      </c>
      <c r="X1431">
        <v>3</v>
      </c>
      <c r="Y1431">
        <v>155</v>
      </c>
      <c r="Z1431">
        <v>1</v>
      </c>
      <c r="AA1431">
        <v>0</v>
      </c>
      <c r="AC1431">
        <v>2</v>
      </c>
      <c r="AD1431">
        <v>0</v>
      </c>
      <c r="AE1431">
        <v>0</v>
      </c>
      <c r="AF1431">
        <v>0</v>
      </c>
      <c r="AK1431">
        <v>2</v>
      </c>
      <c r="AL1431">
        <v>1</v>
      </c>
      <c r="AM1431">
        <v>0</v>
      </c>
      <c r="AN1431">
        <v>0</v>
      </c>
      <c r="AS1431">
        <v>0</v>
      </c>
      <c r="AT1431">
        <v>0</v>
      </c>
      <c r="AU1431">
        <v>0</v>
      </c>
      <c r="AV1431">
        <v>0</v>
      </c>
      <c r="BC1431">
        <v>0</v>
      </c>
      <c r="BD1431">
        <v>17</v>
      </c>
      <c r="BE1431">
        <v>399</v>
      </c>
      <c r="BF1431">
        <v>399</v>
      </c>
      <c r="BG1431">
        <v>521</v>
      </c>
      <c r="BJ1431">
        <v>1</v>
      </c>
      <c r="BL1431" t="s">
        <v>3003</v>
      </c>
      <c r="BM1431" s="4">
        <v>43283.163194444445</v>
      </c>
      <c r="BN1431" s="4">
        <v>43283.175196759257</v>
      </c>
      <c r="BO1431" s="4">
        <v>43283.175196759257</v>
      </c>
      <c r="BP1431" t="s">
        <v>92</v>
      </c>
      <c r="BQ1431" t="s">
        <v>93</v>
      </c>
      <c r="BR1431" t="s">
        <v>94</v>
      </c>
    </row>
    <row r="1432" spans="1:70" x14ac:dyDescent="0.3">
      <c r="A1432" t="str">
        <f>"200817C0200"</f>
        <v>200817C0200</v>
      </c>
      <c r="B1432" t="s">
        <v>3004</v>
      </c>
      <c r="C1432">
        <v>20</v>
      </c>
      <c r="D1432" t="s">
        <v>88</v>
      </c>
      <c r="E1432">
        <v>121</v>
      </c>
      <c r="F1432" t="s">
        <v>2978</v>
      </c>
      <c r="G1432">
        <v>817</v>
      </c>
      <c r="H1432">
        <v>2</v>
      </c>
      <c r="I1432" t="s">
        <v>98</v>
      </c>
      <c r="J1432">
        <v>0</v>
      </c>
      <c r="K1432">
        <v>1</v>
      </c>
      <c r="L1432">
        <v>5</v>
      </c>
      <c r="M1432">
        <v>116</v>
      </c>
      <c r="N1432">
        <v>429</v>
      </c>
      <c r="O1432">
        <v>0</v>
      </c>
      <c r="P1432">
        <v>429</v>
      </c>
      <c r="Q1432">
        <v>5</v>
      </c>
      <c r="R1432">
        <v>77</v>
      </c>
      <c r="S1432">
        <v>111</v>
      </c>
      <c r="T1432">
        <v>1</v>
      </c>
      <c r="U1432">
        <v>4</v>
      </c>
      <c r="V1432">
        <v>2</v>
      </c>
      <c r="W1432">
        <v>1</v>
      </c>
      <c r="X1432">
        <v>1</v>
      </c>
      <c r="Y1432">
        <v>203</v>
      </c>
      <c r="Z1432">
        <v>2</v>
      </c>
      <c r="AA1432">
        <v>3</v>
      </c>
      <c r="AC1432">
        <v>2</v>
      </c>
      <c r="AD1432">
        <v>1</v>
      </c>
      <c r="AE1432">
        <v>0</v>
      </c>
      <c r="AF1432">
        <v>0</v>
      </c>
      <c r="AK1432">
        <v>0</v>
      </c>
      <c r="AL1432">
        <v>2</v>
      </c>
      <c r="AM1432">
        <v>0</v>
      </c>
      <c r="AN1432">
        <v>1</v>
      </c>
      <c r="AS1432">
        <v>1</v>
      </c>
      <c r="AT1432">
        <v>2</v>
      </c>
      <c r="AU1432">
        <v>0</v>
      </c>
      <c r="AV1432">
        <v>0</v>
      </c>
      <c r="BC1432">
        <v>3</v>
      </c>
      <c r="BD1432">
        <v>2</v>
      </c>
      <c r="BE1432">
        <v>429</v>
      </c>
      <c r="BF1432">
        <v>424</v>
      </c>
      <c r="BG1432">
        <v>521</v>
      </c>
      <c r="BJ1432">
        <v>1</v>
      </c>
      <c r="BL1432" t="s">
        <v>3005</v>
      </c>
      <c r="BM1432" s="4">
        <v>43283.160416666666</v>
      </c>
      <c r="BN1432" s="4">
        <v>43283.174224537041</v>
      </c>
      <c r="BO1432" s="4">
        <v>43283.174224537041</v>
      </c>
      <c r="BP1432" t="s">
        <v>92</v>
      </c>
      <c r="BQ1432" t="s">
        <v>93</v>
      </c>
      <c r="BR1432" t="s">
        <v>94</v>
      </c>
    </row>
    <row r="1433" spans="1:70" x14ac:dyDescent="0.3">
      <c r="A1433" t="str">
        <f>"200818B0100"</f>
        <v>200818B0100</v>
      </c>
      <c r="B1433" t="s">
        <v>3006</v>
      </c>
      <c r="C1433">
        <v>20</v>
      </c>
      <c r="D1433" t="s">
        <v>88</v>
      </c>
      <c r="E1433">
        <v>121</v>
      </c>
      <c r="F1433" t="s">
        <v>2978</v>
      </c>
      <c r="G1433">
        <v>818</v>
      </c>
      <c r="H1433">
        <v>1</v>
      </c>
      <c r="I1433" t="s">
        <v>90</v>
      </c>
      <c r="J1433">
        <v>0</v>
      </c>
      <c r="K1433">
        <v>2</v>
      </c>
      <c r="L1433">
        <v>5</v>
      </c>
      <c r="M1433">
        <v>158</v>
      </c>
      <c r="N1433">
        <v>570</v>
      </c>
      <c r="O1433">
        <v>0</v>
      </c>
      <c r="P1433">
        <v>568</v>
      </c>
      <c r="Q1433">
        <v>2</v>
      </c>
      <c r="R1433">
        <v>125</v>
      </c>
      <c r="S1433">
        <v>121</v>
      </c>
      <c r="T1433">
        <v>1</v>
      </c>
      <c r="U1433">
        <v>10</v>
      </c>
      <c r="V1433">
        <v>1</v>
      </c>
      <c r="W1433">
        <v>6</v>
      </c>
      <c r="X1433">
        <v>2</v>
      </c>
      <c r="Y1433">
        <v>279</v>
      </c>
      <c r="Z1433">
        <v>4</v>
      </c>
      <c r="AA1433">
        <v>0</v>
      </c>
      <c r="AC1433">
        <v>1</v>
      </c>
      <c r="AD1433">
        <v>0</v>
      </c>
      <c r="AE1433">
        <v>0</v>
      </c>
      <c r="AF1433">
        <v>0</v>
      </c>
      <c r="AK1433">
        <v>2</v>
      </c>
      <c r="AL1433">
        <v>1</v>
      </c>
      <c r="AM1433">
        <v>0</v>
      </c>
      <c r="AN1433">
        <v>2</v>
      </c>
      <c r="AS1433">
        <v>0</v>
      </c>
      <c r="AT1433">
        <v>0</v>
      </c>
      <c r="AU1433">
        <v>0</v>
      </c>
      <c r="AV1433">
        <v>0</v>
      </c>
      <c r="BC1433">
        <v>0</v>
      </c>
      <c r="BD1433">
        <v>11</v>
      </c>
      <c r="BE1433">
        <v>568</v>
      </c>
      <c r="BF1433">
        <v>568</v>
      </c>
      <c r="BG1433">
        <v>704</v>
      </c>
      <c r="BJ1433">
        <v>1</v>
      </c>
      <c r="BL1433" t="s">
        <v>3007</v>
      </c>
      <c r="BM1433" s="4">
        <v>43283.116666666669</v>
      </c>
      <c r="BN1433" s="4">
        <v>43283.121932870374</v>
      </c>
      <c r="BO1433" s="4">
        <v>43283.121932870374</v>
      </c>
      <c r="BP1433" t="s">
        <v>92</v>
      </c>
      <c r="BQ1433" t="s">
        <v>93</v>
      </c>
      <c r="BR1433" t="s">
        <v>254</v>
      </c>
    </row>
    <row r="1434" spans="1:70" x14ac:dyDescent="0.3">
      <c r="A1434" t="str">
        <f>"200818C0100"</f>
        <v>200818C0100</v>
      </c>
      <c r="B1434" t="s">
        <v>3008</v>
      </c>
      <c r="C1434">
        <v>20</v>
      </c>
      <c r="D1434" t="s">
        <v>88</v>
      </c>
      <c r="E1434">
        <v>121</v>
      </c>
      <c r="F1434" t="s">
        <v>2978</v>
      </c>
      <c r="G1434">
        <v>818</v>
      </c>
      <c r="H1434">
        <v>1</v>
      </c>
      <c r="I1434" t="s">
        <v>98</v>
      </c>
      <c r="J1434">
        <v>0</v>
      </c>
      <c r="K1434">
        <v>2</v>
      </c>
      <c r="L1434">
        <v>5</v>
      </c>
      <c r="M1434">
        <v>157</v>
      </c>
      <c r="N1434">
        <v>569</v>
      </c>
      <c r="O1434">
        <v>3</v>
      </c>
      <c r="P1434">
        <v>569</v>
      </c>
      <c r="Q1434">
        <v>1</v>
      </c>
      <c r="R1434">
        <v>149</v>
      </c>
      <c r="S1434">
        <v>116</v>
      </c>
      <c r="T1434">
        <v>5</v>
      </c>
      <c r="U1434">
        <v>6</v>
      </c>
      <c r="V1434">
        <v>9</v>
      </c>
      <c r="W1434">
        <v>10</v>
      </c>
      <c r="X1434">
        <v>0</v>
      </c>
      <c r="Y1434">
        <v>246</v>
      </c>
      <c r="Z1434">
        <v>3</v>
      </c>
      <c r="AA1434">
        <v>0</v>
      </c>
      <c r="AC1434">
        <v>0</v>
      </c>
      <c r="AD1434">
        <v>2</v>
      </c>
      <c r="AE1434">
        <v>0</v>
      </c>
      <c r="AF1434">
        <v>0</v>
      </c>
      <c r="AK1434">
        <v>3</v>
      </c>
      <c r="AL1434">
        <v>1</v>
      </c>
      <c r="AM1434">
        <v>0</v>
      </c>
      <c r="AN1434">
        <v>1</v>
      </c>
      <c r="AS1434">
        <v>0</v>
      </c>
      <c r="AT1434">
        <v>2</v>
      </c>
      <c r="AU1434">
        <v>0</v>
      </c>
      <c r="AV1434">
        <v>0</v>
      </c>
      <c r="BC1434" t="s">
        <v>105</v>
      </c>
      <c r="BD1434">
        <v>15</v>
      </c>
      <c r="BE1434">
        <v>569</v>
      </c>
      <c r="BF1434">
        <v>569</v>
      </c>
      <c r="BG1434">
        <v>703</v>
      </c>
      <c r="BI1434" t="s">
        <v>106</v>
      </c>
      <c r="BJ1434">
        <v>1</v>
      </c>
      <c r="BL1434" t="s">
        <v>3009</v>
      </c>
      <c r="BM1434" s="4">
        <v>43283.098611111112</v>
      </c>
      <c r="BN1434" s="4">
        <v>43283.103946759256</v>
      </c>
      <c r="BO1434" s="4">
        <v>43283.103946759256</v>
      </c>
      <c r="BP1434" t="s">
        <v>92</v>
      </c>
      <c r="BQ1434" t="s">
        <v>93</v>
      </c>
      <c r="BR1434" t="s">
        <v>94</v>
      </c>
    </row>
    <row r="1435" spans="1:70" x14ac:dyDescent="0.3">
      <c r="A1435" t="str">
        <f>"200818C0200"</f>
        <v>200818C0200</v>
      </c>
      <c r="B1435" t="s">
        <v>3010</v>
      </c>
      <c r="C1435">
        <v>20</v>
      </c>
      <c r="D1435" t="s">
        <v>88</v>
      </c>
      <c r="E1435">
        <v>121</v>
      </c>
      <c r="F1435" t="s">
        <v>2978</v>
      </c>
      <c r="G1435">
        <v>818</v>
      </c>
      <c r="H1435">
        <v>2</v>
      </c>
      <c r="I1435" t="s">
        <v>98</v>
      </c>
      <c r="J1435">
        <v>0</v>
      </c>
      <c r="K1435">
        <v>2</v>
      </c>
      <c r="L1435">
        <v>5</v>
      </c>
      <c r="BG1435">
        <v>703</v>
      </c>
      <c r="BI1435" t="s">
        <v>122</v>
      </c>
      <c r="BJ1435">
        <v>0</v>
      </c>
      <c r="BL1435" t="s">
        <v>3011</v>
      </c>
      <c r="BM1435" s="4">
        <v>43283.302777777775</v>
      </c>
      <c r="BN1435" s="4">
        <v>43283.308564814812</v>
      </c>
      <c r="BO1435" s="4">
        <v>43283.308564814812</v>
      </c>
      <c r="BP1435" t="s">
        <v>92</v>
      </c>
      <c r="BQ1435" t="s">
        <v>93</v>
      </c>
      <c r="BR1435" t="s">
        <v>94</v>
      </c>
    </row>
    <row r="1436" spans="1:70" x14ac:dyDescent="0.3">
      <c r="A1436" t="str">
        <f>"200818E0100"</f>
        <v>200818E0100</v>
      </c>
      <c r="B1436" s="2" t="s">
        <v>3012</v>
      </c>
      <c r="C1436">
        <v>20</v>
      </c>
      <c r="D1436" t="s">
        <v>88</v>
      </c>
      <c r="E1436">
        <v>121</v>
      </c>
      <c r="F1436" t="s">
        <v>2978</v>
      </c>
      <c r="G1436">
        <v>818</v>
      </c>
      <c r="H1436">
        <v>1</v>
      </c>
      <c r="I1436" t="s">
        <v>156</v>
      </c>
      <c r="J1436">
        <v>0</v>
      </c>
      <c r="K1436">
        <v>2</v>
      </c>
      <c r="L1436">
        <v>5</v>
      </c>
      <c r="M1436">
        <v>116</v>
      </c>
      <c r="N1436">
        <v>426</v>
      </c>
      <c r="O1436">
        <v>6</v>
      </c>
      <c r="P1436">
        <v>426</v>
      </c>
      <c r="Q1436">
        <v>5</v>
      </c>
      <c r="R1436">
        <v>214</v>
      </c>
      <c r="S1436">
        <v>61</v>
      </c>
      <c r="T1436">
        <v>3</v>
      </c>
      <c r="U1436">
        <v>6</v>
      </c>
      <c r="V1436">
        <v>6</v>
      </c>
      <c r="W1436">
        <v>4</v>
      </c>
      <c r="X1436">
        <v>0</v>
      </c>
      <c r="Y1436">
        <v>100</v>
      </c>
      <c r="Z1436">
        <v>0</v>
      </c>
      <c r="AA1436">
        <v>0</v>
      </c>
      <c r="AC1436">
        <v>2</v>
      </c>
      <c r="AD1436">
        <v>2</v>
      </c>
      <c r="AE1436">
        <v>0</v>
      </c>
      <c r="AF1436">
        <v>0</v>
      </c>
      <c r="AK1436">
        <v>1</v>
      </c>
      <c r="AL1436">
        <v>1</v>
      </c>
      <c r="AM1436">
        <v>0</v>
      </c>
      <c r="AN1436">
        <v>0</v>
      </c>
      <c r="AS1436">
        <v>2</v>
      </c>
      <c r="AT1436">
        <v>7</v>
      </c>
      <c r="AU1436">
        <v>0</v>
      </c>
      <c r="AV1436">
        <v>0</v>
      </c>
      <c r="BC1436">
        <v>0</v>
      </c>
      <c r="BD1436">
        <v>0</v>
      </c>
      <c r="BE1436">
        <v>12</v>
      </c>
      <c r="BF1436">
        <v>414</v>
      </c>
      <c r="BG1436">
        <v>519</v>
      </c>
      <c r="BJ1436">
        <v>1</v>
      </c>
      <c r="BL1436" t="s">
        <v>3013</v>
      </c>
      <c r="BM1436" s="4">
        <v>43283.127083333333</v>
      </c>
      <c r="BN1436" s="4">
        <v>43283.207673611112</v>
      </c>
      <c r="BO1436" s="4">
        <v>43283.207673611112</v>
      </c>
      <c r="BP1436" t="s">
        <v>92</v>
      </c>
      <c r="BQ1436" t="s">
        <v>93</v>
      </c>
      <c r="BR1436" t="s">
        <v>94</v>
      </c>
    </row>
    <row r="1437" spans="1:70" x14ac:dyDescent="0.3">
      <c r="A1437" t="str">
        <f>"200818E0200"</f>
        <v>200818E0200</v>
      </c>
      <c r="B1437" s="2" t="s">
        <v>3014</v>
      </c>
      <c r="C1437">
        <v>20</v>
      </c>
      <c r="D1437" t="s">
        <v>88</v>
      </c>
      <c r="E1437">
        <v>121</v>
      </c>
      <c r="F1437" t="s">
        <v>2978</v>
      </c>
      <c r="G1437">
        <v>818</v>
      </c>
      <c r="H1437">
        <v>2</v>
      </c>
      <c r="I1437" t="s">
        <v>156</v>
      </c>
      <c r="J1437">
        <v>0</v>
      </c>
      <c r="K1437">
        <v>2</v>
      </c>
      <c r="L1437">
        <v>5</v>
      </c>
      <c r="M1437">
        <v>89</v>
      </c>
      <c r="N1437">
        <v>500</v>
      </c>
      <c r="O1437" t="s">
        <v>127</v>
      </c>
      <c r="P1437">
        <v>500</v>
      </c>
      <c r="Q1437">
        <v>3</v>
      </c>
      <c r="R1437">
        <v>156</v>
      </c>
      <c r="S1437">
        <v>51</v>
      </c>
      <c r="T1437">
        <v>5</v>
      </c>
      <c r="U1437">
        <v>7</v>
      </c>
      <c r="V1437">
        <v>5</v>
      </c>
      <c r="W1437">
        <v>11</v>
      </c>
      <c r="X1437">
        <v>3</v>
      </c>
      <c r="Y1437">
        <v>229</v>
      </c>
      <c r="Z1437">
        <v>4</v>
      </c>
      <c r="AA1437">
        <v>1</v>
      </c>
      <c r="AC1437">
        <v>0</v>
      </c>
      <c r="AD1437">
        <v>3</v>
      </c>
      <c r="AE1437">
        <v>0</v>
      </c>
      <c r="AF1437">
        <v>0</v>
      </c>
      <c r="AK1437">
        <v>5</v>
      </c>
      <c r="AL1437">
        <v>0</v>
      </c>
      <c r="AM1437">
        <v>0</v>
      </c>
      <c r="AN1437">
        <v>0</v>
      </c>
      <c r="AS1437">
        <v>2</v>
      </c>
      <c r="AT1437">
        <v>0</v>
      </c>
      <c r="AU1437">
        <v>1</v>
      </c>
      <c r="AV1437">
        <v>0</v>
      </c>
      <c r="BC1437">
        <v>0</v>
      </c>
      <c r="BD1437">
        <v>10</v>
      </c>
      <c r="BE1437" t="s">
        <v>105</v>
      </c>
      <c r="BF1437">
        <v>496</v>
      </c>
      <c r="BG1437">
        <v>566</v>
      </c>
      <c r="BJ1437">
        <v>1</v>
      </c>
      <c r="BL1437" t="s">
        <v>3015</v>
      </c>
      <c r="BM1437" s="4">
        <v>43283.125</v>
      </c>
      <c r="BN1437" s="4">
        <v>43283.129884259259</v>
      </c>
      <c r="BO1437" s="4">
        <v>43283.129884259259</v>
      </c>
      <c r="BP1437" t="s">
        <v>92</v>
      </c>
      <c r="BQ1437" t="s">
        <v>93</v>
      </c>
      <c r="BR1437" t="s">
        <v>94</v>
      </c>
    </row>
    <row r="1438" spans="1:70" x14ac:dyDescent="0.3">
      <c r="A1438" t="str">
        <f>"200819B0100"</f>
        <v>200819B0100</v>
      </c>
      <c r="B1438" t="s">
        <v>3016</v>
      </c>
      <c r="C1438">
        <v>20</v>
      </c>
      <c r="D1438" t="s">
        <v>88</v>
      </c>
      <c r="E1438">
        <v>121</v>
      </c>
      <c r="F1438" t="s">
        <v>2978</v>
      </c>
      <c r="G1438">
        <v>819</v>
      </c>
      <c r="H1438">
        <v>1</v>
      </c>
      <c r="I1438" t="s">
        <v>90</v>
      </c>
      <c r="J1438">
        <v>0</v>
      </c>
      <c r="K1438">
        <v>2</v>
      </c>
      <c r="L1438">
        <v>5</v>
      </c>
      <c r="M1438">
        <v>142</v>
      </c>
      <c r="N1438">
        <v>540</v>
      </c>
      <c r="O1438">
        <v>2</v>
      </c>
      <c r="P1438">
        <v>533</v>
      </c>
      <c r="Q1438">
        <v>0</v>
      </c>
      <c r="R1438">
        <v>183</v>
      </c>
      <c r="S1438">
        <v>17</v>
      </c>
      <c r="T1438">
        <v>0</v>
      </c>
      <c r="U1438">
        <v>3</v>
      </c>
      <c r="V1438">
        <v>1</v>
      </c>
      <c r="W1438">
        <v>0</v>
      </c>
      <c r="X1438">
        <v>0</v>
      </c>
      <c r="Y1438">
        <v>321</v>
      </c>
      <c r="Z1438">
        <v>1</v>
      </c>
      <c r="AA1438">
        <v>0</v>
      </c>
      <c r="AC1438">
        <v>0</v>
      </c>
      <c r="AD1438">
        <v>0</v>
      </c>
      <c r="AE1438">
        <v>0</v>
      </c>
      <c r="AF1438">
        <v>0</v>
      </c>
      <c r="AK1438">
        <v>0</v>
      </c>
      <c r="AL1438">
        <v>0</v>
      </c>
      <c r="AM1438">
        <v>0</v>
      </c>
      <c r="AN1438">
        <v>0</v>
      </c>
      <c r="AS1438">
        <v>0</v>
      </c>
      <c r="AT1438">
        <v>0</v>
      </c>
      <c r="AU1438">
        <v>0</v>
      </c>
      <c r="AV1438">
        <v>0</v>
      </c>
      <c r="BC1438">
        <v>0</v>
      </c>
      <c r="BD1438">
        <v>7</v>
      </c>
      <c r="BE1438">
        <v>533</v>
      </c>
      <c r="BF1438">
        <v>533</v>
      </c>
      <c r="BG1438">
        <v>658</v>
      </c>
      <c r="BJ1438">
        <v>1</v>
      </c>
      <c r="BL1438" t="s">
        <v>3017</v>
      </c>
      <c r="BM1438" s="4">
        <v>43283.130555555559</v>
      </c>
      <c r="BN1438" s="4">
        <v>43283.15</v>
      </c>
      <c r="BO1438" s="4">
        <v>43283.15</v>
      </c>
      <c r="BP1438" t="s">
        <v>92</v>
      </c>
      <c r="BQ1438" t="s">
        <v>93</v>
      </c>
      <c r="BR1438" t="s">
        <v>94</v>
      </c>
    </row>
    <row r="1439" spans="1:70" x14ac:dyDescent="0.3">
      <c r="A1439" t="str">
        <f>"200819C0100"</f>
        <v>200819C0100</v>
      </c>
      <c r="B1439" t="s">
        <v>3018</v>
      </c>
      <c r="C1439">
        <v>20</v>
      </c>
      <c r="D1439" t="s">
        <v>88</v>
      </c>
      <c r="E1439">
        <v>121</v>
      </c>
      <c r="F1439" t="s">
        <v>2978</v>
      </c>
      <c r="G1439">
        <v>819</v>
      </c>
      <c r="H1439">
        <v>1</v>
      </c>
      <c r="I1439" t="s">
        <v>98</v>
      </c>
      <c r="J1439">
        <v>0</v>
      </c>
      <c r="K1439">
        <v>2</v>
      </c>
      <c r="L1439">
        <v>5</v>
      </c>
      <c r="M1439">
        <v>170</v>
      </c>
      <c r="N1439">
        <v>512</v>
      </c>
      <c r="O1439">
        <v>1</v>
      </c>
      <c r="P1439">
        <v>517</v>
      </c>
      <c r="Q1439">
        <v>1</v>
      </c>
      <c r="R1439">
        <v>197</v>
      </c>
      <c r="S1439">
        <v>14</v>
      </c>
      <c r="T1439">
        <v>1</v>
      </c>
      <c r="U1439">
        <v>1</v>
      </c>
      <c r="V1439">
        <v>1</v>
      </c>
      <c r="W1439">
        <v>0</v>
      </c>
      <c r="X1439">
        <v>0</v>
      </c>
      <c r="Y1439">
        <v>298</v>
      </c>
      <c r="Z1439">
        <v>1</v>
      </c>
      <c r="AA1439">
        <v>0</v>
      </c>
      <c r="AC1439">
        <v>0</v>
      </c>
      <c r="AD1439">
        <v>0</v>
      </c>
      <c r="AE1439">
        <v>0</v>
      </c>
      <c r="AF1439">
        <v>0</v>
      </c>
      <c r="AK1439">
        <v>3</v>
      </c>
      <c r="AL1439">
        <v>0</v>
      </c>
      <c r="AM1439">
        <v>0</v>
      </c>
      <c r="AN1439">
        <v>0</v>
      </c>
      <c r="AS1439">
        <v>0</v>
      </c>
      <c r="AT1439">
        <v>0</v>
      </c>
      <c r="AU1439">
        <v>0</v>
      </c>
      <c r="AV1439">
        <v>0</v>
      </c>
      <c r="BC1439">
        <v>0</v>
      </c>
      <c r="BD1439">
        <v>0</v>
      </c>
      <c r="BE1439">
        <v>517</v>
      </c>
      <c r="BF1439">
        <v>517</v>
      </c>
      <c r="BG1439">
        <v>658</v>
      </c>
      <c r="BJ1439">
        <v>1</v>
      </c>
      <c r="BL1439" t="s">
        <v>3019</v>
      </c>
      <c r="BM1439" s="4">
        <v>43283.180555555555</v>
      </c>
      <c r="BN1439" s="4">
        <v>43283.199374999997</v>
      </c>
      <c r="BO1439" s="4">
        <v>43283.199374999997</v>
      </c>
      <c r="BP1439" t="s">
        <v>92</v>
      </c>
      <c r="BQ1439" t="s">
        <v>93</v>
      </c>
      <c r="BR1439" t="s">
        <v>254</v>
      </c>
    </row>
    <row r="1440" spans="1:70" x14ac:dyDescent="0.3">
      <c r="A1440" t="str">
        <f>"200819C0200"</f>
        <v>200819C0200</v>
      </c>
      <c r="B1440" t="s">
        <v>3020</v>
      </c>
      <c r="C1440">
        <v>20</v>
      </c>
      <c r="D1440" t="s">
        <v>88</v>
      </c>
      <c r="E1440">
        <v>121</v>
      </c>
      <c r="F1440" t="s">
        <v>2978</v>
      </c>
      <c r="G1440">
        <v>819</v>
      </c>
      <c r="H1440">
        <v>2</v>
      </c>
      <c r="I1440" t="s">
        <v>98</v>
      </c>
      <c r="J1440">
        <v>0</v>
      </c>
      <c r="K1440">
        <v>2</v>
      </c>
      <c r="L1440">
        <v>5</v>
      </c>
      <c r="M1440">
        <v>148</v>
      </c>
      <c r="N1440">
        <v>531</v>
      </c>
      <c r="O1440">
        <v>2</v>
      </c>
      <c r="P1440">
        <v>530</v>
      </c>
      <c r="Q1440">
        <v>2</v>
      </c>
      <c r="R1440">
        <v>201</v>
      </c>
      <c r="S1440">
        <v>15</v>
      </c>
      <c r="T1440">
        <v>0</v>
      </c>
      <c r="U1440">
        <v>3</v>
      </c>
      <c r="V1440">
        <v>2</v>
      </c>
      <c r="W1440">
        <v>0</v>
      </c>
      <c r="X1440">
        <v>0</v>
      </c>
      <c r="Y1440">
        <v>297</v>
      </c>
      <c r="Z1440">
        <v>0</v>
      </c>
      <c r="AA1440">
        <v>0</v>
      </c>
      <c r="AC1440">
        <v>1</v>
      </c>
      <c r="AD1440">
        <v>0</v>
      </c>
      <c r="AE1440">
        <v>0</v>
      </c>
      <c r="AF1440">
        <v>0</v>
      </c>
      <c r="AK1440">
        <v>0</v>
      </c>
      <c r="AL1440">
        <v>0</v>
      </c>
      <c r="AM1440">
        <v>0</v>
      </c>
      <c r="AN1440">
        <v>0</v>
      </c>
      <c r="AS1440">
        <v>0</v>
      </c>
      <c r="AT1440">
        <v>2</v>
      </c>
      <c r="AU1440">
        <v>0</v>
      </c>
      <c r="AV1440">
        <v>0</v>
      </c>
      <c r="BC1440">
        <v>0</v>
      </c>
      <c r="BD1440">
        <v>7</v>
      </c>
      <c r="BE1440">
        <v>530</v>
      </c>
      <c r="BF1440">
        <v>530</v>
      </c>
      <c r="BG1440">
        <v>658</v>
      </c>
      <c r="BJ1440">
        <v>1</v>
      </c>
      <c r="BL1440" t="s">
        <v>3021</v>
      </c>
      <c r="BM1440" s="4">
        <v>43283.133333333331</v>
      </c>
      <c r="BN1440" s="4">
        <v>43283.194074074076</v>
      </c>
      <c r="BO1440" s="4">
        <v>43283.194074074076</v>
      </c>
      <c r="BP1440" t="s">
        <v>92</v>
      </c>
      <c r="BQ1440" t="s">
        <v>93</v>
      </c>
      <c r="BR1440" t="s">
        <v>94</v>
      </c>
    </row>
    <row r="1441" spans="1:70" x14ac:dyDescent="0.3">
      <c r="A1441" t="str">
        <f>"200819E0100"</f>
        <v>200819E0100</v>
      </c>
      <c r="B1441" s="2" t="s">
        <v>3022</v>
      </c>
      <c r="C1441">
        <v>20</v>
      </c>
      <c r="D1441" t="s">
        <v>88</v>
      </c>
      <c r="E1441">
        <v>121</v>
      </c>
      <c r="F1441" t="s">
        <v>2978</v>
      </c>
      <c r="G1441">
        <v>819</v>
      </c>
      <c r="H1441">
        <v>1</v>
      </c>
      <c r="I1441" t="s">
        <v>156</v>
      </c>
      <c r="J1441">
        <v>0</v>
      </c>
      <c r="K1441">
        <v>2</v>
      </c>
      <c r="L1441">
        <v>5</v>
      </c>
      <c r="M1441">
        <v>610</v>
      </c>
      <c r="N1441">
        <v>618</v>
      </c>
      <c r="O1441">
        <v>0</v>
      </c>
      <c r="P1441">
        <v>618</v>
      </c>
      <c r="Q1441">
        <v>3</v>
      </c>
      <c r="R1441">
        <v>119</v>
      </c>
      <c r="S1441">
        <v>72</v>
      </c>
      <c r="T1441">
        <v>5</v>
      </c>
      <c r="U1441">
        <v>9</v>
      </c>
      <c r="V1441">
        <v>3</v>
      </c>
      <c r="W1441">
        <v>1</v>
      </c>
      <c r="X1441">
        <v>0</v>
      </c>
      <c r="Y1441">
        <v>380</v>
      </c>
      <c r="Z1441">
        <v>6</v>
      </c>
      <c r="AA1441">
        <v>0</v>
      </c>
      <c r="AC1441">
        <v>1</v>
      </c>
      <c r="AD1441">
        <v>0</v>
      </c>
      <c r="AE1441">
        <v>0</v>
      </c>
      <c r="AF1441">
        <v>0</v>
      </c>
      <c r="AK1441">
        <v>4</v>
      </c>
      <c r="AL1441">
        <v>0</v>
      </c>
      <c r="AM1441">
        <v>0</v>
      </c>
      <c r="AN1441">
        <v>1</v>
      </c>
      <c r="AS1441">
        <v>0</v>
      </c>
      <c r="AT1441">
        <v>0</v>
      </c>
      <c r="AU1441">
        <v>0</v>
      </c>
      <c r="AV1441">
        <v>0</v>
      </c>
      <c r="BC1441">
        <v>0</v>
      </c>
      <c r="BD1441">
        <v>16</v>
      </c>
      <c r="BE1441">
        <v>618</v>
      </c>
      <c r="BF1441">
        <v>620</v>
      </c>
      <c r="BG1441">
        <v>717</v>
      </c>
      <c r="BJ1441">
        <v>1</v>
      </c>
      <c r="BL1441" t="s">
        <v>3023</v>
      </c>
      <c r="BM1441" s="4">
        <v>43283.087500000001</v>
      </c>
      <c r="BN1441" s="4">
        <v>43283.097337962965</v>
      </c>
      <c r="BO1441" s="4">
        <v>43283.097337962965</v>
      </c>
      <c r="BP1441" t="s">
        <v>92</v>
      </c>
      <c r="BQ1441" t="s">
        <v>93</v>
      </c>
      <c r="BR1441" t="s">
        <v>94</v>
      </c>
    </row>
    <row r="1442" spans="1:70" x14ac:dyDescent="0.3">
      <c r="A1442" t="str">
        <f>"200838B0100"</f>
        <v>200838B0100</v>
      </c>
      <c r="B1442" t="s">
        <v>3024</v>
      </c>
      <c r="C1442">
        <v>20</v>
      </c>
      <c r="D1442" t="s">
        <v>88</v>
      </c>
      <c r="E1442">
        <v>127</v>
      </c>
      <c r="F1442" t="s">
        <v>3025</v>
      </c>
      <c r="G1442">
        <v>838</v>
      </c>
      <c r="H1442">
        <v>1</v>
      </c>
      <c r="I1442" t="s">
        <v>90</v>
      </c>
      <c r="J1442">
        <v>0</v>
      </c>
      <c r="K1442">
        <v>1</v>
      </c>
      <c r="L1442">
        <v>5</v>
      </c>
      <c r="BG1442">
        <v>526</v>
      </c>
      <c r="BI1442" t="s">
        <v>122</v>
      </c>
      <c r="BJ1442">
        <v>0</v>
      </c>
      <c r="BL1442" t="s">
        <v>3026</v>
      </c>
      <c r="BM1442" s="4">
        <v>43283.404224537036</v>
      </c>
      <c r="BN1442" s="4">
        <v>43283.411874999998</v>
      </c>
      <c r="BO1442" s="4">
        <v>43283.411874999998</v>
      </c>
      <c r="BP1442" t="s">
        <v>92</v>
      </c>
      <c r="BQ1442" t="s">
        <v>93</v>
      </c>
      <c r="BR1442" t="s">
        <v>94</v>
      </c>
    </row>
    <row r="1443" spans="1:70" x14ac:dyDescent="0.3">
      <c r="A1443" t="str">
        <f>"200838C0100"</f>
        <v>200838C0100</v>
      </c>
      <c r="B1443" t="s">
        <v>3027</v>
      </c>
      <c r="C1443">
        <v>20</v>
      </c>
      <c r="D1443" t="s">
        <v>88</v>
      </c>
      <c r="E1443">
        <v>127</v>
      </c>
      <c r="F1443" t="s">
        <v>3025</v>
      </c>
      <c r="G1443">
        <v>838</v>
      </c>
      <c r="H1443">
        <v>1</v>
      </c>
      <c r="I1443" t="s">
        <v>98</v>
      </c>
      <c r="J1443">
        <v>0</v>
      </c>
      <c r="K1443">
        <v>1</v>
      </c>
      <c r="L1443">
        <v>5</v>
      </c>
      <c r="BG1443">
        <v>526</v>
      </c>
      <c r="BI1443" t="s">
        <v>122</v>
      </c>
      <c r="BJ1443">
        <v>0</v>
      </c>
      <c r="BL1443" t="s">
        <v>3028</v>
      </c>
      <c r="BM1443" s="4">
        <v>43283.403240740743</v>
      </c>
      <c r="BN1443" s="4">
        <v>43283.410474537035</v>
      </c>
      <c r="BO1443" s="4">
        <v>43283.410474537035</v>
      </c>
      <c r="BP1443" t="s">
        <v>92</v>
      </c>
      <c r="BQ1443" t="s">
        <v>93</v>
      </c>
      <c r="BR1443" t="s">
        <v>94</v>
      </c>
    </row>
    <row r="1444" spans="1:70" x14ac:dyDescent="0.3">
      <c r="A1444" t="str">
        <f>"200838C0200"</f>
        <v>200838C0200</v>
      </c>
      <c r="B1444" t="s">
        <v>3029</v>
      </c>
      <c r="C1444">
        <v>20</v>
      </c>
      <c r="D1444" t="s">
        <v>88</v>
      </c>
      <c r="E1444">
        <v>127</v>
      </c>
      <c r="F1444" t="s">
        <v>3025</v>
      </c>
      <c r="G1444">
        <v>838</v>
      </c>
      <c r="H1444">
        <v>2</v>
      </c>
      <c r="I1444" t="s">
        <v>98</v>
      </c>
      <c r="J1444">
        <v>0</v>
      </c>
      <c r="K1444">
        <v>1</v>
      </c>
      <c r="L1444">
        <v>5</v>
      </c>
      <c r="BG1444">
        <v>526</v>
      </c>
      <c r="BI1444" t="s">
        <v>122</v>
      </c>
      <c r="BJ1444">
        <v>0</v>
      </c>
      <c r="BL1444" s="2" t="s">
        <v>3030</v>
      </c>
      <c r="BM1444" s="4">
        <v>43283.402789351851</v>
      </c>
      <c r="BN1444" s="4">
        <v>43283.409953703704</v>
      </c>
      <c r="BO1444" s="4">
        <v>43283.409953703704</v>
      </c>
      <c r="BP1444" t="s">
        <v>92</v>
      </c>
      <c r="BQ1444" t="s">
        <v>93</v>
      </c>
      <c r="BR1444" t="s">
        <v>94</v>
      </c>
    </row>
    <row r="1445" spans="1:70" x14ac:dyDescent="0.3">
      <c r="A1445" t="str">
        <f>"200839B0100"</f>
        <v>200839B0100</v>
      </c>
      <c r="B1445" t="s">
        <v>3031</v>
      </c>
      <c r="C1445">
        <v>20</v>
      </c>
      <c r="D1445" t="s">
        <v>88</v>
      </c>
      <c r="E1445">
        <v>127</v>
      </c>
      <c r="F1445" t="s">
        <v>3025</v>
      </c>
      <c r="G1445">
        <v>839</v>
      </c>
      <c r="H1445">
        <v>1</v>
      </c>
      <c r="I1445" t="s">
        <v>90</v>
      </c>
      <c r="J1445">
        <v>0</v>
      </c>
      <c r="K1445">
        <v>1</v>
      </c>
      <c r="L1445">
        <v>5</v>
      </c>
      <c r="BG1445">
        <v>516</v>
      </c>
      <c r="BI1445" t="s">
        <v>122</v>
      </c>
      <c r="BJ1445">
        <v>0</v>
      </c>
      <c r="BL1445" t="s">
        <v>3032</v>
      </c>
      <c r="BM1445" s="4">
        <v>43283.402326388888</v>
      </c>
      <c r="BN1445" s="4">
        <v>43283.410127314812</v>
      </c>
      <c r="BO1445" s="4">
        <v>43283.410127314812</v>
      </c>
      <c r="BP1445" t="s">
        <v>92</v>
      </c>
      <c r="BQ1445" t="s">
        <v>93</v>
      </c>
      <c r="BR1445" t="s">
        <v>94</v>
      </c>
    </row>
    <row r="1446" spans="1:70" x14ac:dyDescent="0.3">
      <c r="A1446" t="str">
        <f>"200839C0100"</f>
        <v>200839C0100</v>
      </c>
      <c r="B1446" t="s">
        <v>3033</v>
      </c>
      <c r="C1446">
        <v>20</v>
      </c>
      <c r="D1446" t="s">
        <v>88</v>
      </c>
      <c r="E1446">
        <v>127</v>
      </c>
      <c r="F1446" t="s">
        <v>3025</v>
      </c>
      <c r="G1446">
        <v>839</v>
      </c>
      <c r="H1446">
        <v>1</v>
      </c>
      <c r="I1446" t="s">
        <v>98</v>
      </c>
      <c r="J1446">
        <v>0</v>
      </c>
      <c r="K1446">
        <v>1</v>
      </c>
      <c r="L1446">
        <v>5</v>
      </c>
      <c r="BG1446">
        <v>516</v>
      </c>
      <c r="BI1446" t="s">
        <v>122</v>
      </c>
      <c r="BJ1446">
        <v>0</v>
      </c>
      <c r="BL1446" t="s">
        <v>3034</v>
      </c>
      <c r="BM1446" s="4">
        <v>43283.403761574074</v>
      </c>
      <c r="BN1446" s="4">
        <v>43283.410405092596</v>
      </c>
      <c r="BO1446" s="4">
        <v>43283.410405092596</v>
      </c>
      <c r="BP1446" t="s">
        <v>92</v>
      </c>
      <c r="BQ1446" t="s">
        <v>93</v>
      </c>
      <c r="BR1446" t="s">
        <v>94</v>
      </c>
    </row>
    <row r="1447" spans="1:70" x14ac:dyDescent="0.3">
      <c r="A1447" t="str">
        <f>"200840B0100"</f>
        <v>200840B0100</v>
      </c>
      <c r="B1447" t="s">
        <v>3035</v>
      </c>
      <c r="C1447">
        <v>20</v>
      </c>
      <c r="D1447" t="s">
        <v>88</v>
      </c>
      <c r="E1447">
        <v>127</v>
      </c>
      <c r="F1447" t="s">
        <v>3025</v>
      </c>
      <c r="G1447">
        <v>840</v>
      </c>
      <c r="H1447">
        <v>1</v>
      </c>
      <c r="I1447" t="s">
        <v>90</v>
      </c>
      <c r="J1447">
        <v>0</v>
      </c>
      <c r="K1447">
        <v>2</v>
      </c>
      <c r="L1447">
        <v>5</v>
      </c>
      <c r="BG1447">
        <v>642</v>
      </c>
      <c r="BI1447" t="s">
        <v>122</v>
      </c>
      <c r="BJ1447">
        <v>0</v>
      </c>
      <c r="BL1447" t="s">
        <v>3036</v>
      </c>
      <c r="BM1447" s="4">
        <v>43283.40519675926</v>
      </c>
      <c r="BN1447" s="4">
        <v>43283.411423611113</v>
      </c>
      <c r="BO1447" s="4">
        <v>43283.411423611113</v>
      </c>
      <c r="BP1447" t="s">
        <v>92</v>
      </c>
      <c r="BQ1447" t="s">
        <v>93</v>
      </c>
      <c r="BR1447" t="s">
        <v>94</v>
      </c>
    </row>
    <row r="1448" spans="1:70" x14ac:dyDescent="0.3">
      <c r="A1448" t="str">
        <f>"200840C0100"</f>
        <v>200840C0100</v>
      </c>
      <c r="B1448" t="s">
        <v>3037</v>
      </c>
      <c r="C1448">
        <v>20</v>
      </c>
      <c r="D1448" t="s">
        <v>88</v>
      </c>
      <c r="E1448">
        <v>127</v>
      </c>
      <c r="F1448" t="s">
        <v>3025</v>
      </c>
      <c r="G1448">
        <v>840</v>
      </c>
      <c r="H1448">
        <v>1</v>
      </c>
      <c r="I1448" t="s">
        <v>98</v>
      </c>
      <c r="J1448">
        <v>0</v>
      </c>
      <c r="K1448">
        <v>2</v>
      </c>
      <c r="L1448">
        <v>5</v>
      </c>
      <c r="BG1448">
        <v>641</v>
      </c>
      <c r="BI1448" t="s">
        <v>122</v>
      </c>
      <c r="BJ1448">
        <v>0</v>
      </c>
      <c r="BL1448" t="s">
        <v>3038</v>
      </c>
      <c r="BM1448" s="4">
        <v>43283.404675925929</v>
      </c>
      <c r="BN1448" s="4">
        <v>43283.410937499997</v>
      </c>
      <c r="BO1448" s="4">
        <v>43283.410937499997</v>
      </c>
      <c r="BP1448" t="s">
        <v>92</v>
      </c>
      <c r="BQ1448" t="s">
        <v>93</v>
      </c>
      <c r="BR1448" t="s">
        <v>94</v>
      </c>
    </row>
    <row r="1449" spans="1:70" x14ac:dyDescent="0.3">
      <c r="A1449" t="str">
        <f>"200851B0100"</f>
        <v>200851B0100</v>
      </c>
      <c r="B1449" t="s">
        <v>3039</v>
      </c>
      <c r="C1449">
        <v>20</v>
      </c>
      <c r="D1449" t="s">
        <v>88</v>
      </c>
      <c r="E1449">
        <v>131</v>
      </c>
      <c r="F1449" t="s">
        <v>3040</v>
      </c>
      <c r="G1449">
        <v>851</v>
      </c>
      <c r="H1449">
        <v>1</v>
      </c>
      <c r="I1449" t="s">
        <v>90</v>
      </c>
      <c r="J1449">
        <v>0</v>
      </c>
      <c r="K1449">
        <v>1</v>
      </c>
      <c r="L1449">
        <v>5</v>
      </c>
      <c r="M1449">
        <v>89</v>
      </c>
      <c r="N1449">
        <v>445</v>
      </c>
      <c r="O1449">
        <v>4</v>
      </c>
      <c r="P1449">
        <v>445</v>
      </c>
      <c r="Q1449">
        <v>2</v>
      </c>
      <c r="R1449">
        <v>111</v>
      </c>
      <c r="S1449">
        <v>65</v>
      </c>
      <c r="T1449">
        <v>17</v>
      </c>
      <c r="U1449">
        <v>1</v>
      </c>
      <c r="V1449">
        <v>4</v>
      </c>
      <c r="W1449">
        <v>2</v>
      </c>
      <c r="X1449">
        <v>2</v>
      </c>
      <c r="Y1449">
        <v>225</v>
      </c>
      <c r="Z1449">
        <v>0</v>
      </c>
      <c r="AA1449">
        <v>4</v>
      </c>
      <c r="AB1449">
        <v>0</v>
      </c>
      <c r="AC1449">
        <v>0</v>
      </c>
      <c r="AD1449">
        <v>0</v>
      </c>
      <c r="AE1449">
        <v>0</v>
      </c>
      <c r="AF1449">
        <v>0</v>
      </c>
      <c r="AK1449">
        <v>0</v>
      </c>
      <c r="AL1449">
        <v>0</v>
      </c>
      <c r="AM1449">
        <v>0</v>
      </c>
      <c r="AN1449">
        <v>0</v>
      </c>
      <c r="AU1449">
        <v>0</v>
      </c>
      <c r="BC1449">
        <v>0</v>
      </c>
      <c r="BD1449">
        <v>12</v>
      </c>
      <c r="BE1449">
        <v>445</v>
      </c>
      <c r="BF1449">
        <v>445</v>
      </c>
      <c r="BG1449">
        <v>512</v>
      </c>
      <c r="BJ1449">
        <v>1</v>
      </c>
      <c r="BL1449" t="s">
        <v>3041</v>
      </c>
      <c r="BM1449" s="4">
        <v>43283.188194444447</v>
      </c>
      <c r="BN1449" s="4">
        <v>43283.209004629629</v>
      </c>
      <c r="BO1449" s="4">
        <v>43283.209004629629</v>
      </c>
      <c r="BP1449" t="s">
        <v>92</v>
      </c>
      <c r="BQ1449" t="s">
        <v>93</v>
      </c>
      <c r="BR1449" t="s">
        <v>94</v>
      </c>
    </row>
    <row r="1450" spans="1:70" x14ac:dyDescent="0.3">
      <c r="A1450" t="str">
        <f>"200851C0100"</f>
        <v>200851C0100</v>
      </c>
      <c r="B1450" t="s">
        <v>3042</v>
      </c>
      <c r="C1450">
        <v>20</v>
      </c>
      <c r="D1450" t="s">
        <v>88</v>
      </c>
      <c r="E1450">
        <v>131</v>
      </c>
      <c r="F1450" t="s">
        <v>3040</v>
      </c>
      <c r="G1450">
        <v>851</v>
      </c>
      <c r="H1450">
        <v>1</v>
      </c>
      <c r="I1450" t="s">
        <v>98</v>
      </c>
      <c r="J1450">
        <v>0</v>
      </c>
      <c r="K1450">
        <v>2</v>
      </c>
      <c r="L1450">
        <v>5</v>
      </c>
      <c r="M1450">
        <v>106</v>
      </c>
      <c r="N1450">
        <v>428</v>
      </c>
      <c r="O1450">
        <v>3</v>
      </c>
      <c r="P1450">
        <v>428</v>
      </c>
      <c r="Q1450">
        <v>1</v>
      </c>
      <c r="R1450">
        <v>123</v>
      </c>
      <c r="S1450">
        <v>75</v>
      </c>
      <c r="T1450">
        <v>4</v>
      </c>
      <c r="U1450">
        <v>3</v>
      </c>
      <c r="V1450">
        <v>2</v>
      </c>
      <c r="W1450">
        <v>2</v>
      </c>
      <c r="X1450">
        <v>4</v>
      </c>
      <c r="Y1450">
        <v>195</v>
      </c>
      <c r="Z1450">
        <v>5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K1450">
        <v>1</v>
      </c>
      <c r="AL1450">
        <v>0</v>
      </c>
      <c r="AM1450">
        <v>0</v>
      </c>
      <c r="AN1450">
        <v>0</v>
      </c>
      <c r="AU1450">
        <v>0</v>
      </c>
      <c r="BC1450">
        <v>0</v>
      </c>
      <c r="BD1450">
        <v>11</v>
      </c>
      <c r="BE1450">
        <v>428</v>
      </c>
      <c r="BF1450">
        <v>426</v>
      </c>
      <c r="BG1450">
        <v>512</v>
      </c>
      <c r="BJ1450">
        <v>1</v>
      </c>
      <c r="BL1450" t="s">
        <v>3043</v>
      </c>
      <c r="BM1450" s="4">
        <v>43283.186111111114</v>
      </c>
      <c r="BN1450" s="4">
        <v>43283.205358796295</v>
      </c>
      <c r="BO1450" s="4">
        <v>43283.205358796295</v>
      </c>
      <c r="BP1450" t="s">
        <v>92</v>
      </c>
      <c r="BQ1450" t="s">
        <v>93</v>
      </c>
      <c r="BR1450" t="s">
        <v>94</v>
      </c>
    </row>
    <row r="1451" spans="1:70" x14ac:dyDescent="0.3">
      <c r="A1451" t="str">
        <f>"200851C0200"</f>
        <v>200851C0200</v>
      </c>
      <c r="B1451" t="s">
        <v>3044</v>
      </c>
      <c r="C1451">
        <v>20</v>
      </c>
      <c r="D1451" t="s">
        <v>88</v>
      </c>
      <c r="E1451">
        <v>131</v>
      </c>
      <c r="F1451" t="s">
        <v>3040</v>
      </c>
      <c r="G1451">
        <v>851</v>
      </c>
      <c r="H1451">
        <v>2</v>
      </c>
      <c r="I1451" t="s">
        <v>98</v>
      </c>
      <c r="J1451">
        <v>0</v>
      </c>
      <c r="K1451">
        <v>2</v>
      </c>
      <c r="L1451">
        <v>5</v>
      </c>
      <c r="M1451">
        <v>93</v>
      </c>
      <c r="N1451">
        <v>441</v>
      </c>
      <c r="O1451">
        <v>2</v>
      </c>
      <c r="P1451">
        <v>441</v>
      </c>
      <c r="Q1451">
        <v>2</v>
      </c>
      <c r="R1451">
        <v>94</v>
      </c>
      <c r="S1451">
        <v>86</v>
      </c>
      <c r="T1451">
        <v>8</v>
      </c>
      <c r="U1451">
        <v>4</v>
      </c>
      <c r="V1451">
        <v>0</v>
      </c>
      <c r="W1451">
        <v>4</v>
      </c>
      <c r="X1451">
        <v>2</v>
      </c>
      <c r="Y1451">
        <v>223</v>
      </c>
      <c r="Z1451">
        <v>0</v>
      </c>
      <c r="AA1451">
        <v>0</v>
      </c>
      <c r="AB1451">
        <v>0</v>
      </c>
      <c r="AC1451">
        <v>2</v>
      </c>
      <c r="AD1451">
        <v>0</v>
      </c>
      <c r="AE1451">
        <v>0</v>
      </c>
      <c r="AF1451">
        <v>0</v>
      </c>
      <c r="AK1451">
        <v>2</v>
      </c>
      <c r="AL1451">
        <v>0</v>
      </c>
      <c r="AM1451">
        <v>0</v>
      </c>
      <c r="AN1451">
        <v>1</v>
      </c>
      <c r="AU1451">
        <v>0</v>
      </c>
      <c r="BC1451">
        <v>0</v>
      </c>
      <c r="BD1451">
        <v>13</v>
      </c>
      <c r="BE1451">
        <v>441</v>
      </c>
      <c r="BF1451">
        <v>441</v>
      </c>
      <c r="BG1451">
        <v>512</v>
      </c>
      <c r="BJ1451">
        <v>1</v>
      </c>
      <c r="BL1451" t="s">
        <v>3045</v>
      </c>
      <c r="BM1451" s="4">
        <v>43283.184027777781</v>
      </c>
      <c r="BN1451" s="4">
        <v>43283.202060185184</v>
      </c>
      <c r="BO1451" s="4">
        <v>43283.202060185184</v>
      </c>
      <c r="BP1451" t="s">
        <v>92</v>
      </c>
      <c r="BQ1451" t="s">
        <v>93</v>
      </c>
      <c r="BR1451" t="s">
        <v>94</v>
      </c>
    </row>
    <row r="1452" spans="1:70" x14ac:dyDescent="0.3">
      <c r="A1452" t="str">
        <f>"200852B0100"</f>
        <v>200852B0100</v>
      </c>
      <c r="B1452" t="s">
        <v>3046</v>
      </c>
      <c r="C1452">
        <v>20</v>
      </c>
      <c r="D1452" t="s">
        <v>88</v>
      </c>
      <c r="E1452">
        <v>131</v>
      </c>
      <c r="F1452" t="s">
        <v>3040</v>
      </c>
      <c r="G1452">
        <v>852</v>
      </c>
      <c r="H1452">
        <v>1</v>
      </c>
      <c r="I1452" t="s">
        <v>90</v>
      </c>
      <c r="J1452">
        <v>0</v>
      </c>
      <c r="K1452">
        <v>1</v>
      </c>
      <c r="L1452">
        <v>5</v>
      </c>
      <c r="M1452">
        <v>132</v>
      </c>
      <c r="N1452">
        <v>551</v>
      </c>
      <c r="O1452">
        <v>2</v>
      </c>
      <c r="P1452">
        <v>552</v>
      </c>
      <c r="Q1452">
        <v>5</v>
      </c>
      <c r="R1452">
        <v>117</v>
      </c>
      <c r="S1452">
        <v>81</v>
      </c>
      <c r="T1452">
        <v>25</v>
      </c>
      <c r="U1452">
        <v>2</v>
      </c>
      <c r="V1452">
        <v>5</v>
      </c>
      <c r="W1452">
        <v>3</v>
      </c>
      <c r="X1452">
        <v>2</v>
      </c>
      <c r="Y1452">
        <v>279</v>
      </c>
      <c r="Z1452">
        <v>4</v>
      </c>
      <c r="AA1452">
        <v>1</v>
      </c>
      <c r="AB1452">
        <v>0</v>
      </c>
      <c r="AC1452">
        <v>0</v>
      </c>
      <c r="AD1452">
        <v>0</v>
      </c>
      <c r="AE1452">
        <v>0</v>
      </c>
      <c r="AF1452">
        <v>0</v>
      </c>
      <c r="AK1452">
        <v>0</v>
      </c>
      <c r="AL1452">
        <v>0</v>
      </c>
      <c r="AM1452">
        <v>0</v>
      </c>
      <c r="AN1452">
        <v>0</v>
      </c>
      <c r="AU1452">
        <v>0</v>
      </c>
      <c r="BC1452">
        <v>0</v>
      </c>
      <c r="BD1452">
        <v>28</v>
      </c>
      <c r="BE1452">
        <v>552</v>
      </c>
      <c r="BF1452">
        <v>552</v>
      </c>
      <c r="BG1452">
        <v>661</v>
      </c>
      <c r="BJ1452">
        <v>1</v>
      </c>
      <c r="BL1452" t="s">
        <v>3047</v>
      </c>
      <c r="BM1452" s="4">
        <v>43282.109722222223</v>
      </c>
      <c r="BN1452" s="4">
        <v>43283.113761574074</v>
      </c>
      <c r="BO1452" s="4">
        <v>43283.113761574074</v>
      </c>
      <c r="BP1452" t="s">
        <v>92</v>
      </c>
      <c r="BQ1452" t="s">
        <v>93</v>
      </c>
      <c r="BR1452" t="s">
        <v>94</v>
      </c>
    </row>
    <row r="1453" spans="1:70" x14ac:dyDescent="0.3">
      <c r="A1453" t="str">
        <f>"200852C0100"</f>
        <v>200852C0100</v>
      </c>
      <c r="B1453" t="s">
        <v>3048</v>
      </c>
      <c r="C1453">
        <v>20</v>
      </c>
      <c r="D1453" t="s">
        <v>88</v>
      </c>
      <c r="E1453">
        <v>131</v>
      </c>
      <c r="F1453" t="s">
        <v>3040</v>
      </c>
      <c r="G1453">
        <v>852</v>
      </c>
      <c r="H1453">
        <v>1</v>
      </c>
      <c r="I1453" t="s">
        <v>98</v>
      </c>
      <c r="J1453">
        <v>0</v>
      </c>
      <c r="K1453">
        <v>2</v>
      </c>
      <c r="L1453">
        <v>5</v>
      </c>
      <c r="M1453">
        <v>156</v>
      </c>
      <c r="N1453">
        <v>526</v>
      </c>
      <c r="O1453">
        <v>2</v>
      </c>
      <c r="P1453">
        <v>525</v>
      </c>
      <c r="Q1453">
        <v>3</v>
      </c>
      <c r="R1453">
        <v>144</v>
      </c>
      <c r="S1453">
        <v>81</v>
      </c>
      <c r="T1453">
        <v>18</v>
      </c>
      <c r="U1453">
        <v>6</v>
      </c>
      <c r="V1453">
        <v>0</v>
      </c>
      <c r="W1453">
        <v>0</v>
      </c>
      <c r="X1453">
        <v>3</v>
      </c>
      <c r="Y1453">
        <v>242</v>
      </c>
      <c r="Z1453">
        <v>4</v>
      </c>
      <c r="AA1453">
        <v>2</v>
      </c>
      <c r="AB1453">
        <v>0</v>
      </c>
      <c r="AC1453">
        <v>0</v>
      </c>
      <c r="AD1453">
        <v>0</v>
      </c>
      <c r="AE1453">
        <v>0</v>
      </c>
      <c r="AF1453">
        <v>0</v>
      </c>
      <c r="AK1453">
        <v>4</v>
      </c>
      <c r="AL1453">
        <v>0</v>
      </c>
      <c r="AM1453">
        <v>0</v>
      </c>
      <c r="AN1453">
        <v>0</v>
      </c>
      <c r="AU1453">
        <v>0</v>
      </c>
      <c r="BC1453">
        <v>0</v>
      </c>
      <c r="BD1453">
        <v>18</v>
      </c>
      <c r="BE1453">
        <v>525</v>
      </c>
      <c r="BF1453">
        <v>525</v>
      </c>
      <c r="BG1453">
        <v>660</v>
      </c>
      <c r="BJ1453">
        <v>1</v>
      </c>
      <c r="BL1453" s="2" t="s">
        <v>3049</v>
      </c>
      <c r="BM1453" s="4">
        <v>43282.163888888892</v>
      </c>
      <c r="BN1453" s="4">
        <v>43283.176180555558</v>
      </c>
      <c r="BO1453" s="4">
        <v>43283.176180555558</v>
      </c>
      <c r="BP1453" t="s">
        <v>92</v>
      </c>
      <c r="BQ1453" t="s">
        <v>93</v>
      </c>
      <c r="BR1453" t="s">
        <v>94</v>
      </c>
    </row>
    <row r="1454" spans="1:70" x14ac:dyDescent="0.3">
      <c r="A1454" t="str">
        <f>"200853B0100"</f>
        <v>200853B0100</v>
      </c>
      <c r="B1454" t="s">
        <v>3050</v>
      </c>
      <c r="C1454">
        <v>20</v>
      </c>
      <c r="D1454" t="s">
        <v>88</v>
      </c>
      <c r="E1454">
        <v>131</v>
      </c>
      <c r="F1454" t="s">
        <v>3040</v>
      </c>
      <c r="G1454">
        <v>853</v>
      </c>
      <c r="H1454">
        <v>1</v>
      </c>
      <c r="I1454" t="s">
        <v>90</v>
      </c>
      <c r="J1454">
        <v>0</v>
      </c>
      <c r="K1454">
        <v>2</v>
      </c>
      <c r="L1454">
        <v>5</v>
      </c>
      <c r="M1454">
        <v>112</v>
      </c>
      <c r="N1454">
        <v>3</v>
      </c>
      <c r="O1454">
        <v>3</v>
      </c>
      <c r="P1454" t="s">
        <v>127</v>
      </c>
      <c r="Q1454">
        <v>4</v>
      </c>
      <c r="R1454">
        <v>100</v>
      </c>
      <c r="S1454">
        <v>76</v>
      </c>
      <c r="T1454">
        <v>4</v>
      </c>
      <c r="U1454">
        <v>7</v>
      </c>
      <c r="V1454">
        <v>0</v>
      </c>
      <c r="W1454">
        <v>2</v>
      </c>
      <c r="X1454">
        <v>1</v>
      </c>
      <c r="Y1454">
        <v>271</v>
      </c>
      <c r="Z1454">
        <v>1</v>
      </c>
      <c r="AA1454">
        <v>1</v>
      </c>
      <c r="AB1454">
        <v>0</v>
      </c>
      <c r="AC1454">
        <v>0</v>
      </c>
      <c r="AD1454">
        <v>2</v>
      </c>
      <c r="AE1454">
        <v>0</v>
      </c>
      <c r="AF1454">
        <v>0</v>
      </c>
      <c r="AK1454">
        <v>2</v>
      </c>
      <c r="AL1454">
        <v>2</v>
      </c>
      <c r="AM1454">
        <v>0</v>
      </c>
      <c r="AN1454">
        <v>2</v>
      </c>
      <c r="AU1454">
        <v>0</v>
      </c>
      <c r="BC1454">
        <v>1</v>
      </c>
      <c r="BD1454">
        <v>23</v>
      </c>
      <c r="BE1454">
        <v>499</v>
      </c>
      <c r="BF1454">
        <v>499</v>
      </c>
      <c r="BG1454">
        <v>589</v>
      </c>
      <c r="BJ1454">
        <v>1</v>
      </c>
      <c r="BL1454" t="s">
        <v>3051</v>
      </c>
      <c r="BM1454" s="4">
        <v>43283.072916666664</v>
      </c>
      <c r="BN1454" s="4">
        <v>43283.103807870371</v>
      </c>
      <c r="BO1454" s="4">
        <v>43283.103807870371</v>
      </c>
      <c r="BP1454" t="s">
        <v>92</v>
      </c>
      <c r="BQ1454" t="s">
        <v>93</v>
      </c>
      <c r="BR1454" t="s">
        <v>254</v>
      </c>
    </row>
    <row r="1455" spans="1:70" x14ac:dyDescent="0.3">
      <c r="A1455" t="str">
        <f>"200853C0100"</f>
        <v>200853C0100</v>
      </c>
      <c r="B1455" t="s">
        <v>3052</v>
      </c>
      <c r="C1455">
        <v>20</v>
      </c>
      <c r="D1455" t="s">
        <v>88</v>
      </c>
      <c r="E1455">
        <v>131</v>
      </c>
      <c r="F1455" t="s">
        <v>3040</v>
      </c>
      <c r="G1455">
        <v>853</v>
      </c>
      <c r="H1455">
        <v>1</v>
      </c>
      <c r="I1455" t="s">
        <v>98</v>
      </c>
      <c r="J1455">
        <v>0</v>
      </c>
      <c r="K1455">
        <v>2</v>
      </c>
      <c r="L1455">
        <v>5</v>
      </c>
      <c r="M1455">
        <v>98</v>
      </c>
      <c r="N1455">
        <v>512</v>
      </c>
      <c r="O1455">
        <v>2</v>
      </c>
      <c r="P1455">
        <v>512</v>
      </c>
      <c r="Q1455">
        <v>1</v>
      </c>
      <c r="R1455">
        <v>91</v>
      </c>
      <c r="S1455">
        <v>84</v>
      </c>
      <c r="T1455">
        <v>7</v>
      </c>
      <c r="U1455">
        <v>2</v>
      </c>
      <c r="V1455">
        <v>4</v>
      </c>
      <c r="W1455">
        <v>2</v>
      </c>
      <c r="X1455">
        <v>3</v>
      </c>
      <c r="Y1455">
        <v>289</v>
      </c>
      <c r="Z1455">
        <v>5</v>
      </c>
      <c r="AA1455">
        <v>1</v>
      </c>
      <c r="AB1455" t="s">
        <v>105</v>
      </c>
      <c r="AC1455" t="s">
        <v>105</v>
      </c>
      <c r="AD1455">
        <v>1</v>
      </c>
      <c r="AE1455" t="s">
        <v>105</v>
      </c>
      <c r="AF1455" t="s">
        <v>105</v>
      </c>
      <c r="AK1455">
        <v>3</v>
      </c>
      <c r="AL1455">
        <v>3</v>
      </c>
      <c r="AM1455" t="s">
        <v>105</v>
      </c>
      <c r="AN1455">
        <v>2</v>
      </c>
      <c r="AU1455" t="s">
        <v>105</v>
      </c>
      <c r="BC1455">
        <v>1</v>
      </c>
      <c r="BD1455">
        <v>13</v>
      </c>
      <c r="BE1455">
        <v>512</v>
      </c>
      <c r="BF1455">
        <v>512</v>
      </c>
      <c r="BG1455">
        <v>588</v>
      </c>
      <c r="BI1455" t="s">
        <v>106</v>
      </c>
      <c r="BJ1455">
        <v>1</v>
      </c>
      <c r="BL1455" t="s">
        <v>3053</v>
      </c>
      <c r="BM1455" s="4">
        <v>43283.058333333334</v>
      </c>
      <c r="BN1455" s="4">
        <v>43283.101921296293</v>
      </c>
      <c r="BO1455" s="4">
        <v>43283.101921296293</v>
      </c>
      <c r="BP1455" t="s">
        <v>92</v>
      </c>
      <c r="BQ1455" t="s">
        <v>93</v>
      </c>
      <c r="BR1455" t="s">
        <v>94</v>
      </c>
    </row>
    <row r="1456" spans="1:70" x14ac:dyDescent="0.3">
      <c r="A1456" t="str">
        <f>"200853E0100"</f>
        <v>200853E0100</v>
      </c>
      <c r="B1456" s="2" t="s">
        <v>3054</v>
      </c>
      <c r="C1456">
        <v>20</v>
      </c>
      <c r="D1456" t="s">
        <v>88</v>
      </c>
      <c r="E1456">
        <v>131</v>
      </c>
      <c r="F1456" t="s">
        <v>3040</v>
      </c>
      <c r="G1456">
        <v>853</v>
      </c>
      <c r="H1456">
        <v>1</v>
      </c>
      <c r="I1456" t="s">
        <v>156</v>
      </c>
      <c r="J1456">
        <v>0</v>
      </c>
      <c r="K1456">
        <v>2</v>
      </c>
      <c r="L1456">
        <v>5</v>
      </c>
      <c r="M1456">
        <v>120</v>
      </c>
      <c r="N1456" t="s">
        <v>127</v>
      </c>
      <c r="O1456">
        <v>0</v>
      </c>
      <c r="P1456">
        <v>616</v>
      </c>
      <c r="Q1456">
        <v>4</v>
      </c>
      <c r="R1456">
        <v>126</v>
      </c>
      <c r="S1456">
        <v>67</v>
      </c>
      <c r="T1456">
        <v>4</v>
      </c>
      <c r="U1456">
        <v>8</v>
      </c>
      <c r="V1456">
        <v>6</v>
      </c>
      <c r="W1456">
        <v>4</v>
      </c>
      <c r="X1456">
        <v>4</v>
      </c>
      <c r="Y1456">
        <v>374</v>
      </c>
      <c r="Z1456">
        <v>3</v>
      </c>
      <c r="AA1456">
        <v>1</v>
      </c>
      <c r="AB1456">
        <v>0</v>
      </c>
      <c r="AC1456">
        <v>0</v>
      </c>
      <c r="AD1456">
        <v>0</v>
      </c>
      <c r="AE1456">
        <v>0</v>
      </c>
      <c r="AF1456">
        <v>0</v>
      </c>
      <c r="AK1456">
        <v>1</v>
      </c>
      <c r="AL1456">
        <v>1</v>
      </c>
      <c r="AM1456">
        <v>0</v>
      </c>
      <c r="AN1456">
        <v>0</v>
      </c>
      <c r="AU1456">
        <v>0</v>
      </c>
      <c r="BC1456">
        <v>0</v>
      </c>
      <c r="BD1456">
        <v>13</v>
      </c>
      <c r="BE1456">
        <v>616</v>
      </c>
      <c r="BF1456">
        <v>616</v>
      </c>
      <c r="BG1456">
        <v>714</v>
      </c>
      <c r="BJ1456">
        <v>1</v>
      </c>
      <c r="BL1456" t="s">
        <v>3055</v>
      </c>
      <c r="BM1456" s="4">
        <v>43282.134027777778</v>
      </c>
      <c r="BN1456" s="4">
        <v>43283.151932870373</v>
      </c>
      <c r="BO1456" s="4">
        <v>43283.151932870373</v>
      </c>
      <c r="BP1456" t="s">
        <v>92</v>
      </c>
      <c r="BQ1456" t="s">
        <v>93</v>
      </c>
      <c r="BR1456" t="s">
        <v>94</v>
      </c>
    </row>
    <row r="1457" spans="1:70" x14ac:dyDescent="0.3">
      <c r="A1457" t="str">
        <f>"200854B0100"</f>
        <v>200854B0100</v>
      </c>
      <c r="B1457" t="s">
        <v>3056</v>
      </c>
      <c r="C1457">
        <v>20</v>
      </c>
      <c r="D1457" t="s">
        <v>88</v>
      </c>
      <c r="E1457">
        <v>131</v>
      </c>
      <c r="F1457" t="s">
        <v>3040</v>
      </c>
      <c r="G1457">
        <v>854</v>
      </c>
      <c r="H1457">
        <v>1</v>
      </c>
      <c r="I1457" t="s">
        <v>90</v>
      </c>
      <c r="J1457">
        <v>0</v>
      </c>
      <c r="K1457">
        <v>2</v>
      </c>
      <c r="L1457">
        <v>5</v>
      </c>
      <c r="M1457">
        <v>124</v>
      </c>
      <c r="N1457">
        <v>570</v>
      </c>
      <c r="O1457">
        <v>7</v>
      </c>
      <c r="P1457">
        <v>570</v>
      </c>
      <c r="Q1457">
        <v>1</v>
      </c>
      <c r="R1457">
        <v>147</v>
      </c>
      <c r="S1457">
        <v>119</v>
      </c>
      <c r="T1457">
        <v>9</v>
      </c>
      <c r="U1457">
        <v>6</v>
      </c>
      <c r="V1457">
        <v>2</v>
      </c>
      <c r="W1457">
        <v>1</v>
      </c>
      <c r="X1457">
        <v>0</v>
      </c>
      <c r="Y1457">
        <v>258</v>
      </c>
      <c r="Z1457">
        <v>3</v>
      </c>
      <c r="AA1457">
        <v>2</v>
      </c>
      <c r="AB1457">
        <v>0</v>
      </c>
      <c r="AC1457">
        <v>0</v>
      </c>
      <c r="AD1457">
        <v>0</v>
      </c>
      <c r="AE1457">
        <v>0</v>
      </c>
      <c r="AF1457">
        <v>0</v>
      </c>
      <c r="AK1457">
        <v>7</v>
      </c>
      <c r="AL1457">
        <v>0</v>
      </c>
      <c r="AM1457">
        <v>0</v>
      </c>
      <c r="AN1457">
        <v>1</v>
      </c>
      <c r="AU1457">
        <v>0</v>
      </c>
      <c r="BC1457">
        <v>0</v>
      </c>
      <c r="BD1457">
        <v>12</v>
      </c>
      <c r="BE1457">
        <v>570</v>
      </c>
      <c r="BF1457">
        <v>568</v>
      </c>
      <c r="BG1457">
        <v>672</v>
      </c>
      <c r="BJ1457">
        <v>1</v>
      </c>
      <c r="BL1457" t="s">
        <v>3057</v>
      </c>
      <c r="BM1457" s="4">
        <v>43282.320138888892</v>
      </c>
      <c r="BN1457" s="4">
        <v>43283.34574074074</v>
      </c>
      <c r="BO1457" s="4">
        <v>43283.34574074074</v>
      </c>
      <c r="BP1457" t="s">
        <v>92</v>
      </c>
      <c r="BQ1457" t="s">
        <v>93</v>
      </c>
      <c r="BR1457" t="s">
        <v>94</v>
      </c>
    </row>
    <row r="1458" spans="1:70" x14ac:dyDescent="0.3">
      <c r="A1458" t="str">
        <f>"200854C0100"</f>
        <v>200854C0100</v>
      </c>
      <c r="B1458" t="s">
        <v>3058</v>
      </c>
      <c r="C1458">
        <v>20</v>
      </c>
      <c r="D1458" t="s">
        <v>88</v>
      </c>
      <c r="E1458">
        <v>131</v>
      </c>
      <c r="F1458" t="s">
        <v>3040</v>
      </c>
      <c r="G1458">
        <v>854</v>
      </c>
      <c r="H1458">
        <v>1</v>
      </c>
      <c r="I1458" t="s">
        <v>98</v>
      </c>
      <c r="J1458">
        <v>0</v>
      </c>
      <c r="K1458">
        <v>2</v>
      </c>
      <c r="L1458">
        <v>5</v>
      </c>
      <c r="M1458" t="s">
        <v>105</v>
      </c>
      <c r="N1458" t="s">
        <v>105</v>
      </c>
      <c r="O1458" t="s">
        <v>105</v>
      </c>
      <c r="P1458" t="s">
        <v>105</v>
      </c>
      <c r="Q1458">
        <v>7</v>
      </c>
      <c r="R1458">
        <v>105</v>
      </c>
      <c r="S1458">
        <v>80</v>
      </c>
      <c r="T1458">
        <v>4</v>
      </c>
      <c r="U1458">
        <v>4</v>
      </c>
      <c r="V1458">
        <v>4</v>
      </c>
      <c r="W1458">
        <v>0</v>
      </c>
      <c r="X1458">
        <v>2</v>
      </c>
      <c r="Y1458">
        <v>314</v>
      </c>
      <c r="Z1458">
        <v>2</v>
      </c>
      <c r="AA1458">
        <v>2</v>
      </c>
      <c r="AB1458">
        <v>0</v>
      </c>
      <c r="AC1458">
        <v>1</v>
      </c>
      <c r="AD1458">
        <v>0</v>
      </c>
      <c r="AE1458">
        <v>1</v>
      </c>
      <c r="AF1458">
        <v>0</v>
      </c>
      <c r="AK1458">
        <v>0</v>
      </c>
      <c r="AL1458">
        <v>0</v>
      </c>
      <c r="AM1458">
        <v>0</v>
      </c>
      <c r="AN1458">
        <v>0</v>
      </c>
      <c r="AU1458">
        <v>0</v>
      </c>
      <c r="BC1458">
        <v>4</v>
      </c>
      <c r="BD1458">
        <v>15</v>
      </c>
      <c r="BE1458">
        <v>548</v>
      </c>
      <c r="BF1458">
        <v>545</v>
      </c>
      <c r="BG1458">
        <v>671</v>
      </c>
      <c r="BJ1458">
        <v>1</v>
      </c>
      <c r="BL1458" t="s">
        <v>3059</v>
      </c>
      <c r="BM1458" s="4">
        <v>43282.313194444447</v>
      </c>
      <c r="BN1458" s="4">
        <v>43283.355567129627</v>
      </c>
      <c r="BO1458" s="4">
        <v>43283.355567129627</v>
      </c>
      <c r="BP1458" t="s">
        <v>92</v>
      </c>
      <c r="BQ1458" t="s">
        <v>93</v>
      </c>
      <c r="BR1458" t="s">
        <v>94</v>
      </c>
    </row>
    <row r="1459" spans="1:70" x14ac:dyDescent="0.3">
      <c r="A1459" t="str">
        <f>"200854C0200"</f>
        <v>200854C0200</v>
      </c>
      <c r="B1459" t="s">
        <v>3060</v>
      </c>
      <c r="C1459">
        <v>20</v>
      </c>
      <c r="D1459" t="s">
        <v>88</v>
      </c>
      <c r="E1459">
        <v>131</v>
      </c>
      <c r="F1459" t="s">
        <v>3040</v>
      </c>
      <c r="G1459">
        <v>854</v>
      </c>
      <c r="H1459">
        <v>2</v>
      </c>
      <c r="I1459" t="s">
        <v>98</v>
      </c>
      <c r="J1459">
        <v>0</v>
      </c>
      <c r="K1459">
        <v>2</v>
      </c>
      <c r="L1459">
        <v>5</v>
      </c>
      <c r="M1459">
        <v>152</v>
      </c>
      <c r="N1459">
        <v>541</v>
      </c>
      <c r="O1459">
        <v>2</v>
      </c>
      <c r="P1459">
        <v>541</v>
      </c>
      <c r="Q1459">
        <v>7</v>
      </c>
      <c r="R1459">
        <v>130</v>
      </c>
      <c r="S1459">
        <v>109</v>
      </c>
      <c r="T1459">
        <v>15</v>
      </c>
      <c r="U1459">
        <v>1</v>
      </c>
      <c r="V1459">
        <v>3</v>
      </c>
      <c r="W1459">
        <v>0</v>
      </c>
      <c r="X1459">
        <v>1</v>
      </c>
      <c r="Y1459">
        <v>257</v>
      </c>
      <c r="Z1459">
        <v>1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K1459">
        <v>3</v>
      </c>
      <c r="AL1459">
        <v>0</v>
      </c>
      <c r="AM1459">
        <v>1</v>
      </c>
      <c r="AN1459">
        <v>2</v>
      </c>
      <c r="AU1459">
        <v>1</v>
      </c>
      <c r="BC1459">
        <v>0</v>
      </c>
      <c r="BD1459">
        <v>10</v>
      </c>
      <c r="BE1459">
        <v>541</v>
      </c>
      <c r="BF1459">
        <v>541</v>
      </c>
      <c r="BG1459">
        <v>671</v>
      </c>
      <c r="BJ1459">
        <v>1</v>
      </c>
      <c r="BL1459" t="s">
        <v>3061</v>
      </c>
      <c r="BM1459" s="4">
        <v>43283.316666666666</v>
      </c>
      <c r="BN1459" s="4">
        <v>43283.340428240743</v>
      </c>
      <c r="BO1459" s="4">
        <v>43283.340428240743</v>
      </c>
      <c r="BP1459" t="s">
        <v>92</v>
      </c>
      <c r="BQ1459" t="s">
        <v>93</v>
      </c>
      <c r="BR1459" t="s">
        <v>94</v>
      </c>
    </row>
    <row r="1460" spans="1:70" x14ac:dyDescent="0.3">
      <c r="A1460" t="str">
        <f>"200854E0100"</f>
        <v>200854E0100</v>
      </c>
      <c r="B1460" s="2" t="s">
        <v>3062</v>
      </c>
      <c r="C1460">
        <v>20</v>
      </c>
      <c r="D1460" t="s">
        <v>88</v>
      </c>
      <c r="E1460">
        <v>131</v>
      </c>
      <c r="F1460" t="s">
        <v>3040</v>
      </c>
      <c r="G1460">
        <v>854</v>
      </c>
      <c r="H1460">
        <v>1</v>
      </c>
      <c r="I1460" t="s">
        <v>156</v>
      </c>
      <c r="J1460">
        <v>0</v>
      </c>
      <c r="K1460">
        <v>2</v>
      </c>
      <c r="L1460">
        <v>5</v>
      </c>
      <c r="M1460">
        <v>64</v>
      </c>
      <c r="N1460">
        <v>303</v>
      </c>
      <c r="O1460">
        <v>0</v>
      </c>
      <c r="P1460">
        <v>303</v>
      </c>
      <c r="Q1460" t="s">
        <v>105</v>
      </c>
      <c r="R1460">
        <v>83</v>
      </c>
      <c r="S1460">
        <v>28</v>
      </c>
      <c r="T1460">
        <v>1</v>
      </c>
      <c r="U1460">
        <v>0</v>
      </c>
      <c r="V1460">
        <v>0</v>
      </c>
      <c r="W1460">
        <v>0</v>
      </c>
      <c r="X1460">
        <v>0</v>
      </c>
      <c r="Y1460">
        <v>183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K1460">
        <v>0</v>
      </c>
      <c r="AL1460">
        <v>0</v>
      </c>
      <c r="AM1460">
        <v>0</v>
      </c>
      <c r="AN1460">
        <v>0</v>
      </c>
      <c r="AU1460">
        <v>0</v>
      </c>
      <c r="BC1460">
        <v>0</v>
      </c>
      <c r="BD1460">
        <v>8</v>
      </c>
      <c r="BE1460">
        <v>303</v>
      </c>
      <c r="BF1460">
        <v>303</v>
      </c>
      <c r="BG1460">
        <v>345</v>
      </c>
      <c r="BI1460" t="s">
        <v>106</v>
      </c>
      <c r="BJ1460">
        <v>1</v>
      </c>
      <c r="BL1460" t="s">
        <v>3063</v>
      </c>
      <c r="BM1460" s="4">
        <v>43282.311111111114</v>
      </c>
      <c r="BN1460" s="4">
        <v>43283.334143518521</v>
      </c>
      <c r="BO1460" s="4">
        <v>43283.334143518521</v>
      </c>
      <c r="BP1460" t="s">
        <v>92</v>
      </c>
      <c r="BQ1460" t="s">
        <v>93</v>
      </c>
      <c r="BR1460" t="s">
        <v>94</v>
      </c>
    </row>
    <row r="1461" spans="1:70" x14ac:dyDescent="0.3">
      <c r="A1461" t="str">
        <f>"200855B0100"</f>
        <v>200855B0100</v>
      </c>
      <c r="B1461" t="s">
        <v>3064</v>
      </c>
      <c r="C1461">
        <v>20</v>
      </c>
      <c r="D1461" t="s">
        <v>88</v>
      </c>
      <c r="E1461">
        <v>131</v>
      </c>
      <c r="F1461" t="s">
        <v>3040</v>
      </c>
      <c r="G1461">
        <v>855</v>
      </c>
      <c r="H1461">
        <v>1</v>
      </c>
      <c r="I1461" t="s">
        <v>90</v>
      </c>
      <c r="J1461">
        <v>0</v>
      </c>
      <c r="K1461">
        <v>2</v>
      </c>
      <c r="L1461">
        <v>5</v>
      </c>
      <c r="M1461">
        <v>90</v>
      </c>
      <c r="N1461">
        <v>412</v>
      </c>
      <c r="O1461">
        <v>0</v>
      </c>
      <c r="P1461">
        <v>0</v>
      </c>
      <c r="Q1461">
        <v>3</v>
      </c>
      <c r="R1461">
        <v>149</v>
      </c>
      <c r="S1461">
        <v>77</v>
      </c>
      <c r="T1461">
        <v>3</v>
      </c>
      <c r="U1461">
        <v>5</v>
      </c>
      <c r="V1461">
        <v>3</v>
      </c>
      <c r="W1461">
        <v>1</v>
      </c>
      <c r="X1461">
        <v>5</v>
      </c>
      <c r="Y1461">
        <v>161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K1461">
        <v>1</v>
      </c>
      <c r="AL1461">
        <v>0</v>
      </c>
      <c r="AM1461">
        <v>0</v>
      </c>
      <c r="AN1461">
        <v>0</v>
      </c>
      <c r="AU1461" t="s">
        <v>105</v>
      </c>
      <c r="BC1461" t="s">
        <v>105</v>
      </c>
      <c r="BD1461">
        <v>4</v>
      </c>
      <c r="BE1461">
        <v>412</v>
      </c>
      <c r="BF1461">
        <v>412</v>
      </c>
      <c r="BG1461">
        <v>481</v>
      </c>
      <c r="BI1461" t="s">
        <v>106</v>
      </c>
      <c r="BJ1461">
        <v>1</v>
      </c>
      <c r="BL1461" t="s">
        <v>3065</v>
      </c>
      <c r="BM1461" s="4">
        <v>43282.140972222223</v>
      </c>
      <c r="BN1461" s="4">
        <v>43283.149444444447</v>
      </c>
      <c r="BO1461" s="4">
        <v>43283.149444444447</v>
      </c>
      <c r="BP1461" t="s">
        <v>92</v>
      </c>
      <c r="BQ1461" t="s">
        <v>93</v>
      </c>
      <c r="BR1461" t="s">
        <v>94</v>
      </c>
    </row>
    <row r="1462" spans="1:70" x14ac:dyDescent="0.3">
      <c r="A1462" t="str">
        <f>"200855C0100"</f>
        <v>200855C0100</v>
      </c>
      <c r="B1462" t="s">
        <v>3066</v>
      </c>
      <c r="C1462">
        <v>20</v>
      </c>
      <c r="D1462" t="s">
        <v>88</v>
      </c>
      <c r="E1462">
        <v>131</v>
      </c>
      <c r="F1462" t="s">
        <v>3040</v>
      </c>
      <c r="G1462">
        <v>855</v>
      </c>
      <c r="H1462">
        <v>1</v>
      </c>
      <c r="I1462" t="s">
        <v>98</v>
      </c>
      <c r="J1462">
        <v>0</v>
      </c>
      <c r="K1462">
        <v>2</v>
      </c>
      <c r="L1462">
        <v>5</v>
      </c>
      <c r="M1462">
        <v>92</v>
      </c>
      <c r="N1462">
        <v>411</v>
      </c>
      <c r="O1462">
        <v>0</v>
      </c>
      <c r="P1462">
        <v>411</v>
      </c>
      <c r="Q1462">
        <v>2</v>
      </c>
      <c r="R1462">
        <v>177</v>
      </c>
      <c r="S1462">
        <v>78</v>
      </c>
      <c r="T1462">
        <v>0</v>
      </c>
      <c r="U1462">
        <v>3</v>
      </c>
      <c r="V1462">
        <v>2</v>
      </c>
      <c r="W1462">
        <v>3</v>
      </c>
      <c r="X1462">
        <v>4</v>
      </c>
      <c r="Y1462">
        <v>130</v>
      </c>
      <c r="Z1462">
        <v>2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K1462">
        <v>0</v>
      </c>
      <c r="AL1462">
        <v>0</v>
      </c>
      <c r="AM1462">
        <v>0</v>
      </c>
      <c r="AN1462">
        <v>1</v>
      </c>
      <c r="AU1462">
        <v>0</v>
      </c>
      <c r="BC1462">
        <v>0</v>
      </c>
      <c r="BD1462" t="s">
        <v>127</v>
      </c>
      <c r="BE1462" t="s">
        <v>127</v>
      </c>
      <c r="BF1462">
        <v>402</v>
      </c>
      <c r="BG1462">
        <v>481</v>
      </c>
      <c r="BI1462" t="s">
        <v>106</v>
      </c>
      <c r="BJ1462">
        <v>1</v>
      </c>
      <c r="BL1462" t="s">
        <v>3067</v>
      </c>
      <c r="BM1462" s="4">
        <v>43282.138888888891</v>
      </c>
      <c r="BN1462" s="4">
        <v>43283.158252314817</v>
      </c>
      <c r="BO1462" s="4">
        <v>43283.158252314817</v>
      </c>
      <c r="BP1462" t="s">
        <v>92</v>
      </c>
      <c r="BQ1462" t="s">
        <v>93</v>
      </c>
      <c r="BR1462" t="s">
        <v>94</v>
      </c>
    </row>
    <row r="1463" spans="1:70" x14ac:dyDescent="0.3">
      <c r="A1463" t="str">
        <f>"200856B0100"</f>
        <v>200856B0100</v>
      </c>
      <c r="B1463" t="s">
        <v>3068</v>
      </c>
      <c r="C1463">
        <v>20</v>
      </c>
      <c r="D1463" t="s">
        <v>88</v>
      </c>
      <c r="E1463">
        <v>131</v>
      </c>
      <c r="F1463" t="s">
        <v>3040</v>
      </c>
      <c r="G1463">
        <v>856</v>
      </c>
      <c r="H1463">
        <v>1</v>
      </c>
      <c r="I1463" t="s">
        <v>90</v>
      </c>
      <c r="J1463">
        <v>0</v>
      </c>
      <c r="K1463">
        <v>2</v>
      </c>
      <c r="L1463">
        <v>5</v>
      </c>
      <c r="M1463">
        <v>111</v>
      </c>
      <c r="N1463">
        <v>601</v>
      </c>
      <c r="O1463">
        <v>0</v>
      </c>
      <c r="P1463">
        <v>601</v>
      </c>
      <c r="Q1463">
        <v>4</v>
      </c>
      <c r="R1463">
        <v>155</v>
      </c>
      <c r="S1463">
        <v>92</v>
      </c>
      <c r="T1463">
        <v>12</v>
      </c>
      <c r="U1463">
        <v>3</v>
      </c>
      <c r="V1463">
        <v>2</v>
      </c>
      <c r="W1463">
        <v>3</v>
      </c>
      <c r="X1463">
        <v>6</v>
      </c>
      <c r="Y1463">
        <v>306</v>
      </c>
      <c r="Z1463">
        <v>9</v>
      </c>
      <c r="AA1463">
        <v>1</v>
      </c>
      <c r="AB1463">
        <v>0</v>
      </c>
      <c r="AC1463">
        <v>0</v>
      </c>
      <c r="AD1463">
        <v>0</v>
      </c>
      <c r="AE1463">
        <v>0</v>
      </c>
      <c r="AF1463">
        <v>0</v>
      </c>
      <c r="AK1463">
        <v>1</v>
      </c>
      <c r="AL1463">
        <v>1</v>
      </c>
      <c r="AM1463">
        <v>0</v>
      </c>
      <c r="AN1463">
        <v>1</v>
      </c>
      <c r="AU1463">
        <v>0</v>
      </c>
      <c r="BC1463">
        <v>0</v>
      </c>
      <c r="BD1463">
        <v>10</v>
      </c>
      <c r="BE1463" t="s">
        <v>127</v>
      </c>
      <c r="BF1463">
        <v>606</v>
      </c>
      <c r="BG1463">
        <v>689</v>
      </c>
      <c r="BJ1463">
        <v>1</v>
      </c>
      <c r="BL1463" t="s">
        <v>3069</v>
      </c>
      <c r="BM1463" s="4">
        <v>43282.174305555556</v>
      </c>
      <c r="BN1463" s="4">
        <v>43283.193206018521</v>
      </c>
      <c r="BO1463" s="4">
        <v>43283.193206018521</v>
      </c>
      <c r="BP1463" t="s">
        <v>92</v>
      </c>
      <c r="BQ1463" t="s">
        <v>93</v>
      </c>
      <c r="BR1463" t="s">
        <v>94</v>
      </c>
    </row>
    <row r="1464" spans="1:70" x14ac:dyDescent="0.3">
      <c r="A1464" t="str">
        <f>"200856C0100"</f>
        <v>200856C0100</v>
      </c>
      <c r="B1464" t="s">
        <v>3070</v>
      </c>
      <c r="C1464">
        <v>20</v>
      </c>
      <c r="D1464" t="s">
        <v>88</v>
      </c>
      <c r="E1464">
        <v>131</v>
      </c>
      <c r="F1464" t="s">
        <v>3040</v>
      </c>
      <c r="G1464">
        <v>856</v>
      </c>
      <c r="H1464">
        <v>1</v>
      </c>
      <c r="I1464" t="s">
        <v>98</v>
      </c>
      <c r="J1464">
        <v>0</v>
      </c>
      <c r="K1464">
        <v>2</v>
      </c>
      <c r="L1464">
        <v>5</v>
      </c>
      <c r="M1464">
        <v>92</v>
      </c>
      <c r="N1464">
        <v>620</v>
      </c>
      <c r="O1464">
        <v>0</v>
      </c>
      <c r="P1464">
        <v>620</v>
      </c>
      <c r="Q1464">
        <v>1</v>
      </c>
      <c r="R1464">
        <v>156</v>
      </c>
      <c r="S1464">
        <v>113</v>
      </c>
      <c r="T1464">
        <v>11</v>
      </c>
      <c r="U1464">
        <v>5</v>
      </c>
      <c r="V1464">
        <v>3</v>
      </c>
      <c r="W1464">
        <v>3</v>
      </c>
      <c r="X1464">
        <v>4</v>
      </c>
      <c r="Y1464">
        <v>297</v>
      </c>
      <c r="Z1464">
        <v>6</v>
      </c>
      <c r="AA1464">
        <v>0</v>
      </c>
      <c r="AB1464">
        <v>0</v>
      </c>
      <c r="AC1464">
        <v>0</v>
      </c>
      <c r="AD1464">
        <v>1</v>
      </c>
      <c r="AE1464">
        <v>0</v>
      </c>
      <c r="AF1464">
        <v>0</v>
      </c>
      <c r="AK1464">
        <v>2</v>
      </c>
      <c r="AL1464">
        <v>0</v>
      </c>
      <c r="AM1464">
        <v>0</v>
      </c>
      <c r="AN1464">
        <v>0</v>
      </c>
      <c r="AU1464">
        <v>0</v>
      </c>
      <c r="BC1464">
        <v>0</v>
      </c>
      <c r="BD1464">
        <v>13</v>
      </c>
      <c r="BE1464">
        <v>615</v>
      </c>
      <c r="BF1464">
        <v>615</v>
      </c>
      <c r="BG1464">
        <v>689</v>
      </c>
      <c r="BJ1464">
        <v>1</v>
      </c>
      <c r="BL1464" t="s">
        <v>3071</v>
      </c>
      <c r="BM1464" s="4">
        <v>43283.176388888889</v>
      </c>
      <c r="BN1464" s="4">
        <v>43283.191678240742</v>
      </c>
      <c r="BO1464" s="4">
        <v>43283.191678240742</v>
      </c>
      <c r="BP1464" t="s">
        <v>92</v>
      </c>
      <c r="BQ1464" t="s">
        <v>93</v>
      </c>
      <c r="BR1464" t="s">
        <v>94</v>
      </c>
    </row>
    <row r="1465" spans="1:70" x14ac:dyDescent="0.3">
      <c r="A1465" t="str">
        <f>"200856E0100"</f>
        <v>200856E0100</v>
      </c>
      <c r="B1465" s="2" t="s">
        <v>3072</v>
      </c>
      <c r="C1465">
        <v>20</v>
      </c>
      <c r="D1465" t="s">
        <v>88</v>
      </c>
      <c r="E1465">
        <v>131</v>
      </c>
      <c r="F1465" t="s">
        <v>3040</v>
      </c>
      <c r="G1465">
        <v>856</v>
      </c>
      <c r="H1465">
        <v>1</v>
      </c>
      <c r="I1465" t="s">
        <v>156</v>
      </c>
      <c r="J1465">
        <v>0</v>
      </c>
      <c r="K1465">
        <v>2</v>
      </c>
      <c r="L1465">
        <v>5</v>
      </c>
      <c r="M1465">
        <v>97</v>
      </c>
      <c r="N1465" t="s">
        <v>127</v>
      </c>
      <c r="O1465">
        <v>0</v>
      </c>
      <c r="P1465" t="s">
        <v>127</v>
      </c>
      <c r="Q1465">
        <v>1</v>
      </c>
      <c r="R1465">
        <v>200</v>
      </c>
      <c r="S1465">
        <v>19</v>
      </c>
      <c r="T1465">
        <v>0</v>
      </c>
      <c r="U1465">
        <v>2</v>
      </c>
      <c r="V1465">
        <v>2</v>
      </c>
      <c r="W1465">
        <v>0</v>
      </c>
      <c r="X1465">
        <v>4</v>
      </c>
      <c r="Y1465">
        <v>31</v>
      </c>
      <c r="Z1465">
        <v>2</v>
      </c>
      <c r="AA1465">
        <v>1</v>
      </c>
      <c r="AB1465">
        <v>0</v>
      </c>
      <c r="AC1465">
        <v>0</v>
      </c>
      <c r="AD1465">
        <v>1</v>
      </c>
      <c r="AE1465">
        <v>0</v>
      </c>
      <c r="AF1465">
        <v>0</v>
      </c>
      <c r="AK1465">
        <v>2</v>
      </c>
      <c r="AL1465">
        <v>2</v>
      </c>
      <c r="AM1465">
        <v>0</v>
      </c>
      <c r="AN1465">
        <v>1</v>
      </c>
      <c r="AU1465">
        <v>0</v>
      </c>
      <c r="BC1465">
        <v>0</v>
      </c>
      <c r="BD1465">
        <v>5</v>
      </c>
      <c r="BE1465">
        <v>543</v>
      </c>
      <c r="BF1465">
        <v>273</v>
      </c>
      <c r="BG1465">
        <v>623</v>
      </c>
      <c r="BJ1465">
        <v>1</v>
      </c>
      <c r="BL1465" t="s">
        <v>3073</v>
      </c>
      <c r="BM1465" s="4">
        <v>43283.25</v>
      </c>
      <c r="BN1465" s="4">
        <v>43283.297291666669</v>
      </c>
      <c r="BO1465" s="4">
        <v>43283.297291666669</v>
      </c>
      <c r="BP1465" t="s">
        <v>92</v>
      </c>
      <c r="BQ1465" t="s">
        <v>93</v>
      </c>
      <c r="BR1465" t="s">
        <v>94</v>
      </c>
    </row>
    <row r="1466" spans="1:70" x14ac:dyDescent="0.3">
      <c r="A1466" t="str">
        <f>"200856E0200"</f>
        <v>200856E0200</v>
      </c>
      <c r="B1466" s="2" t="s">
        <v>3074</v>
      </c>
      <c r="C1466">
        <v>20</v>
      </c>
      <c r="D1466" t="s">
        <v>88</v>
      </c>
      <c r="E1466">
        <v>131</v>
      </c>
      <c r="F1466" t="s">
        <v>3040</v>
      </c>
      <c r="G1466">
        <v>856</v>
      </c>
      <c r="H1466">
        <v>2</v>
      </c>
      <c r="I1466" t="s">
        <v>156</v>
      </c>
      <c r="J1466">
        <v>0</v>
      </c>
      <c r="K1466">
        <v>2</v>
      </c>
      <c r="L1466">
        <v>5</v>
      </c>
      <c r="M1466">
        <v>96</v>
      </c>
      <c r="N1466">
        <v>500</v>
      </c>
      <c r="O1466">
        <v>0</v>
      </c>
      <c r="P1466">
        <v>500</v>
      </c>
      <c r="Q1466">
        <v>1</v>
      </c>
      <c r="R1466">
        <v>216</v>
      </c>
      <c r="S1466">
        <v>48</v>
      </c>
      <c r="T1466">
        <v>0</v>
      </c>
      <c r="U1466">
        <v>1</v>
      </c>
      <c r="V1466">
        <v>1</v>
      </c>
      <c r="W1466">
        <v>1</v>
      </c>
      <c r="X1466">
        <v>1</v>
      </c>
      <c r="Y1466">
        <v>214</v>
      </c>
      <c r="Z1466">
        <v>2</v>
      </c>
      <c r="AA1466">
        <v>0</v>
      </c>
      <c r="AB1466">
        <v>0</v>
      </c>
      <c r="AC1466">
        <v>0</v>
      </c>
      <c r="AD1466">
        <v>1</v>
      </c>
      <c r="AE1466">
        <v>0</v>
      </c>
      <c r="AF1466">
        <v>1</v>
      </c>
      <c r="AK1466">
        <v>0</v>
      </c>
      <c r="AL1466">
        <v>1</v>
      </c>
      <c r="AM1466">
        <v>0</v>
      </c>
      <c r="AN1466">
        <v>1</v>
      </c>
      <c r="AU1466">
        <v>0</v>
      </c>
      <c r="BC1466">
        <v>0</v>
      </c>
      <c r="BD1466">
        <v>9</v>
      </c>
      <c r="BE1466">
        <v>500</v>
      </c>
      <c r="BF1466">
        <v>498</v>
      </c>
      <c r="BG1466">
        <v>574</v>
      </c>
      <c r="BJ1466">
        <v>1</v>
      </c>
      <c r="BL1466" t="s">
        <v>3075</v>
      </c>
      <c r="BM1466" s="4">
        <v>43283.163888888892</v>
      </c>
      <c r="BN1466" s="4">
        <v>43283.178865740738</v>
      </c>
      <c r="BO1466" s="4">
        <v>43283.178865740738</v>
      </c>
      <c r="BP1466" t="s">
        <v>92</v>
      </c>
      <c r="BQ1466" t="s">
        <v>93</v>
      </c>
      <c r="BR1466" t="s">
        <v>94</v>
      </c>
    </row>
    <row r="1467" spans="1:70" x14ac:dyDescent="0.3">
      <c r="A1467" t="str">
        <f>"200857B0100"</f>
        <v>200857B0100</v>
      </c>
      <c r="B1467" t="s">
        <v>3076</v>
      </c>
      <c r="C1467">
        <v>20</v>
      </c>
      <c r="D1467" t="s">
        <v>88</v>
      </c>
      <c r="E1467">
        <v>131</v>
      </c>
      <c r="F1467" t="s">
        <v>3040</v>
      </c>
      <c r="G1467">
        <v>857</v>
      </c>
      <c r="H1467">
        <v>1</v>
      </c>
      <c r="I1467" t="s">
        <v>90</v>
      </c>
      <c r="J1467">
        <v>0</v>
      </c>
      <c r="K1467">
        <v>2</v>
      </c>
      <c r="L1467">
        <v>5</v>
      </c>
      <c r="M1467">
        <v>116</v>
      </c>
      <c r="N1467">
        <v>420</v>
      </c>
      <c r="O1467">
        <v>0</v>
      </c>
      <c r="P1467">
        <v>420</v>
      </c>
      <c r="Q1467">
        <v>4</v>
      </c>
      <c r="R1467">
        <v>102</v>
      </c>
      <c r="S1467">
        <v>109</v>
      </c>
      <c r="T1467">
        <v>10</v>
      </c>
      <c r="U1467">
        <v>4</v>
      </c>
      <c r="V1467">
        <v>0</v>
      </c>
      <c r="W1467">
        <v>1</v>
      </c>
      <c r="X1467">
        <v>1</v>
      </c>
      <c r="Y1467">
        <v>175</v>
      </c>
      <c r="Z1467">
        <v>1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K1467">
        <v>0</v>
      </c>
      <c r="AL1467">
        <v>1</v>
      </c>
      <c r="AM1467">
        <v>0</v>
      </c>
      <c r="AN1467">
        <v>0</v>
      </c>
      <c r="AU1467">
        <v>0</v>
      </c>
      <c r="BC1467">
        <v>0</v>
      </c>
      <c r="BD1467">
        <v>12</v>
      </c>
      <c r="BE1467">
        <v>420</v>
      </c>
      <c r="BF1467">
        <v>420</v>
      </c>
      <c r="BG1467">
        <v>514</v>
      </c>
      <c r="BJ1467">
        <v>1</v>
      </c>
      <c r="BL1467" t="s">
        <v>3077</v>
      </c>
      <c r="BM1467" s="4">
        <v>43282.302083333336</v>
      </c>
      <c r="BN1467" s="4">
        <v>43283.326666666668</v>
      </c>
      <c r="BO1467" s="4">
        <v>43283.326666666668</v>
      </c>
      <c r="BP1467" t="s">
        <v>92</v>
      </c>
      <c r="BQ1467" t="s">
        <v>93</v>
      </c>
      <c r="BR1467" t="s">
        <v>94</v>
      </c>
    </row>
    <row r="1468" spans="1:70" x14ac:dyDescent="0.3">
      <c r="A1468" t="str">
        <f>"200857C0100"</f>
        <v>200857C0100</v>
      </c>
      <c r="B1468" t="s">
        <v>3078</v>
      </c>
      <c r="C1468">
        <v>20</v>
      </c>
      <c r="D1468" t="s">
        <v>88</v>
      </c>
      <c r="E1468">
        <v>131</v>
      </c>
      <c r="F1468" t="s">
        <v>3040</v>
      </c>
      <c r="G1468">
        <v>857</v>
      </c>
      <c r="H1468">
        <v>1</v>
      </c>
      <c r="I1468" t="s">
        <v>98</v>
      </c>
      <c r="J1468">
        <v>0</v>
      </c>
      <c r="K1468">
        <v>2</v>
      </c>
      <c r="L1468">
        <v>5</v>
      </c>
      <c r="M1468">
        <v>118</v>
      </c>
      <c r="N1468">
        <v>417</v>
      </c>
      <c r="O1468">
        <v>0</v>
      </c>
      <c r="P1468">
        <v>417</v>
      </c>
      <c r="Q1468">
        <v>4</v>
      </c>
      <c r="R1468">
        <v>136</v>
      </c>
      <c r="S1468">
        <v>78</v>
      </c>
      <c r="T1468">
        <v>11</v>
      </c>
      <c r="U1468">
        <v>3</v>
      </c>
      <c r="V1468">
        <v>1</v>
      </c>
      <c r="W1468">
        <v>2</v>
      </c>
      <c r="X1468">
        <v>3</v>
      </c>
      <c r="Y1468">
        <v>162</v>
      </c>
      <c r="Z1468">
        <v>3</v>
      </c>
      <c r="AA1468">
        <v>1</v>
      </c>
      <c r="AB1468">
        <v>0</v>
      </c>
      <c r="AC1468">
        <v>0</v>
      </c>
      <c r="AD1468">
        <v>0</v>
      </c>
      <c r="AE1468">
        <v>0</v>
      </c>
      <c r="AF1468">
        <v>0</v>
      </c>
      <c r="AK1468">
        <v>2</v>
      </c>
      <c r="AL1468">
        <v>0</v>
      </c>
      <c r="AM1468">
        <v>0</v>
      </c>
      <c r="AN1468">
        <v>2</v>
      </c>
      <c r="AU1468">
        <v>0</v>
      </c>
      <c r="BC1468">
        <v>0</v>
      </c>
      <c r="BD1468">
        <v>9</v>
      </c>
      <c r="BE1468">
        <v>417</v>
      </c>
      <c r="BF1468">
        <v>417</v>
      </c>
      <c r="BG1468">
        <v>513</v>
      </c>
      <c r="BJ1468">
        <v>1</v>
      </c>
      <c r="BL1468" t="s">
        <v>3079</v>
      </c>
      <c r="BM1468" s="4">
        <v>43283.304861111108</v>
      </c>
      <c r="BN1468" s="4">
        <v>43283.329699074071</v>
      </c>
      <c r="BO1468" s="4">
        <v>43283.329699074071</v>
      </c>
      <c r="BP1468" t="s">
        <v>92</v>
      </c>
      <c r="BQ1468" t="s">
        <v>93</v>
      </c>
      <c r="BR1468" t="s">
        <v>94</v>
      </c>
    </row>
    <row r="1469" spans="1:70" x14ac:dyDescent="0.3">
      <c r="A1469" t="str">
        <f>"200857E0100"</f>
        <v>200857E0100</v>
      </c>
      <c r="B1469" s="2" t="s">
        <v>3080</v>
      </c>
      <c r="C1469">
        <v>20</v>
      </c>
      <c r="D1469" t="s">
        <v>88</v>
      </c>
      <c r="E1469">
        <v>131</v>
      </c>
      <c r="F1469" t="s">
        <v>3040</v>
      </c>
      <c r="G1469">
        <v>857</v>
      </c>
      <c r="H1469">
        <v>1</v>
      </c>
      <c r="I1469" t="s">
        <v>156</v>
      </c>
      <c r="J1469">
        <v>0</v>
      </c>
      <c r="K1469">
        <v>2</v>
      </c>
      <c r="L1469">
        <v>5</v>
      </c>
      <c r="M1469">
        <v>83</v>
      </c>
      <c r="N1469">
        <v>454</v>
      </c>
      <c r="O1469">
        <v>8</v>
      </c>
      <c r="P1469">
        <v>454</v>
      </c>
      <c r="Q1469">
        <v>1</v>
      </c>
      <c r="R1469">
        <v>142</v>
      </c>
      <c r="S1469">
        <v>109</v>
      </c>
      <c r="T1469">
        <v>2</v>
      </c>
      <c r="U1469">
        <v>1</v>
      </c>
      <c r="V1469">
        <v>1</v>
      </c>
      <c r="W1469">
        <v>0</v>
      </c>
      <c r="X1469">
        <v>1</v>
      </c>
      <c r="Y1469">
        <v>187</v>
      </c>
      <c r="Z1469">
        <v>2</v>
      </c>
      <c r="AA1469">
        <v>0</v>
      </c>
      <c r="AB1469">
        <v>0</v>
      </c>
      <c r="AC1469">
        <v>0</v>
      </c>
      <c r="AD1469">
        <v>1</v>
      </c>
      <c r="AE1469">
        <v>0</v>
      </c>
      <c r="AF1469">
        <v>0</v>
      </c>
      <c r="AK1469">
        <v>0</v>
      </c>
      <c r="AL1469">
        <v>0</v>
      </c>
      <c r="AM1469">
        <v>0</v>
      </c>
      <c r="AN1469">
        <v>0</v>
      </c>
      <c r="AU1469">
        <v>0</v>
      </c>
      <c r="BC1469">
        <v>0</v>
      </c>
      <c r="BD1469">
        <v>7</v>
      </c>
      <c r="BE1469">
        <v>454</v>
      </c>
      <c r="BF1469">
        <v>454</v>
      </c>
      <c r="BG1469">
        <v>515</v>
      </c>
      <c r="BJ1469">
        <v>1</v>
      </c>
      <c r="BL1469" t="s">
        <v>3081</v>
      </c>
      <c r="BM1469" s="4">
        <v>43282.293055555558</v>
      </c>
      <c r="BN1469" s="4">
        <v>43283.318888888891</v>
      </c>
      <c r="BO1469" s="4">
        <v>43283.318888888891</v>
      </c>
      <c r="BP1469" t="s">
        <v>92</v>
      </c>
      <c r="BQ1469" t="s">
        <v>93</v>
      </c>
      <c r="BR1469" t="s">
        <v>94</v>
      </c>
    </row>
    <row r="1470" spans="1:70" x14ac:dyDescent="0.3">
      <c r="A1470" t="str">
        <f>"200857E0200"</f>
        <v>200857E0200</v>
      </c>
      <c r="B1470" s="2" t="s">
        <v>3082</v>
      </c>
      <c r="C1470">
        <v>20</v>
      </c>
      <c r="D1470" t="s">
        <v>88</v>
      </c>
      <c r="E1470">
        <v>131</v>
      </c>
      <c r="F1470" t="s">
        <v>3040</v>
      </c>
      <c r="G1470">
        <v>857</v>
      </c>
      <c r="H1470">
        <v>2</v>
      </c>
      <c r="I1470" t="s">
        <v>156</v>
      </c>
      <c r="J1470">
        <v>0</v>
      </c>
      <c r="K1470">
        <v>2</v>
      </c>
      <c r="L1470">
        <v>5</v>
      </c>
      <c r="M1470">
        <v>37</v>
      </c>
      <c r="N1470">
        <v>338</v>
      </c>
      <c r="O1470">
        <v>0</v>
      </c>
      <c r="P1470">
        <v>338</v>
      </c>
      <c r="Q1470">
        <v>2</v>
      </c>
      <c r="R1470">
        <v>85</v>
      </c>
      <c r="S1470">
        <v>77</v>
      </c>
      <c r="T1470">
        <v>0</v>
      </c>
      <c r="U1470">
        <v>2</v>
      </c>
      <c r="V1470">
        <v>2</v>
      </c>
      <c r="W1470">
        <v>0</v>
      </c>
      <c r="X1470">
        <v>2</v>
      </c>
      <c r="Y1470">
        <v>156</v>
      </c>
      <c r="Z1470">
        <v>2</v>
      </c>
      <c r="AA1470">
        <v>0</v>
      </c>
      <c r="AB1470">
        <v>0</v>
      </c>
      <c r="AC1470">
        <v>0</v>
      </c>
      <c r="AD1470">
        <v>1</v>
      </c>
      <c r="AE1470">
        <v>0</v>
      </c>
      <c r="AF1470">
        <v>0</v>
      </c>
      <c r="AK1470">
        <v>1</v>
      </c>
      <c r="AL1470">
        <v>0</v>
      </c>
      <c r="AM1470">
        <v>0</v>
      </c>
      <c r="AN1470">
        <v>0</v>
      </c>
      <c r="AU1470">
        <v>0</v>
      </c>
      <c r="BC1470">
        <v>0</v>
      </c>
      <c r="BD1470">
        <v>8</v>
      </c>
      <c r="BE1470">
        <v>338</v>
      </c>
      <c r="BF1470">
        <v>338</v>
      </c>
      <c r="BG1470">
        <v>353</v>
      </c>
      <c r="BJ1470">
        <v>1</v>
      </c>
      <c r="BL1470" t="s">
        <v>3083</v>
      </c>
      <c r="BM1470" s="4">
        <v>43282.307638888888</v>
      </c>
      <c r="BN1470" s="4">
        <v>43283.33121527778</v>
      </c>
      <c r="BO1470" s="4">
        <v>43283.33121527778</v>
      </c>
      <c r="BP1470" t="s">
        <v>92</v>
      </c>
      <c r="BQ1470" t="s">
        <v>93</v>
      </c>
      <c r="BR1470" t="s">
        <v>94</v>
      </c>
    </row>
    <row r="1471" spans="1:70" x14ac:dyDescent="0.3">
      <c r="A1471" t="str">
        <f>"200857E0300"</f>
        <v>200857E0300</v>
      </c>
      <c r="B1471" s="2" t="s">
        <v>3084</v>
      </c>
      <c r="C1471">
        <v>20</v>
      </c>
      <c r="D1471" t="s">
        <v>88</v>
      </c>
      <c r="E1471">
        <v>131</v>
      </c>
      <c r="F1471" t="s">
        <v>3040</v>
      </c>
      <c r="G1471">
        <v>857</v>
      </c>
      <c r="H1471">
        <v>3</v>
      </c>
      <c r="I1471" t="s">
        <v>156</v>
      </c>
      <c r="J1471">
        <v>0</v>
      </c>
      <c r="K1471">
        <v>2</v>
      </c>
      <c r="L1471">
        <v>5</v>
      </c>
      <c r="M1471">
        <v>82</v>
      </c>
      <c r="N1471">
        <v>392</v>
      </c>
      <c r="O1471">
        <v>13</v>
      </c>
      <c r="P1471">
        <v>392</v>
      </c>
      <c r="Q1471">
        <v>0</v>
      </c>
      <c r="R1471">
        <v>68</v>
      </c>
      <c r="S1471">
        <v>49</v>
      </c>
      <c r="T1471">
        <v>2</v>
      </c>
      <c r="U1471">
        <v>1</v>
      </c>
      <c r="V1471">
        <v>1</v>
      </c>
      <c r="W1471">
        <v>3</v>
      </c>
      <c r="X1471">
        <v>4</v>
      </c>
      <c r="Y1471">
        <v>243</v>
      </c>
      <c r="Z1471">
        <v>5</v>
      </c>
      <c r="AA1471">
        <v>0</v>
      </c>
      <c r="AB1471">
        <v>0</v>
      </c>
      <c r="AC1471">
        <v>1</v>
      </c>
      <c r="AD1471">
        <v>1</v>
      </c>
      <c r="AE1471">
        <v>0</v>
      </c>
      <c r="AF1471">
        <v>0</v>
      </c>
      <c r="AK1471">
        <v>4</v>
      </c>
      <c r="AL1471">
        <v>1</v>
      </c>
      <c r="AM1471">
        <v>0</v>
      </c>
      <c r="AN1471">
        <v>3</v>
      </c>
      <c r="AU1471">
        <v>0</v>
      </c>
      <c r="BC1471">
        <v>0</v>
      </c>
      <c r="BD1471">
        <v>6</v>
      </c>
      <c r="BE1471">
        <v>392</v>
      </c>
      <c r="BF1471">
        <v>392</v>
      </c>
      <c r="BG1471">
        <v>452</v>
      </c>
      <c r="BJ1471">
        <v>1</v>
      </c>
      <c r="BL1471" t="s">
        <v>3085</v>
      </c>
      <c r="BM1471" s="4">
        <v>43282.29791666667</v>
      </c>
      <c r="BN1471" s="4">
        <v>43283.325520833336</v>
      </c>
      <c r="BO1471" s="4">
        <v>43283.325520833336</v>
      </c>
      <c r="BP1471" t="s">
        <v>92</v>
      </c>
      <c r="BQ1471" t="s">
        <v>93</v>
      </c>
      <c r="BR1471" t="s">
        <v>94</v>
      </c>
    </row>
    <row r="1472" spans="1:70" x14ac:dyDescent="0.3">
      <c r="A1472" t="str">
        <f>"200858B0100"</f>
        <v>200858B0100</v>
      </c>
      <c r="B1472" t="s">
        <v>3086</v>
      </c>
      <c r="C1472">
        <v>20</v>
      </c>
      <c r="D1472" t="s">
        <v>88</v>
      </c>
      <c r="E1472">
        <v>131</v>
      </c>
      <c r="F1472" t="s">
        <v>3040</v>
      </c>
      <c r="G1472">
        <v>858</v>
      </c>
      <c r="H1472">
        <v>1</v>
      </c>
      <c r="I1472" t="s">
        <v>90</v>
      </c>
      <c r="J1472">
        <v>0</v>
      </c>
      <c r="K1472">
        <v>2</v>
      </c>
      <c r="L1472">
        <v>5</v>
      </c>
      <c r="M1472">
        <v>99</v>
      </c>
      <c r="N1472">
        <v>421</v>
      </c>
      <c r="O1472">
        <v>0</v>
      </c>
      <c r="P1472">
        <v>421</v>
      </c>
      <c r="Q1472">
        <v>0</v>
      </c>
      <c r="R1472">
        <v>143</v>
      </c>
      <c r="S1472">
        <v>40</v>
      </c>
      <c r="T1472">
        <v>3</v>
      </c>
      <c r="U1472">
        <v>1</v>
      </c>
      <c r="V1472">
        <v>1</v>
      </c>
      <c r="W1472">
        <v>3</v>
      </c>
      <c r="X1472">
        <v>0</v>
      </c>
      <c r="Y1472">
        <v>216</v>
      </c>
      <c r="Z1472">
        <v>1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0</v>
      </c>
      <c r="AK1472">
        <v>0</v>
      </c>
      <c r="AL1472">
        <v>0</v>
      </c>
      <c r="AM1472">
        <v>0</v>
      </c>
      <c r="AN1472">
        <v>1</v>
      </c>
      <c r="AU1472">
        <v>1</v>
      </c>
      <c r="BC1472" t="s">
        <v>105</v>
      </c>
      <c r="BD1472">
        <v>11</v>
      </c>
      <c r="BE1472">
        <v>421</v>
      </c>
      <c r="BF1472">
        <v>421</v>
      </c>
      <c r="BG1472">
        <v>498</v>
      </c>
      <c r="BI1472" t="s">
        <v>106</v>
      </c>
      <c r="BJ1472">
        <v>1</v>
      </c>
      <c r="BL1472" t="s">
        <v>3087</v>
      </c>
      <c r="BM1472" s="4">
        <v>43282.147916666669</v>
      </c>
      <c r="BN1472" s="4">
        <v>43283.163321759261</v>
      </c>
      <c r="BO1472" s="4">
        <v>43283.163321759261</v>
      </c>
      <c r="BP1472" t="s">
        <v>92</v>
      </c>
      <c r="BQ1472" t="s">
        <v>93</v>
      </c>
      <c r="BR1472" t="s">
        <v>94</v>
      </c>
    </row>
    <row r="1473" spans="1:70" x14ac:dyDescent="0.3">
      <c r="A1473" t="str">
        <f>"200858C0100"</f>
        <v>200858C0100</v>
      </c>
      <c r="B1473" t="s">
        <v>3088</v>
      </c>
      <c r="C1473">
        <v>20</v>
      </c>
      <c r="D1473" t="s">
        <v>88</v>
      </c>
      <c r="E1473">
        <v>131</v>
      </c>
      <c r="F1473" t="s">
        <v>3040</v>
      </c>
      <c r="G1473">
        <v>858</v>
      </c>
      <c r="H1473">
        <v>1</v>
      </c>
      <c r="I1473" t="s">
        <v>98</v>
      </c>
      <c r="J1473">
        <v>0</v>
      </c>
      <c r="K1473">
        <v>2</v>
      </c>
      <c r="L1473">
        <v>5</v>
      </c>
      <c r="M1473">
        <v>90</v>
      </c>
      <c r="N1473">
        <v>429</v>
      </c>
      <c r="O1473">
        <v>0</v>
      </c>
      <c r="P1473">
        <v>429</v>
      </c>
      <c r="Q1473">
        <v>1</v>
      </c>
      <c r="R1473">
        <v>186</v>
      </c>
      <c r="S1473">
        <v>44</v>
      </c>
      <c r="T1473">
        <v>3</v>
      </c>
      <c r="U1473">
        <v>1</v>
      </c>
      <c r="V1473">
        <v>1</v>
      </c>
      <c r="W1473">
        <v>1</v>
      </c>
      <c r="X1473">
        <v>2</v>
      </c>
      <c r="Y1473">
        <v>174</v>
      </c>
      <c r="Z1473">
        <v>1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K1473">
        <v>0</v>
      </c>
      <c r="AL1473">
        <v>1</v>
      </c>
      <c r="AM1473">
        <v>0</v>
      </c>
      <c r="AN1473">
        <v>0</v>
      </c>
      <c r="AU1473">
        <v>0</v>
      </c>
      <c r="BC1473">
        <v>0</v>
      </c>
      <c r="BD1473">
        <v>14</v>
      </c>
      <c r="BE1473">
        <v>429</v>
      </c>
      <c r="BF1473">
        <v>429</v>
      </c>
      <c r="BG1473">
        <v>497</v>
      </c>
      <c r="BJ1473">
        <v>1</v>
      </c>
      <c r="BL1473" t="s">
        <v>3089</v>
      </c>
      <c r="BM1473" s="4">
        <v>43283.147222222222</v>
      </c>
      <c r="BN1473" s="4">
        <v>43283.156504629631</v>
      </c>
      <c r="BO1473" s="4">
        <v>43283.156504629631</v>
      </c>
      <c r="BP1473" t="s">
        <v>92</v>
      </c>
      <c r="BQ1473" t="s">
        <v>93</v>
      </c>
      <c r="BR1473" t="s">
        <v>94</v>
      </c>
    </row>
    <row r="1474" spans="1:70" x14ac:dyDescent="0.3">
      <c r="A1474" t="str">
        <f>"200858E0100"</f>
        <v>200858E0100</v>
      </c>
      <c r="B1474" s="2" t="s">
        <v>3090</v>
      </c>
      <c r="C1474">
        <v>20</v>
      </c>
      <c r="D1474" t="s">
        <v>88</v>
      </c>
      <c r="E1474">
        <v>131</v>
      </c>
      <c r="F1474" t="s">
        <v>3040</v>
      </c>
      <c r="G1474">
        <v>858</v>
      </c>
      <c r="H1474">
        <v>1</v>
      </c>
      <c r="I1474" t="s">
        <v>156</v>
      </c>
      <c r="J1474">
        <v>0</v>
      </c>
      <c r="K1474">
        <v>2</v>
      </c>
      <c r="L1474">
        <v>5</v>
      </c>
      <c r="M1474">
        <v>83</v>
      </c>
      <c r="N1474">
        <v>0</v>
      </c>
      <c r="O1474">
        <v>0</v>
      </c>
      <c r="P1474">
        <v>330</v>
      </c>
      <c r="Q1474">
        <v>0</v>
      </c>
      <c r="R1474">
        <v>90</v>
      </c>
      <c r="S1474">
        <v>87</v>
      </c>
      <c r="T1474">
        <v>1</v>
      </c>
      <c r="U1474">
        <v>4</v>
      </c>
      <c r="V1474">
        <v>0</v>
      </c>
      <c r="W1474">
        <v>0</v>
      </c>
      <c r="X1474">
        <v>1</v>
      </c>
      <c r="Y1474">
        <v>146</v>
      </c>
      <c r="Z1474">
        <v>1</v>
      </c>
      <c r="AA1474">
        <v>0</v>
      </c>
      <c r="AB1474">
        <v>0</v>
      </c>
      <c r="AC1474" t="s">
        <v>105</v>
      </c>
      <c r="AD1474">
        <v>1</v>
      </c>
      <c r="AE1474" t="s">
        <v>105</v>
      </c>
      <c r="AF1474" t="s">
        <v>105</v>
      </c>
      <c r="AK1474" t="s">
        <v>105</v>
      </c>
      <c r="AL1474" t="s">
        <v>105</v>
      </c>
      <c r="AM1474" t="s">
        <v>105</v>
      </c>
      <c r="AN1474" t="s">
        <v>105</v>
      </c>
      <c r="AU1474" t="s">
        <v>105</v>
      </c>
      <c r="BC1474" t="s">
        <v>105</v>
      </c>
      <c r="BD1474" t="s">
        <v>105</v>
      </c>
      <c r="BE1474" t="s">
        <v>105</v>
      </c>
      <c r="BF1474">
        <v>331</v>
      </c>
      <c r="BG1474">
        <v>400</v>
      </c>
      <c r="BI1474" t="s">
        <v>106</v>
      </c>
      <c r="BJ1474">
        <v>1</v>
      </c>
      <c r="BL1474" t="s">
        <v>3091</v>
      </c>
      <c r="BM1474" s="4">
        <v>43282.097916666666</v>
      </c>
      <c r="BN1474" s="4">
        <v>43283.103715277779</v>
      </c>
      <c r="BO1474" s="4">
        <v>43283.103715277779</v>
      </c>
      <c r="BP1474" t="s">
        <v>92</v>
      </c>
      <c r="BQ1474" t="s">
        <v>93</v>
      </c>
      <c r="BR1474" t="s">
        <v>94</v>
      </c>
    </row>
    <row r="1475" spans="1:70" x14ac:dyDescent="0.3">
      <c r="A1475" t="str">
        <f>"200858E0101"</f>
        <v>200858E0101</v>
      </c>
      <c r="B1475" s="2" t="s">
        <v>3092</v>
      </c>
      <c r="C1475">
        <v>20</v>
      </c>
      <c r="D1475" t="s">
        <v>88</v>
      </c>
      <c r="E1475">
        <v>131</v>
      </c>
      <c r="F1475" t="s">
        <v>3040</v>
      </c>
      <c r="G1475">
        <v>858</v>
      </c>
      <c r="H1475">
        <v>1</v>
      </c>
      <c r="I1475" t="s">
        <v>156</v>
      </c>
      <c r="J1475">
        <v>1</v>
      </c>
      <c r="K1475">
        <v>2</v>
      </c>
      <c r="L1475">
        <v>5</v>
      </c>
      <c r="M1475">
        <v>106</v>
      </c>
      <c r="N1475">
        <v>316</v>
      </c>
      <c r="O1475">
        <v>1</v>
      </c>
      <c r="P1475">
        <v>316</v>
      </c>
      <c r="Q1475">
        <v>1</v>
      </c>
      <c r="R1475">
        <v>76</v>
      </c>
      <c r="S1475">
        <v>110</v>
      </c>
      <c r="T1475" t="s">
        <v>127</v>
      </c>
      <c r="U1475">
        <v>3</v>
      </c>
      <c r="V1475">
        <v>3</v>
      </c>
      <c r="W1475" t="s">
        <v>105</v>
      </c>
      <c r="X1475" t="s">
        <v>105</v>
      </c>
      <c r="Y1475">
        <v>116</v>
      </c>
      <c r="Z1475" t="s">
        <v>105</v>
      </c>
      <c r="AA1475" t="s">
        <v>105</v>
      </c>
      <c r="AB1475">
        <v>0</v>
      </c>
      <c r="AC1475" t="s">
        <v>105</v>
      </c>
      <c r="AD1475" t="s">
        <v>105</v>
      </c>
      <c r="AE1475" t="s">
        <v>105</v>
      </c>
      <c r="AF1475" t="s">
        <v>105</v>
      </c>
      <c r="AK1475" t="s">
        <v>105</v>
      </c>
      <c r="AL1475">
        <v>1</v>
      </c>
      <c r="AM1475" t="s">
        <v>105</v>
      </c>
      <c r="AN1475" t="s">
        <v>105</v>
      </c>
      <c r="AU1475" t="s">
        <v>105</v>
      </c>
      <c r="BC1475" t="s">
        <v>105</v>
      </c>
      <c r="BD1475">
        <v>6</v>
      </c>
      <c r="BE1475" t="s">
        <v>105</v>
      </c>
      <c r="BF1475">
        <v>316</v>
      </c>
      <c r="BG1475">
        <v>400</v>
      </c>
      <c r="BI1475" t="s">
        <v>106</v>
      </c>
      <c r="BJ1475">
        <v>1</v>
      </c>
      <c r="BL1475" t="s">
        <v>3093</v>
      </c>
      <c r="BM1475" s="4">
        <v>43282.100694444445</v>
      </c>
      <c r="BN1475" s="4">
        <v>43283.109409722223</v>
      </c>
      <c r="BO1475" s="4">
        <v>43283.109409722223</v>
      </c>
      <c r="BP1475" t="s">
        <v>92</v>
      </c>
      <c r="BQ1475" t="s">
        <v>93</v>
      </c>
      <c r="BR1475" t="s">
        <v>94</v>
      </c>
    </row>
    <row r="1476" spans="1:70" x14ac:dyDescent="0.3">
      <c r="A1476" t="str">
        <f>"200858E0200"</f>
        <v>200858E0200</v>
      </c>
      <c r="B1476" s="2" t="s">
        <v>3094</v>
      </c>
      <c r="C1476">
        <v>20</v>
      </c>
      <c r="D1476" t="s">
        <v>88</v>
      </c>
      <c r="E1476">
        <v>131</v>
      </c>
      <c r="F1476" t="s">
        <v>3040</v>
      </c>
      <c r="G1476">
        <v>858</v>
      </c>
      <c r="H1476">
        <v>2</v>
      </c>
      <c r="I1476" t="s">
        <v>156</v>
      </c>
      <c r="J1476">
        <v>0</v>
      </c>
      <c r="K1476">
        <v>2</v>
      </c>
      <c r="L1476">
        <v>5</v>
      </c>
      <c r="M1476">
        <v>86</v>
      </c>
      <c r="N1476">
        <v>157</v>
      </c>
      <c r="O1476">
        <v>0</v>
      </c>
      <c r="P1476">
        <v>157</v>
      </c>
      <c r="Q1476">
        <v>1</v>
      </c>
      <c r="R1476">
        <v>1</v>
      </c>
      <c r="S1476">
        <v>11</v>
      </c>
      <c r="T1476">
        <v>17</v>
      </c>
      <c r="U1476">
        <v>3</v>
      </c>
      <c r="V1476">
        <v>0</v>
      </c>
      <c r="W1476">
        <v>0</v>
      </c>
      <c r="X1476">
        <v>0</v>
      </c>
      <c r="Y1476">
        <v>113</v>
      </c>
      <c r="Z1476">
        <v>1</v>
      </c>
      <c r="AA1476">
        <v>0</v>
      </c>
      <c r="AB1476">
        <v>0</v>
      </c>
      <c r="AC1476">
        <v>2</v>
      </c>
      <c r="AD1476">
        <v>2</v>
      </c>
      <c r="AE1476">
        <v>0</v>
      </c>
      <c r="AF1476">
        <v>0</v>
      </c>
      <c r="AK1476">
        <v>0</v>
      </c>
      <c r="AL1476">
        <v>0</v>
      </c>
      <c r="AM1476">
        <v>0</v>
      </c>
      <c r="AN1476">
        <v>0</v>
      </c>
      <c r="AU1476">
        <v>0</v>
      </c>
      <c r="BC1476">
        <v>0</v>
      </c>
      <c r="BD1476">
        <v>6</v>
      </c>
      <c r="BE1476">
        <v>157</v>
      </c>
      <c r="BF1476">
        <v>157</v>
      </c>
      <c r="BG1476">
        <v>221</v>
      </c>
      <c r="BJ1476">
        <v>1</v>
      </c>
      <c r="BL1476" t="s">
        <v>3095</v>
      </c>
      <c r="BM1476" s="4">
        <v>43282.103472222225</v>
      </c>
      <c r="BN1476" s="4">
        <v>43283.107037037036</v>
      </c>
      <c r="BO1476" s="4">
        <v>43283.107037037036</v>
      </c>
      <c r="BP1476" t="s">
        <v>92</v>
      </c>
      <c r="BQ1476" t="s">
        <v>93</v>
      </c>
      <c r="BR1476" t="s">
        <v>94</v>
      </c>
    </row>
    <row r="1477" spans="1:70" x14ac:dyDescent="0.3">
      <c r="A1477" t="str">
        <f>"200859B0100"</f>
        <v>200859B0100</v>
      </c>
      <c r="B1477" t="s">
        <v>3096</v>
      </c>
      <c r="C1477">
        <v>20</v>
      </c>
      <c r="D1477" t="s">
        <v>88</v>
      </c>
      <c r="E1477">
        <v>131</v>
      </c>
      <c r="F1477" t="s">
        <v>3040</v>
      </c>
      <c r="G1477">
        <v>859</v>
      </c>
      <c r="H1477">
        <v>1</v>
      </c>
      <c r="I1477" t="s">
        <v>90</v>
      </c>
      <c r="J1477">
        <v>0</v>
      </c>
      <c r="K1477">
        <v>2</v>
      </c>
      <c r="L1477">
        <v>5</v>
      </c>
      <c r="M1477">
        <v>99</v>
      </c>
      <c r="N1477">
        <v>521</v>
      </c>
      <c r="O1477">
        <v>0</v>
      </c>
      <c r="P1477">
        <v>0</v>
      </c>
      <c r="Q1477" t="s">
        <v>105</v>
      </c>
      <c r="R1477">
        <v>94</v>
      </c>
      <c r="S1477">
        <v>56</v>
      </c>
      <c r="T1477">
        <v>24</v>
      </c>
      <c r="U1477">
        <v>3</v>
      </c>
      <c r="V1477">
        <v>3</v>
      </c>
      <c r="W1477" t="s">
        <v>105</v>
      </c>
      <c r="X1477">
        <v>3</v>
      </c>
      <c r="Y1477">
        <v>214</v>
      </c>
      <c r="Z1477">
        <v>3</v>
      </c>
      <c r="AA1477" t="s">
        <v>105</v>
      </c>
      <c r="AB1477" t="s">
        <v>105</v>
      </c>
      <c r="AC1477" t="s">
        <v>105</v>
      </c>
      <c r="AD1477" t="s">
        <v>105</v>
      </c>
      <c r="AE1477" t="s">
        <v>105</v>
      </c>
      <c r="AF1477" t="s">
        <v>105</v>
      </c>
      <c r="AK1477">
        <v>3</v>
      </c>
      <c r="AL1477" t="s">
        <v>105</v>
      </c>
      <c r="AM1477" t="s">
        <v>105</v>
      </c>
      <c r="AN1477">
        <v>2</v>
      </c>
      <c r="AU1477" t="s">
        <v>105</v>
      </c>
      <c r="BC1477" t="s">
        <v>105</v>
      </c>
      <c r="BD1477" t="s">
        <v>105</v>
      </c>
      <c r="BE1477" t="s">
        <v>105</v>
      </c>
      <c r="BF1477">
        <v>405</v>
      </c>
      <c r="BG1477">
        <v>499</v>
      </c>
      <c r="BI1477" t="s">
        <v>106</v>
      </c>
      <c r="BJ1477">
        <v>1</v>
      </c>
      <c r="BL1477" t="s">
        <v>3097</v>
      </c>
      <c r="BM1477" s="4">
        <v>43283.243750000001</v>
      </c>
      <c r="BN1477" s="4">
        <v>43283.272638888891</v>
      </c>
      <c r="BO1477" s="4">
        <v>43283.272638888891</v>
      </c>
      <c r="BP1477" t="s">
        <v>92</v>
      </c>
      <c r="BQ1477" t="s">
        <v>93</v>
      </c>
      <c r="BR1477" t="s">
        <v>94</v>
      </c>
    </row>
    <row r="1478" spans="1:70" x14ac:dyDescent="0.3">
      <c r="A1478" t="str">
        <f>"200859C0100"</f>
        <v>200859C0100</v>
      </c>
      <c r="B1478" t="s">
        <v>3098</v>
      </c>
      <c r="C1478">
        <v>20</v>
      </c>
      <c r="D1478" t="s">
        <v>88</v>
      </c>
      <c r="E1478">
        <v>131</v>
      </c>
      <c r="F1478" t="s">
        <v>3040</v>
      </c>
      <c r="G1478">
        <v>859</v>
      </c>
      <c r="H1478">
        <v>1</v>
      </c>
      <c r="I1478" t="s">
        <v>98</v>
      </c>
      <c r="J1478">
        <v>0</v>
      </c>
      <c r="K1478">
        <v>2</v>
      </c>
      <c r="L1478">
        <v>5</v>
      </c>
      <c r="M1478">
        <v>107</v>
      </c>
      <c r="N1478" t="s">
        <v>105</v>
      </c>
      <c r="O1478" t="s">
        <v>105</v>
      </c>
      <c r="P1478" t="s">
        <v>105</v>
      </c>
      <c r="Q1478">
        <v>9</v>
      </c>
      <c r="R1478">
        <v>147</v>
      </c>
      <c r="S1478">
        <v>57</v>
      </c>
      <c r="T1478">
        <v>22</v>
      </c>
      <c r="U1478">
        <v>4</v>
      </c>
      <c r="V1478">
        <v>2</v>
      </c>
      <c r="W1478">
        <v>1</v>
      </c>
      <c r="X1478" t="s">
        <v>105</v>
      </c>
      <c r="Y1478">
        <v>157</v>
      </c>
      <c r="Z1478">
        <v>2</v>
      </c>
      <c r="AA1478" t="s">
        <v>105</v>
      </c>
      <c r="AB1478">
        <v>0</v>
      </c>
      <c r="AC1478" t="s">
        <v>105</v>
      </c>
      <c r="AD1478" t="s">
        <v>105</v>
      </c>
      <c r="AE1478" t="s">
        <v>105</v>
      </c>
      <c r="AF1478" t="s">
        <v>105</v>
      </c>
      <c r="AK1478">
        <v>2</v>
      </c>
      <c r="AL1478">
        <v>1</v>
      </c>
      <c r="AM1478" t="s">
        <v>105</v>
      </c>
      <c r="AN1478" t="s">
        <v>105</v>
      </c>
      <c r="AU1478" t="s">
        <v>105</v>
      </c>
      <c r="BC1478" t="s">
        <v>105</v>
      </c>
      <c r="BD1478">
        <v>3</v>
      </c>
      <c r="BE1478" t="s">
        <v>105</v>
      </c>
      <c r="BF1478">
        <v>407</v>
      </c>
      <c r="BG1478">
        <v>499</v>
      </c>
      <c r="BI1478" t="s">
        <v>106</v>
      </c>
      <c r="BJ1478">
        <v>1</v>
      </c>
      <c r="BL1478" t="s">
        <v>3099</v>
      </c>
      <c r="BM1478" s="4">
        <v>43283.245833333334</v>
      </c>
      <c r="BN1478" s="4">
        <v>43283.269618055558</v>
      </c>
      <c r="BO1478" s="4">
        <v>43283.269618055558</v>
      </c>
      <c r="BP1478" t="s">
        <v>92</v>
      </c>
      <c r="BQ1478" t="s">
        <v>93</v>
      </c>
      <c r="BR1478" t="s">
        <v>94</v>
      </c>
    </row>
    <row r="1479" spans="1:70" x14ac:dyDescent="0.3">
      <c r="A1479" t="str">
        <f>"200860B0100"</f>
        <v>200860B0100</v>
      </c>
      <c r="B1479" t="s">
        <v>3100</v>
      </c>
      <c r="C1479">
        <v>20</v>
      </c>
      <c r="D1479" t="s">
        <v>88</v>
      </c>
      <c r="E1479">
        <v>131</v>
      </c>
      <c r="F1479" t="s">
        <v>3040</v>
      </c>
      <c r="G1479">
        <v>860</v>
      </c>
      <c r="H1479">
        <v>1</v>
      </c>
      <c r="I1479" t="s">
        <v>90</v>
      </c>
      <c r="J1479">
        <v>0</v>
      </c>
      <c r="K1479">
        <v>2</v>
      </c>
      <c r="L1479">
        <v>5</v>
      </c>
      <c r="M1479">
        <v>108</v>
      </c>
      <c r="N1479">
        <v>569</v>
      </c>
      <c r="O1479">
        <v>0</v>
      </c>
      <c r="P1479">
        <v>568</v>
      </c>
      <c r="Q1479">
        <v>4</v>
      </c>
      <c r="R1479">
        <v>82</v>
      </c>
      <c r="S1479">
        <v>166</v>
      </c>
      <c r="T1479">
        <v>8</v>
      </c>
      <c r="U1479">
        <v>8</v>
      </c>
      <c r="V1479">
        <v>4</v>
      </c>
      <c r="W1479">
        <v>2</v>
      </c>
      <c r="X1479">
        <v>0</v>
      </c>
      <c r="Y1479">
        <v>272</v>
      </c>
      <c r="Z1479">
        <v>3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K1479">
        <v>0</v>
      </c>
      <c r="AL1479">
        <v>0</v>
      </c>
      <c r="AM1479">
        <v>0</v>
      </c>
      <c r="AN1479">
        <v>3</v>
      </c>
      <c r="AU1479">
        <v>0</v>
      </c>
      <c r="BC1479">
        <v>1</v>
      </c>
      <c r="BD1479">
        <v>15</v>
      </c>
      <c r="BE1479">
        <v>568</v>
      </c>
      <c r="BF1479">
        <v>568</v>
      </c>
      <c r="BG1479">
        <v>654</v>
      </c>
      <c r="BJ1479">
        <v>1</v>
      </c>
      <c r="BL1479" t="s">
        <v>3101</v>
      </c>
      <c r="BM1479" s="4">
        <v>43283.118055555555</v>
      </c>
      <c r="BN1479" s="4">
        <v>43283.123425925929</v>
      </c>
      <c r="BO1479" s="4">
        <v>43283.123425925929</v>
      </c>
      <c r="BP1479" t="s">
        <v>92</v>
      </c>
      <c r="BQ1479" t="s">
        <v>93</v>
      </c>
      <c r="BR1479" t="s">
        <v>94</v>
      </c>
    </row>
    <row r="1480" spans="1:70" x14ac:dyDescent="0.3">
      <c r="A1480" t="str">
        <f>"200861B0100"</f>
        <v>200861B0100</v>
      </c>
      <c r="B1480" t="s">
        <v>3102</v>
      </c>
      <c r="C1480">
        <v>20</v>
      </c>
      <c r="D1480" t="s">
        <v>88</v>
      </c>
      <c r="E1480">
        <v>131</v>
      </c>
      <c r="F1480" t="s">
        <v>3040</v>
      </c>
      <c r="G1480">
        <v>861</v>
      </c>
      <c r="H1480">
        <v>1</v>
      </c>
      <c r="I1480" t="s">
        <v>90</v>
      </c>
      <c r="J1480">
        <v>0</v>
      </c>
      <c r="K1480">
        <v>2</v>
      </c>
      <c r="L1480">
        <v>5</v>
      </c>
      <c r="M1480" t="s">
        <v>105</v>
      </c>
      <c r="N1480" t="s">
        <v>105</v>
      </c>
      <c r="O1480" t="s">
        <v>105</v>
      </c>
      <c r="P1480" t="s">
        <v>105</v>
      </c>
      <c r="Q1480">
        <v>3</v>
      </c>
      <c r="R1480">
        <v>159</v>
      </c>
      <c r="S1480">
        <v>82</v>
      </c>
      <c r="T1480">
        <v>8</v>
      </c>
      <c r="U1480">
        <v>1</v>
      </c>
      <c r="V1480">
        <v>8</v>
      </c>
      <c r="W1480">
        <v>4</v>
      </c>
      <c r="X1480">
        <v>1</v>
      </c>
      <c r="Y1480">
        <v>231</v>
      </c>
      <c r="Z1480">
        <v>1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K1480">
        <v>1</v>
      </c>
      <c r="AL1480">
        <v>0</v>
      </c>
      <c r="AM1480">
        <v>0</v>
      </c>
      <c r="AN1480">
        <v>2</v>
      </c>
      <c r="AU1480">
        <v>0</v>
      </c>
      <c r="BC1480" t="s">
        <v>105</v>
      </c>
      <c r="BD1480">
        <v>22</v>
      </c>
      <c r="BE1480">
        <v>523</v>
      </c>
      <c r="BF1480">
        <v>523</v>
      </c>
      <c r="BG1480">
        <v>614</v>
      </c>
      <c r="BI1480" t="s">
        <v>106</v>
      </c>
      <c r="BJ1480">
        <v>1</v>
      </c>
      <c r="BL1480" t="s">
        <v>3103</v>
      </c>
      <c r="BM1480" s="4">
        <v>43282.106249999997</v>
      </c>
      <c r="BN1480" s="4">
        <v>43283.112754629627</v>
      </c>
      <c r="BO1480" s="4">
        <v>43283.112754629627</v>
      </c>
      <c r="BP1480" t="s">
        <v>92</v>
      </c>
      <c r="BQ1480" t="s">
        <v>93</v>
      </c>
      <c r="BR1480" t="s">
        <v>94</v>
      </c>
    </row>
    <row r="1481" spans="1:70" x14ac:dyDescent="0.3">
      <c r="A1481" t="str">
        <f>"200861C0100"</f>
        <v>200861C0100</v>
      </c>
      <c r="B1481" t="s">
        <v>3104</v>
      </c>
      <c r="C1481">
        <v>20</v>
      </c>
      <c r="D1481" t="s">
        <v>88</v>
      </c>
      <c r="E1481">
        <v>131</v>
      </c>
      <c r="F1481" t="s">
        <v>3040</v>
      </c>
      <c r="G1481">
        <v>861</v>
      </c>
      <c r="H1481">
        <v>1</v>
      </c>
      <c r="I1481" t="s">
        <v>98</v>
      </c>
      <c r="J1481">
        <v>0</v>
      </c>
      <c r="K1481">
        <v>2</v>
      </c>
      <c r="L1481">
        <v>5</v>
      </c>
      <c r="M1481">
        <v>99</v>
      </c>
      <c r="N1481">
        <v>536</v>
      </c>
      <c r="O1481">
        <v>0</v>
      </c>
      <c r="P1481" t="s">
        <v>105</v>
      </c>
      <c r="Q1481">
        <v>2</v>
      </c>
      <c r="R1481">
        <v>158</v>
      </c>
      <c r="S1481">
        <v>66</v>
      </c>
      <c r="T1481">
        <v>5</v>
      </c>
      <c r="U1481">
        <v>6</v>
      </c>
      <c r="V1481">
        <v>4</v>
      </c>
      <c r="W1481">
        <v>1</v>
      </c>
      <c r="X1481">
        <v>1</v>
      </c>
      <c r="Y1481">
        <v>286</v>
      </c>
      <c r="Z1481">
        <v>1</v>
      </c>
      <c r="AA1481">
        <v>1</v>
      </c>
      <c r="AB1481">
        <v>0</v>
      </c>
      <c r="AC1481">
        <v>0</v>
      </c>
      <c r="AD1481">
        <v>0</v>
      </c>
      <c r="AE1481">
        <v>0</v>
      </c>
      <c r="AF1481">
        <v>0</v>
      </c>
      <c r="AK1481">
        <v>0</v>
      </c>
      <c r="AL1481">
        <v>1</v>
      </c>
      <c r="AM1481">
        <v>0</v>
      </c>
      <c r="AN1481">
        <v>1</v>
      </c>
      <c r="AU1481">
        <v>0</v>
      </c>
      <c r="BC1481">
        <v>0</v>
      </c>
      <c r="BD1481">
        <v>0</v>
      </c>
      <c r="BE1481">
        <v>3</v>
      </c>
      <c r="BF1481">
        <v>533</v>
      </c>
      <c r="BG1481">
        <v>613</v>
      </c>
      <c r="BJ1481">
        <v>1</v>
      </c>
      <c r="BL1481" t="s">
        <v>3105</v>
      </c>
      <c r="BM1481" s="4">
        <v>43282.107638888891</v>
      </c>
      <c r="BN1481" s="4">
        <v>43283.119375000002</v>
      </c>
      <c r="BO1481" s="4">
        <v>43283.119375000002</v>
      </c>
      <c r="BP1481" t="s">
        <v>92</v>
      </c>
      <c r="BQ1481" t="s">
        <v>93</v>
      </c>
      <c r="BR1481" t="s">
        <v>94</v>
      </c>
    </row>
    <row r="1482" spans="1:70" x14ac:dyDescent="0.3">
      <c r="A1482" t="str">
        <f>"200861E0100"</f>
        <v>200861E0100</v>
      </c>
      <c r="B1482" s="2" t="s">
        <v>3106</v>
      </c>
      <c r="C1482">
        <v>20</v>
      </c>
      <c r="D1482" t="s">
        <v>88</v>
      </c>
      <c r="E1482">
        <v>131</v>
      </c>
      <c r="F1482" t="s">
        <v>3040</v>
      </c>
      <c r="G1482">
        <v>861</v>
      </c>
      <c r="H1482">
        <v>1</v>
      </c>
      <c r="I1482" t="s">
        <v>156</v>
      </c>
      <c r="J1482">
        <v>0</v>
      </c>
      <c r="K1482">
        <v>2</v>
      </c>
      <c r="L1482">
        <v>5</v>
      </c>
      <c r="M1482">
        <v>105</v>
      </c>
      <c r="N1482">
        <v>632</v>
      </c>
      <c r="O1482">
        <v>0</v>
      </c>
      <c r="P1482">
        <v>632</v>
      </c>
      <c r="Q1482">
        <v>2</v>
      </c>
      <c r="R1482">
        <v>148</v>
      </c>
      <c r="S1482">
        <v>66</v>
      </c>
      <c r="T1482">
        <v>10</v>
      </c>
      <c r="U1482">
        <v>4</v>
      </c>
      <c r="V1482">
        <v>4</v>
      </c>
      <c r="W1482">
        <v>1</v>
      </c>
      <c r="X1482">
        <v>2</v>
      </c>
      <c r="Y1482">
        <v>374</v>
      </c>
      <c r="Z1482">
        <v>5</v>
      </c>
      <c r="AA1482">
        <v>1</v>
      </c>
      <c r="AB1482">
        <v>0</v>
      </c>
      <c r="AC1482">
        <v>1</v>
      </c>
      <c r="AD1482">
        <v>1</v>
      </c>
      <c r="AE1482">
        <v>0</v>
      </c>
      <c r="AF1482">
        <v>0</v>
      </c>
      <c r="AK1482">
        <v>2</v>
      </c>
      <c r="AL1482">
        <v>0</v>
      </c>
      <c r="AM1482">
        <v>0</v>
      </c>
      <c r="AN1482">
        <v>3</v>
      </c>
      <c r="AU1482">
        <v>0</v>
      </c>
      <c r="BC1482">
        <v>0</v>
      </c>
      <c r="BD1482">
        <v>8</v>
      </c>
      <c r="BE1482">
        <v>632</v>
      </c>
      <c r="BF1482">
        <v>632</v>
      </c>
      <c r="BG1482">
        <v>715</v>
      </c>
      <c r="BJ1482">
        <v>1</v>
      </c>
      <c r="BL1482" t="s">
        <v>3107</v>
      </c>
      <c r="BM1482" s="4">
        <v>43282.24722222222</v>
      </c>
      <c r="BN1482" s="4">
        <v>43283.270972222221</v>
      </c>
      <c r="BO1482" s="4">
        <v>43283.270972222221</v>
      </c>
      <c r="BP1482" t="s">
        <v>92</v>
      </c>
      <c r="BQ1482" t="s">
        <v>93</v>
      </c>
      <c r="BR1482" t="s">
        <v>94</v>
      </c>
    </row>
    <row r="1483" spans="1:70" x14ac:dyDescent="0.3">
      <c r="A1483" t="str">
        <f>"200861E0200"</f>
        <v>200861E0200</v>
      </c>
      <c r="B1483" s="2" t="s">
        <v>3108</v>
      </c>
      <c r="C1483">
        <v>20</v>
      </c>
      <c r="D1483" t="s">
        <v>88</v>
      </c>
      <c r="E1483">
        <v>131</v>
      </c>
      <c r="F1483" t="s">
        <v>3040</v>
      </c>
      <c r="G1483">
        <v>861</v>
      </c>
      <c r="H1483">
        <v>2</v>
      </c>
      <c r="I1483" t="s">
        <v>156</v>
      </c>
      <c r="J1483">
        <v>0</v>
      </c>
      <c r="K1483">
        <v>2</v>
      </c>
      <c r="L1483">
        <v>5</v>
      </c>
      <c r="M1483">
        <v>70</v>
      </c>
      <c r="N1483">
        <v>366</v>
      </c>
      <c r="O1483">
        <v>0</v>
      </c>
      <c r="P1483">
        <v>366</v>
      </c>
      <c r="Q1483">
        <v>3</v>
      </c>
      <c r="R1483">
        <v>88</v>
      </c>
      <c r="S1483">
        <v>61</v>
      </c>
      <c r="T1483">
        <v>0</v>
      </c>
      <c r="U1483">
        <v>2</v>
      </c>
      <c r="V1483">
        <v>0</v>
      </c>
      <c r="W1483">
        <v>0</v>
      </c>
      <c r="X1483">
        <v>3</v>
      </c>
      <c r="Y1483">
        <v>200</v>
      </c>
      <c r="Z1483">
        <v>0</v>
      </c>
      <c r="AA1483">
        <v>0</v>
      </c>
      <c r="AB1483">
        <v>0</v>
      </c>
      <c r="AC1483">
        <v>0</v>
      </c>
      <c r="AD1483">
        <v>1</v>
      </c>
      <c r="AE1483">
        <v>0</v>
      </c>
      <c r="AF1483">
        <v>0</v>
      </c>
      <c r="AK1483">
        <v>1</v>
      </c>
      <c r="AL1483">
        <v>0</v>
      </c>
      <c r="AM1483">
        <v>0</v>
      </c>
      <c r="AN1483">
        <v>0</v>
      </c>
      <c r="AU1483">
        <v>0</v>
      </c>
      <c r="BC1483">
        <v>0</v>
      </c>
      <c r="BD1483">
        <v>7</v>
      </c>
      <c r="BE1483">
        <v>366</v>
      </c>
      <c r="BF1483">
        <v>366</v>
      </c>
      <c r="BG1483">
        <v>414</v>
      </c>
      <c r="BJ1483">
        <v>1</v>
      </c>
      <c r="BL1483" t="s">
        <v>3109</v>
      </c>
      <c r="BM1483" s="4">
        <v>43283.075694444444</v>
      </c>
      <c r="BN1483" s="4">
        <v>43283.103067129632</v>
      </c>
      <c r="BO1483" s="4">
        <v>43283.103067129632</v>
      </c>
      <c r="BP1483" t="s">
        <v>92</v>
      </c>
      <c r="BQ1483" t="s">
        <v>93</v>
      </c>
      <c r="BR1483" t="s">
        <v>94</v>
      </c>
    </row>
    <row r="1484" spans="1:70" x14ac:dyDescent="0.3">
      <c r="A1484" t="str">
        <f>"200866B0100"</f>
        <v>200866B0100</v>
      </c>
      <c r="B1484" t="s">
        <v>3110</v>
      </c>
      <c r="C1484">
        <v>20</v>
      </c>
      <c r="D1484" t="s">
        <v>88</v>
      </c>
      <c r="E1484">
        <v>133</v>
      </c>
      <c r="F1484" t="s">
        <v>3111</v>
      </c>
      <c r="G1484">
        <v>866</v>
      </c>
      <c r="H1484">
        <v>1</v>
      </c>
      <c r="I1484" t="s">
        <v>90</v>
      </c>
      <c r="J1484">
        <v>0</v>
      </c>
      <c r="K1484">
        <v>2</v>
      </c>
      <c r="L1484">
        <v>5</v>
      </c>
      <c r="BG1484">
        <v>700</v>
      </c>
      <c r="BI1484" t="s">
        <v>122</v>
      </c>
      <c r="BJ1484">
        <v>0</v>
      </c>
      <c r="BL1484" t="s">
        <v>3112</v>
      </c>
      <c r="BM1484" s="4">
        <v>43283.555138888885</v>
      </c>
      <c r="BN1484" s="4">
        <v>43283.560648148145</v>
      </c>
      <c r="BO1484" s="4">
        <v>43283.560648148145</v>
      </c>
      <c r="BP1484" t="s">
        <v>92</v>
      </c>
      <c r="BQ1484" t="s">
        <v>93</v>
      </c>
      <c r="BR1484" t="s">
        <v>94</v>
      </c>
    </row>
    <row r="1485" spans="1:70" x14ac:dyDescent="0.3">
      <c r="A1485" t="str">
        <f>"200866C0100"</f>
        <v>200866C0100</v>
      </c>
      <c r="B1485" t="s">
        <v>3113</v>
      </c>
      <c r="C1485">
        <v>20</v>
      </c>
      <c r="D1485" t="s">
        <v>88</v>
      </c>
      <c r="E1485">
        <v>133</v>
      </c>
      <c r="F1485" t="s">
        <v>3111</v>
      </c>
      <c r="G1485">
        <v>866</v>
      </c>
      <c r="H1485">
        <v>1</v>
      </c>
      <c r="I1485" t="s">
        <v>98</v>
      </c>
      <c r="J1485">
        <v>0</v>
      </c>
      <c r="K1485">
        <v>2</v>
      </c>
      <c r="L1485">
        <v>5</v>
      </c>
      <c r="BG1485">
        <v>700</v>
      </c>
      <c r="BI1485" t="s">
        <v>122</v>
      </c>
      <c r="BJ1485">
        <v>0</v>
      </c>
      <c r="BL1485" t="s">
        <v>3114</v>
      </c>
      <c r="BM1485" s="4">
        <v>43283.556076388886</v>
      </c>
      <c r="BN1485" s="4">
        <v>43283.563078703701</v>
      </c>
      <c r="BO1485" s="4">
        <v>43283.563078703701</v>
      </c>
      <c r="BP1485" t="s">
        <v>92</v>
      </c>
      <c r="BQ1485" t="s">
        <v>93</v>
      </c>
      <c r="BR1485" t="s">
        <v>94</v>
      </c>
    </row>
    <row r="1486" spans="1:70" x14ac:dyDescent="0.3">
      <c r="A1486" t="str">
        <f>"200866C0200"</f>
        <v>200866C0200</v>
      </c>
      <c r="B1486" t="s">
        <v>3115</v>
      </c>
      <c r="C1486">
        <v>20</v>
      </c>
      <c r="D1486" t="s">
        <v>88</v>
      </c>
      <c r="E1486">
        <v>133</v>
      </c>
      <c r="F1486" t="s">
        <v>3111</v>
      </c>
      <c r="G1486">
        <v>866</v>
      </c>
      <c r="H1486">
        <v>2</v>
      </c>
      <c r="I1486" t="s">
        <v>98</v>
      </c>
      <c r="J1486">
        <v>0</v>
      </c>
      <c r="K1486">
        <v>2</v>
      </c>
      <c r="L1486">
        <v>5</v>
      </c>
      <c r="BG1486">
        <v>699</v>
      </c>
      <c r="BI1486" t="s">
        <v>122</v>
      </c>
      <c r="BJ1486">
        <v>0</v>
      </c>
      <c r="BL1486" s="2" t="s">
        <v>3116</v>
      </c>
      <c r="BM1486" s="4">
        <v>43283.556770833333</v>
      </c>
      <c r="BN1486" s="4">
        <v>43283.565405092595</v>
      </c>
      <c r="BO1486" s="4">
        <v>43283.565405092595</v>
      </c>
      <c r="BP1486" t="s">
        <v>92</v>
      </c>
      <c r="BQ1486" t="s">
        <v>93</v>
      </c>
      <c r="BR1486" t="s">
        <v>94</v>
      </c>
    </row>
    <row r="1487" spans="1:70" x14ac:dyDescent="0.3">
      <c r="A1487" t="str">
        <f>"200867B0100"</f>
        <v>200867B0100</v>
      </c>
      <c r="B1487" t="s">
        <v>3117</v>
      </c>
      <c r="C1487">
        <v>20</v>
      </c>
      <c r="D1487" t="s">
        <v>88</v>
      </c>
      <c r="E1487">
        <v>133</v>
      </c>
      <c r="F1487" t="s">
        <v>3111</v>
      </c>
      <c r="G1487">
        <v>867</v>
      </c>
      <c r="H1487">
        <v>1</v>
      </c>
      <c r="I1487" t="s">
        <v>90</v>
      </c>
      <c r="J1487">
        <v>0</v>
      </c>
      <c r="K1487">
        <v>2</v>
      </c>
      <c r="L1487">
        <v>5</v>
      </c>
      <c r="M1487">
        <v>124</v>
      </c>
      <c r="N1487">
        <v>553</v>
      </c>
      <c r="O1487">
        <v>1</v>
      </c>
      <c r="P1487">
        <v>553</v>
      </c>
      <c r="Q1487">
        <v>1</v>
      </c>
      <c r="R1487">
        <v>174</v>
      </c>
      <c r="S1487">
        <v>0</v>
      </c>
      <c r="T1487">
        <v>11</v>
      </c>
      <c r="U1487">
        <v>0</v>
      </c>
      <c r="V1487">
        <v>0</v>
      </c>
      <c r="W1487">
        <v>190</v>
      </c>
      <c r="X1487">
        <v>0</v>
      </c>
      <c r="Y1487">
        <v>6</v>
      </c>
      <c r="Z1487">
        <v>0</v>
      </c>
      <c r="AG1487">
        <v>0</v>
      </c>
      <c r="AH1487">
        <v>1</v>
      </c>
      <c r="AI1487">
        <v>0</v>
      </c>
      <c r="AJ1487">
        <v>0</v>
      </c>
      <c r="AK1487">
        <v>1</v>
      </c>
      <c r="AL1487">
        <v>0</v>
      </c>
      <c r="AM1487">
        <v>0</v>
      </c>
      <c r="AN1487">
        <v>0</v>
      </c>
      <c r="AR1487">
        <v>0</v>
      </c>
      <c r="AZ1487">
        <v>40</v>
      </c>
      <c r="BA1487">
        <v>16</v>
      </c>
      <c r="BC1487">
        <v>0</v>
      </c>
      <c r="BD1487">
        <v>14</v>
      </c>
      <c r="BE1487">
        <v>553</v>
      </c>
      <c r="BF1487">
        <v>454</v>
      </c>
      <c r="BG1487">
        <v>653</v>
      </c>
      <c r="BJ1487">
        <v>1</v>
      </c>
      <c r="BL1487" t="s">
        <v>3118</v>
      </c>
      <c r="BM1487" s="4">
        <v>43283.38521990741</v>
      </c>
      <c r="BN1487" s="4">
        <v>43283.38790509259</v>
      </c>
      <c r="BO1487" s="4">
        <v>43283.38790509259</v>
      </c>
      <c r="BP1487" t="s">
        <v>92</v>
      </c>
      <c r="BQ1487" t="s">
        <v>93</v>
      </c>
      <c r="BR1487" t="s">
        <v>94</v>
      </c>
    </row>
    <row r="1488" spans="1:70" x14ac:dyDescent="0.3">
      <c r="A1488" t="str">
        <f>"200867C0100"</f>
        <v>200867C0100</v>
      </c>
      <c r="B1488" t="s">
        <v>3119</v>
      </c>
      <c r="C1488">
        <v>20</v>
      </c>
      <c r="D1488" t="s">
        <v>88</v>
      </c>
      <c r="E1488">
        <v>133</v>
      </c>
      <c r="F1488" t="s">
        <v>3111</v>
      </c>
      <c r="G1488">
        <v>867</v>
      </c>
      <c r="H1488">
        <v>1</v>
      </c>
      <c r="I1488" t="s">
        <v>98</v>
      </c>
      <c r="J1488">
        <v>0</v>
      </c>
      <c r="K1488">
        <v>2</v>
      </c>
      <c r="L1488">
        <v>5</v>
      </c>
      <c r="M1488">
        <v>118</v>
      </c>
      <c r="N1488">
        <v>559</v>
      </c>
      <c r="O1488">
        <v>0</v>
      </c>
      <c r="P1488">
        <v>559</v>
      </c>
      <c r="Q1488">
        <v>80</v>
      </c>
      <c r="R1488">
        <v>151</v>
      </c>
      <c r="S1488">
        <v>0</v>
      </c>
      <c r="T1488">
        <v>4</v>
      </c>
      <c r="U1488">
        <v>2</v>
      </c>
      <c r="V1488">
        <v>0</v>
      </c>
      <c r="W1488">
        <v>249</v>
      </c>
      <c r="X1488">
        <v>0</v>
      </c>
      <c r="Y1488">
        <v>5</v>
      </c>
      <c r="Z1488">
        <v>0</v>
      </c>
      <c r="AG1488">
        <v>0</v>
      </c>
      <c r="AH1488">
        <v>0</v>
      </c>
      <c r="AI1488">
        <v>0</v>
      </c>
      <c r="AJ1488">
        <v>0</v>
      </c>
      <c r="AK1488">
        <v>0</v>
      </c>
      <c r="AL1488">
        <v>0</v>
      </c>
      <c r="AM1488">
        <v>0</v>
      </c>
      <c r="AN1488">
        <v>0</v>
      </c>
      <c r="AR1488">
        <v>0</v>
      </c>
      <c r="AZ1488">
        <v>53</v>
      </c>
      <c r="BA1488">
        <v>8</v>
      </c>
      <c r="BC1488">
        <v>0</v>
      </c>
      <c r="BD1488">
        <v>7</v>
      </c>
      <c r="BE1488">
        <v>559</v>
      </c>
      <c r="BF1488">
        <v>559</v>
      </c>
      <c r="BG1488">
        <v>653</v>
      </c>
      <c r="BJ1488">
        <v>1</v>
      </c>
      <c r="BL1488" t="s">
        <v>3120</v>
      </c>
      <c r="BM1488" s="4">
        <v>43283.391875000001</v>
      </c>
      <c r="BN1488" s="4">
        <v>43283.399965277778</v>
      </c>
      <c r="BO1488" s="4">
        <v>43283.399965277778</v>
      </c>
      <c r="BP1488" t="s">
        <v>92</v>
      </c>
      <c r="BQ1488" t="s">
        <v>93</v>
      </c>
      <c r="BR1488" t="s">
        <v>94</v>
      </c>
    </row>
    <row r="1489" spans="1:70" x14ac:dyDescent="0.3">
      <c r="A1489" t="str">
        <f>"200867C0200"</f>
        <v>200867C0200</v>
      </c>
      <c r="B1489" t="s">
        <v>3121</v>
      </c>
      <c r="C1489">
        <v>20</v>
      </c>
      <c r="D1489" t="s">
        <v>88</v>
      </c>
      <c r="E1489">
        <v>133</v>
      </c>
      <c r="F1489" t="s">
        <v>3111</v>
      </c>
      <c r="G1489">
        <v>867</v>
      </c>
      <c r="H1489">
        <v>2</v>
      </c>
      <c r="I1489" t="s">
        <v>98</v>
      </c>
      <c r="J1489">
        <v>0</v>
      </c>
      <c r="K1489">
        <v>2</v>
      </c>
      <c r="L1489">
        <v>5</v>
      </c>
      <c r="M1489">
        <v>131</v>
      </c>
      <c r="N1489">
        <v>546</v>
      </c>
      <c r="O1489">
        <v>0</v>
      </c>
      <c r="P1489">
        <v>546</v>
      </c>
      <c r="Q1489">
        <v>89</v>
      </c>
      <c r="R1489">
        <v>155</v>
      </c>
      <c r="S1489">
        <v>0</v>
      </c>
      <c r="T1489">
        <v>3</v>
      </c>
      <c r="U1489">
        <v>1</v>
      </c>
      <c r="V1489">
        <v>0</v>
      </c>
      <c r="W1489">
        <v>203</v>
      </c>
      <c r="X1489">
        <v>1</v>
      </c>
      <c r="Y1489">
        <v>9</v>
      </c>
      <c r="Z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0</v>
      </c>
      <c r="AM1489">
        <v>0</v>
      </c>
      <c r="AN1489">
        <v>0</v>
      </c>
      <c r="AR1489">
        <v>0</v>
      </c>
      <c r="AZ1489">
        <v>68</v>
      </c>
      <c r="BA1489">
        <v>2</v>
      </c>
      <c r="BC1489" t="s">
        <v>105</v>
      </c>
      <c r="BD1489">
        <v>15</v>
      </c>
      <c r="BE1489">
        <v>546</v>
      </c>
      <c r="BF1489">
        <v>546</v>
      </c>
      <c r="BG1489">
        <v>652</v>
      </c>
      <c r="BI1489" t="s">
        <v>106</v>
      </c>
      <c r="BJ1489">
        <v>1</v>
      </c>
      <c r="BL1489" t="s">
        <v>3122</v>
      </c>
      <c r="BM1489" s="4">
        <v>43283.413900462961</v>
      </c>
      <c r="BN1489" s="4">
        <v>43283.418576388889</v>
      </c>
      <c r="BO1489" s="4">
        <v>43283.418576388889</v>
      </c>
      <c r="BP1489" t="s">
        <v>92</v>
      </c>
      <c r="BQ1489" t="s">
        <v>93</v>
      </c>
      <c r="BR1489" t="s">
        <v>94</v>
      </c>
    </row>
    <row r="1490" spans="1:70" x14ac:dyDescent="0.3">
      <c r="A1490" t="str">
        <f>"200867C0300"</f>
        <v>200867C0300</v>
      </c>
      <c r="B1490" t="s">
        <v>3123</v>
      </c>
      <c r="C1490">
        <v>20</v>
      </c>
      <c r="D1490" t="s">
        <v>88</v>
      </c>
      <c r="E1490">
        <v>133</v>
      </c>
      <c r="F1490" t="s">
        <v>3111</v>
      </c>
      <c r="G1490">
        <v>867</v>
      </c>
      <c r="H1490">
        <v>3</v>
      </c>
      <c r="I1490" t="s">
        <v>98</v>
      </c>
      <c r="J1490">
        <v>0</v>
      </c>
      <c r="K1490">
        <v>2</v>
      </c>
      <c r="L1490">
        <v>5</v>
      </c>
      <c r="M1490">
        <v>98</v>
      </c>
      <c r="N1490">
        <v>574</v>
      </c>
      <c r="O1490">
        <v>4</v>
      </c>
      <c r="P1490">
        <v>574</v>
      </c>
      <c r="Q1490">
        <v>74</v>
      </c>
      <c r="R1490">
        <v>198</v>
      </c>
      <c r="S1490">
        <v>0</v>
      </c>
      <c r="T1490">
        <v>0</v>
      </c>
      <c r="U1490">
        <v>0</v>
      </c>
      <c r="V1490">
        <v>0</v>
      </c>
      <c r="W1490">
        <v>214</v>
      </c>
      <c r="X1490">
        <v>0</v>
      </c>
      <c r="Y1490">
        <v>3</v>
      </c>
      <c r="Z1490">
        <v>0</v>
      </c>
      <c r="AG1490">
        <v>1</v>
      </c>
      <c r="AH1490">
        <v>0</v>
      </c>
      <c r="AI1490">
        <v>0</v>
      </c>
      <c r="AJ1490">
        <v>0</v>
      </c>
      <c r="AK1490">
        <v>0</v>
      </c>
      <c r="AL1490">
        <v>0</v>
      </c>
      <c r="AM1490">
        <v>0</v>
      </c>
      <c r="AN1490">
        <v>0</v>
      </c>
      <c r="AR1490">
        <v>0</v>
      </c>
      <c r="AZ1490">
        <v>71</v>
      </c>
      <c r="BA1490">
        <v>13</v>
      </c>
      <c r="BC1490">
        <v>0</v>
      </c>
      <c r="BD1490">
        <v>0</v>
      </c>
      <c r="BE1490">
        <v>574</v>
      </c>
      <c r="BF1490">
        <v>574</v>
      </c>
      <c r="BG1490">
        <v>652</v>
      </c>
      <c r="BJ1490">
        <v>1</v>
      </c>
      <c r="BL1490" t="s">
        <v>3124</v>
      </c>
      <c r="BM1490" s="4">
        <v>43283.415856481479</v>
      </c>
      <c r="BN1490" s="4">
        <v>43283.422268518516</v>
      </c>
      <c r="BO1490" s="4">
        <v>43283.422268518516</v>
      </c>
      <c r="BP1490" t="s">
        <v>92</v>
      </c>
      <c r="BQ1490" t="s">
        <v>93</v>
      </c>
      <c r="BR1490" t="s">
        <v>94</v>
      </c>
    </row>
    <row r="1491" spans="1:70" x14ac:dyDescent="0.3">
      <c r="A1491" t="str">
        <f>"200868B0100"</f>
        <v>200868B0100</v>
      </c>
      <c r="B1491" t="s">
        <v>3125</v>
      </c>
      <c r="C1491">
        <v>20</v>
      </c>
      <c r="D1491" t="s">
        <v>88</v>
      </c>
      <c r="E1491">
        <v>133</v>
      </c>
      <c r="F1491" t="s">
        <v>3111</v>
      </c>
      <c r="G1491">
        <v>868</v>
      </c>
      <c r="H1491">
        <v>1</v>
      </c>
      <c r="I1491" t="s">
        <v>90</v>
      </c>
      <c r="J1491">
        <v>0</v>
      </c>
      <c r="K1491">
        <v>2</v>
      </c>
      <c r="L1491">
        <v>5</v>
      </c>
      <c r="M1491">
        <v>74</v>
      </c>
      <c r="N1491">
        <v>533</v>
      </c>
      <c r="O1491">
        <v>1</v>
      </c>
      <c r="P1491" t="s">
        <v>105</v>
      </c>
      <c r="Q1491">
        <v>60</v>
      </c>
      <c r="R1491">
        <v>124</v>
      </c>
      <c r="S1491">
        <v>0</v>
      </c>
      <c r="T1491">
        <v>2</v>
      </c>
      <c r="U1491">
        <v>0</v>
      </c>
      <c r="V1491">
        <v>0</v>
      </c>
      <c r="W1491">
        <v>249</v>
      </c>
      <c r="X1491">
        <v>1</v>
      </c>
      <c r="Y1491">
        <v>11</v>
      </c>
      <c r="Z1491">
        <v>0</v>
      </c>
      <c r="AG1491">
        <v>1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0</v>
      </c>
      <c r="AN1491">
        <v>0</v>
      </c>
      <c r="AR1491">
        <v>0</v>
      </c>
      <c r="AZ1491">
        <v>77</v>
      </c>
      <c r="BA1491">
        <v>7</v>
      </c>
      <c r="BC1491">
        <v>0</v>
      </c>
      <c r="BD1491">
        <v>7</v>
      </c>
      <c r="BE1491">
        <v>539</v>
      </c>
      <c r="BF1491">
        <v>539</v>
      </c>
      <c r="BG1491">
        <v>591</v>
      </c>
      <c r="BJ1491">
        <v>1</v>
      </c>
      <c r="BL1491" t="s">
        <v>3126</v>
      </c>
      <c r="BM1491" s="4">
        <v>43283.231678240743</v>
      </c>
      <c r="BN1491" s="4">
        <v>43283.254513888889</v>
      </c>
      <c r="BO1491" s="4">
        <v>43283.254513888889</v>
      </c>
      <c r="BP1491" t="s">
        <v>92</v>
      </c>
      <c r="BQ1491" t="s">
        <v>93</v>
      </c>
      <c r="BR1491" t="s">
        <v>94</v>
      </c>
    </row>
    <row r="1492" spans="1:70" x14ac:dyDescent="0.3">
      <c r="A1492" t="str">
        <f>"200868C0100"</f>
        <v>200868C0100</v>
      </c>
      <c r="B1492" t="s">
        <v>3127</v>
      </c>
      <c r="C1492">
        <v>20</v>
      </c>
      <c r="D1492" t="s">
        <v>88</v>
      </c>
      <c r="E1492">
        <v>133</v>
      </c>
      <c r="F1492" t="s">
        <v>3111</v>
      </c>
      <c r="G1492">
        <v>868</v>
      </c>
      <c r="H1492">
        <v>1</v>
      </c>
      <c r="I1492" t="s">
        <v>98</v>
      </c>
      <c r="J1492">
        <v>0</v>
      </c>
      <c r="K1492">
        <v>2</v>
      </c>
      <c r="L1492">
        <v>5</v>
      </c>
      <c r="M1492">
        <v>101</v>
      </c>
      <c r="N1492">
        <v>512</v>
      </c>
      <c r="O1492">
        <v>0</v>
      </c>
      <c r="P1492">
        <v>515</v>
      </c>
      <c r="Q1492">
        <v>64</v>
      </c>
      <c r="R1492">
        <v>134</v>
      </c>
      <c r="S1492">
        <v>0</v>
      </c>
      <c r="T1492">
        <v>3</v>
      </c>
      <c r="U1492">
        <v>0</v>
      </c>
      <c r="V1492">
        <v>0</v>
      </c>
      <c r="W1492">
        <v>243</v>
      </c>
      <c r="X1492">
        <v>2</v>
      </c>
      <c r="Y1492">
        <v>4</v>
      </c>
      <c r="Z1492">
        <v>1</v>
      </c>
      <c r="AG1492">
        <v>0</v>
      </c>
      <c r="AH1492">
        <v>1</v>
      </c>
      <c r="AI1492">
        <v>0</v>
      </c>
      <c r="AJ1492">
        <v>0</v>
      </c>
      <c r="AK1492">
        <v>0</v>
      </c>
      <c r="AL1492">
        <v>0</v>
      </c>
      <c r="AM1492">
        <v>0</v>
      </c>
      <c r="AN1492">
        <v>0</v>
      </c>
      <c r="AR1492">
        <v>0</v>
      </c>
      <c r="AZ1492">
        <v>57</v>
      </c>
      <c r="BA1492">
        <v>0</v>
      </c>
      <c r="BC1492">
        <v>0</v>
      </c>
      <c r="BD1492">
        <v>6</v>
      </c>
      <c r="BE1492">
        <v>515</v>
      </c>
      <c r="BF1492">
        <v>515</v>
      </c>
      <c r="BG1492">
        <v>590</v>
      </c>
      <c r="BJ1492">
        <v>1</v>
      </c>
      <c r="BL1492" t="s">
        <v>3128</v>
      </c>
      <c r="BM1492" s="4">
        <v>43283.238749999997</v>
      </c>
      <c r="BN1492" s="4">
        <v>43283.260752314818</v>
      </c>
      <c r="BO1492" s="4">
        <v>43283.260752314818</v>
      </c>
      <c r="BP1492" t="s">
        <v>92</v>
      </c>
      <c r="BQ1492" t="s">
        <v>93</v>
      </c>
      <c r="BR1492" t="s">
        <v>94</v>
      </c>
    </row>
    <row r="1493" spans="1:70" x14ac:dyDescent="0.3">
      <c r="A1493" t="str">
        <f>"200868E0100"</f>
        <v>200868E0100</v>
      </c>
      <c r="B1493" s="2" t="s">
        <v>3129</v>
      </c>
      <c r="C1493">
        <v>20</v>
      </c>
      <c r="D1493" t="s">
        <v>88</v>
      </c>
      <c r="E1493">
        <v>133</v>
      </c>
      <c r="F1493" t="s">
        <v>3111</v>
      </c>
      <c r="G1493">
        <v>868</v>
      </c>
      <c r="H1493">
        <v>1</v>
      </c>
      <c r="I1493" t="s">
        <v>156</v>
      </c>
      <c r="J1493">
        <v>0</v>
      </c>
      <c r="K1493">
        <v>2</v>
      </c>
      <c r="L1493">
        <v>5</v>
      </c>
      <c r="M1493">
        <v>92</v>
      </c>
      <c r="N1493">
        <v>463</v>
      </c>
      <c r="O1493">
        <v>0</v>
      </c>
      <c r="P1493">
        <v>463</v>
      </c>
      <c r="Q1493">
        <v>41</v>
      </c>
      <c r="R1493">
        <v>115</v>
      </c>
      <c r="S1493">
        <v>0</v>
      </c>
      <c r="T1493">
        <v>42</v>
      </c>
      <c r="U1493">
        <v>0</v>
      </c>
      <c r="V1493">
        <v>0</v>
      </c>
      <c r="W1493">
        <v>138</v>
      </c>
      <c r="X1493">
        <v>0</v>
      </c>
      <c r="Y1493">
        <v>15</v>
      </c>
      <c r="Z1493">
        <v>0</v>
      </c>
      <c r="AG1493">
        <v>0</v>
      </c>
      <c r="AH1493">
        <v>0</v>
      </c>
      <c r="AI1493">
        <v>0</v>
      </c>
      <c r="AJ1493">
        <v>0</v>
      </c>
      <c r="AK1493">
        <v>0</v>
      </c>
      <c r="AL1493">
        <v>0</v>
      </c>
      <c r="AM1493">
        <v>0</v>
      </c>
      <c r="AN1493">
        <v>0</v>
      </c>
      <c r="AR1493">
        <v>0</v>
      </c>
      <c r="AZ1493">
        <v>101</v>
      </c>
      <c r="BA1493">
        <v>0</v>
      </c>
      <c r="BC1493">
        <v>0</v>
      </c>
      <c r="BD1493">
        <v>11</v>
      </c>
      <c r="BE1493">
        <v>463</v>
      </c>
      <c r="BF1493">
        <v>463</v>
      </c>
      <c r="BG1493">
        <v>531</v>
      </c>
      <c r="BJ1493">
        <v>1</v>
      </c>
      <c r="BL1493" s="2" t="s">
        <v>3130</v>
      </c>
      <c r="BM1493" s="4">
        <v>43283.222245370373</v>
      </c>
      <c r="BN1493" s="4">
        <v>43283.244016203702</v>
      </c>
      <c r="BO1493" s="4">
        <v>43283.244016203702</v>
      </c>
      <c r="BP1493" t="s">
        <v>92</v>
      </c>
      <c r="BQ1493" t="s">
        <v>93</v>
      </c>
      <c r="BR1493" t="s">
        <v>94</v>
      </c>
    </row>
    <row r="1494" spans="1:70" x14ac:dyDescent="0.3">
      <c r="A1494" t="str">
        <f>"200868E0200"</f>
        <v>200868E0200</v>
      </c>
      <c r="B1494" s="2" t="s">
        <v>3131</v>
      </c>
      <c r="C1494">
        <v>20</v>
      </c>
      <c r="D1494" t="s">
        <v>88</v>
      </c>
      <c r="E1494">
        <v>133</v>
      </c>
      <c r="F1494" t="s">
        <v>3111</v>
      </c>
      <c r="G1494">
        <v>868</v>
      </c>
      <c r="H1494">
        <v>2</v>
      </c>
      <c r="I1494" t="s">
        <v>156</v>
      </c>
      <c r="J1494">
        <v>0</v>
      </c>
      <c r="K1494">
        <v>2</v>
      </c>
      <c r="L1494">
        <v>5</v>
      </c>
      <c r="M1494">
        <v>62</v>
      </c>
      <c r="N1494">
        <v>300</v>
      </c>
      <c r="O1494">
        <v>5</v>
      </c>
      <c r="P1494">
        <v>300</v>
      </c>
      <c r="Q1494">
        <v>74</v>
      </c>
      <c r="R1494">
        <v>124</v>
      </c>
      <c r="S1494">
        <v>0</v>
      </c>
      <c r="T1494">
        <v>42</v>
      </c>
      <c r="U1494">
        <v>0</v>
      </c>
      <c r="V1494">
        <v>0</v>
      </c>
      <c r="W1494">
        <v>50</v>
      </c>
      <c r="X1494">
        <v>0</v>
      </c>
      <c r="Y1494">
        <v>4</v>
      </c>
      <c r="Z1494">
        <v>0</v>
      </c>
      <c r="AG1494">
        <v>0</v>
      </c>
      <c r="AH1494">
        <v>0</v>
      </c>
      <c r="AI1494">
        <v>0</v>
      </c>
      <c r="AJ1494">
        <v>0</v>
      </c>
      <c r="AK1494">
        <v>0</v>
      </c>
      <c r="AL1494">
        <v>0</v>
      </c>
      <c r="AM1494">
        <v>0</v>
      </c>
      <c r="AN1494">
        <v>0</v>
      </c>
      <c r="AR1494">
        <v>0</v>
      </c>
      <c r="AZ1494">
        <v>2</v>
      </c>
      <c r="BA1494">
        <v>0</v>
      </c>
      <c r="BC1494">
        <v>0</v>
      </c>
      <c r="BD1494">
        <v>4</v>
      </c>
      <c r="BE1494">
        <v>300</v>
      </c>
      <c r="BF1494">
        <v>300</v>
      </c>
      <c r="BG1494">
        <v>338</v>
      </c>
      <c r="BJ1494">
        <v>1</v>
      </c>
      <c r="BL1494" t="s">
        <v>3132</v>
      </c>
      <c r="BM1494" s="4">
        <v>43283.223611111112</v>
      </c>
      <c r="BN1494" s="4">
        <v>43283.247025462966</v>
      </c>
      <c r="BO1494" s="4">
        <v>43283.247025462966</v>
      </c>
      <c r="BP1494" t="s">
        <v>92</v>
      </c>
      <c r="BQ1494" t="s">
        <v>93</v>
      </c>
      <c r="BR1494" t="s">
        <v>94</v>
      </c>
    </row>
    <row r="1495" spans="1:70" x14ac:dyDescent="0.3">
      <c r="A1495" t="str">
        <f>"200869B0100"</f>
        <v>200869B0100</v>
      </c>
      <c r="B1495" t="s">
        <v>3133</v>
      </c>
      <c r="C1495">
        <v>20</v>
      </c>
      <c r="D1495" t="s">
        <v>88</v>
      </c>
      <c r="E1495">
        <v>133</v>
      </c>
      <c r="F1495" t="s">
        <v>3111</v>
      </c>
      <c r="G1495">
        <v>869</v>
      </c>
      <c r="H1495">
        <v>1</v>
      </c>
      <c r="I1495" t="s">
        <v>90</v>
      </c>
      <c r="J1495">
        <v>0</v>
      </c>
      <c r="K1495">
        <v>2</v>
      </c>
      <c r="L1495">
        <v>5</v>
      </c>
      <c r="M1495">
        <v>135</v>
      </c>
      <c r="N1495">
        <v>552</v>
      </c>
      <c r="O1495">
        <v>2</v>
      </c>
      <c r="P1495">
        <v>546</v>
      </c>
      <c r="Q1495">
        <v>32</v>
      </c>
      <c r="R1495">
        <v>226</v>
      </c>
      <c r="S1495">
        <v>1</v>
      </c>
      <c r="T1495">
        <v>1</v>
      </c>
      <c r="U1495">
        <v>0</v>
      </c>
      <c r="V1495">
        <v>1</v>
      </c>
      <c r="W1495">
        <v>224</v>
      </c>
      <c r="X1495">
        <v>0</v>
      </c>
      <c r="Y1495">
        <v>13</v>
      </c>
      <c r="Z1495">
        <v>0</v>
      </c>
      <c r="AG1495">
        <v>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0</v>
      </c>
      <c r="AN1495">
        <v>0</v>
      </c>
      <c r="AR1495">
        <v>0</v>
      </c>
      <c r="AZ1495">
        <v>36</v>
      </c>
      <c r="BA1495">
        <v>1</v>
      </c>
      <c r="BC1495">
        <v>0</v>
      </c>
      <c r="BD1495">
        <v>11</v>
      </c>
      <c r="BE1495">
        <v>546</v>
      </c>
      <c r="BF1495">
        <v>546</v>
      </c>
      <c r="BG1495">
        <v>664</v>
      </c>
      <c r="BJ1495">
        <v>1</v>
      </c>
      <c r="BL1495" t="s">
        <v>3134</v>
      </c>
      <c r="BM1495" s="4">
        <v>43283.334629629629</v>
      </c>
      <c r="BN1495" s="4">
        <v>43283.352141203701</v>
      </c>
      <c r="BO1495" s="4">
        <v>43283.352141203701</v>
      </c>
      <c r="BP1495" t="s">
        <v>92</v>
      </c>
      <c r="BQ1495" t="s">
        <v>93</v>
      </c>
      <c r="BR1495" t="s">
        <v>94</v>
      </c>
    </row>
    <row r="1496" spans="1:70" x14ac:dyDescent="0.3">
      <c r="A1496" t="str">
        <f>"200869C0100"</f>
        <v>200869C0100</v>
      </c>
      <c r="B1496" t="s">
        <v>3135</v>
      </c>
      <c r="C1496">
        <v>20</v>
      </c>
      <c r="D1496" t="s">
        <v>88</v>
      </c>
      <c r="E1496">
        <v>133</v>
      </c>
      <c r="F1496" t="s">
        <v>3111</v>
      </c>
      <c r="G1496">
        <v>869</v>
      </c>
      <c r="H1496">
        <v>1</v>
      </c>
      <c r="I1496" t="s">
        <v>98</v>
      </c>
      <c r="J1496">
        <v>0</v>
      </c>
      <c r="K1496">
        <v>2</v>
      </c>
      <c r="L1496">
        <v>5</v>
      </c>
      <c r="M1496">
        <v>123</v>
      </c>
      <c r="N1496">
        <v>563</v>
      </c>
      <c r="O1496">
        <v>2</v>
      </c>
      <c r="P1496">
        <v>572</v>
      </c>
      <c r="Q1496">
        <v>42</v>
      </c>
      <c r="R1496">
        <v>190</v>
      </c>
      <c r="S1496">
        <v>0</v>
      </c>
      <c r="T1496">
        <v>5</v>
      </c>
      <c r="U1496">
        <v>0</v>
      </c>
      <c r="V1496">
        <v>0</v>
      </c>
      <c r="W1496">
        <v>222</v>
      </c>
      <c r="X1496">
        <v>1</v>
      </c>
      <c r="Y1496">
        <v>0</v>
      </c>
      <c r="Z1496">
        <v>0</v>
      </c>
      <c r="AG1496">
        <v>0</v>
      </c>
      <c r="AH1496">
        <v>0</v>
      </c>
      <c r="AI1496">
        <v>0</v>
      </c>
      <c r="AJ1496">
        <v>0</v>
      </c>
      <c r="AK1496">
        <v>0</v>
      </c>
      <c r="AL1496">
        <v>0</v>
      </c>
      <c r="AM1496">
        <v>0</v>
      </c>
      <c r="AN1496">
        <v>0</v>
      </c>
      <c r="AR1496">
        <v>95</v>
      </c>
      <c r="AZ1496">
        <v>0</v>
      </c>
      <c r="BA1496">
        <v>0</v>
      </c>
      <c r="BC1496">
        <v>0</v>
      </c>
      <c r="BD1496">
        <v>10</v>
      </c>
      <c r="BE1496">
        <v>572</v>
      </c>
      <c r="BF1496">
        <v>565</v>
      </c>
      <c r="BG1496">
        <v>664</v>
      </c>
      <c r="BJ1496">
        <v>1</v>
      </c>
      <c r="BL1496" t="s">
        <v>3136</v>
      </c>
      <c r="BM1496" s="4">
        <v>43283.34412037037</v>
      </c>
      <c r="BN1496" s="4">
        <v>43283.358460648145</v>
      </c>
      <c r="BO1496" s="4">
        <v>43283.358460648145</v>
      </c>
      <c r="BP1496" t="s">
        <v>92</v>
      </c>
      <c r="BQ1496" t="s">
        <v>93</v>
      </c>
      <c r="BR1496" t="s">
        <v>94</v>
      </c>
    </row>
    <row r="1497" spans="1:70" x14ac:dyDescent="0.3">
      <c r="A1497" t="str">
        <f>"200870B0100"</f>
        <v>200870B0100</v>
      </c>
      <c r="B1497" t="s">
        <v>3137</v>
      </c>
      <c r="C1497">
        <v>20</v>
      </c>
      <c r="D1497" t="s">
        <v>88</v>
      </c>
      <c r="E1497">
        <v>133</v>
      </c>
      <c r="F1497" t="s">
        <v>3111</v>
      </c>
      <c r="G1497">
        <v>870</v>
      </c>
      <c r="H1497">
        <v>1</v>
      </c>
      <c r="I1497" t="s">
        <v>90</v>
      </c>
      <c r="J1497">
        <v>0</v>
      </c>
      <c r="K1497">
        <v>2</v>
      </c>
      <c r="L1497">
        <v>5</v>
      </c>
      <c r="M1497">
        <v>70</v>
      </c>
      <c r="N1497">
        <v>415</v>
      </c>
      <c r="O1497">
        <v>3</v>
      </c>
      <c r="P1497">
        <v>415</v>
      </c>
      <c r="Q1497">
        <v>62</v>
      </c>
      <c r="R1497">
        <v>132</v>
      </c>
      <c r="S1497">
        <v>60</v>
      </c>
      <c r="T1497">
        <v>64</v>
      </c>
      <c r="U1497">
        <v>1</v>
      </c>
      <c r="V1497">
        <v>3</v>
      </c>
      <c r="W1497">
        <v>83</v>
      </c>
      <c r="X1497">
        <v>9</v>
      </c>
      <c r="Y1497">
        <v>29</v>
      </c>
      <c r="Z1497">
        <v>3</v>
      </c>
      <c r="AG1497" t="s">
        <v>105</v>
      </c>
      <c r="AH1497" t="s">
        <v>105</v>
      </c>
      <c r="AI1497" t="s">
        <v>105</v>
      </c>
      <c r="AJ1497" t="s">
        <v>105</v>
      </c>
      <c r="AK1497" t="s">
        <v>105</v>
      </c>
      <c r="AL1497" t="s">
        <v>105</v>
      </c>
      <c r="AM1497" t="s">
        <v>105</v>
      </c>
      <c r="AN1497" t="s">
        <v>105</v>
      </c>
      <c r="AR1497" t="s">
        <v>105</v>
      </c>
      <c r="AZ1497">
        <v>19</v>
      </c>
      <c r="BA1497">
        <v>2</v>
      </c>
      <c r="BC1497" t="s">
        <v>105</v>
      </c>
      <c r="BD1497">
        <v>8</v>
      </c>
      <c r="BE1497">
        <v>415</v>
      </c>
      <c r="BF1497">
        <v>475</v>
      </c>
      <c r="BG1497">
        <v>461</v>
      </c>
      <c r="BI1497" t="s">
        <v>106</v>
      </c>
      <c r="BJ1497">
        <v>1</v>
      </c>
      <c r="BL1497" t="s">
        <v>3138</v>
      </c>
      <c r="BM1497" s="4">
        <v>43283.201388888891</v>
      </c>
      <c r="BN1497" s="4">
        <v>43283.218900462962</v>
      </c>
      <c r="BO1497" s="4">
        <v>43283.218900462962</v>
      </c>
      <c r="BP1497" t="s">
        <v>92</v>
      </c>
      <c r="BQ1497" t="s">
        <v>93</v>
      </c>
      <c r="BR1497" t="s">
        <v>94</v>
      </c>
    </row>
    <row r="1498" spans="1:70" x14ac:dyDescent="0.3">
      <c r="A1498" t="str">
        <f>"200877B0100"</f>
        <v>200877B0100</v>
      </c>
      <c r="B1498" t="s">
        <v>3139</v>
      </c>
      <c r="C1498">
        <v>20</v>
      </c>
      <c r="D1498" t="s">
        <v>88</v>
      </c>
      <c r="E1498">
        <v>138</v>
      </c>
      <c r="F1498" t="s">
        <v>3140</v>
      </c>
      <c r="G1498">
        <v>877</v>
      </c>
      <c r="H1498">
        <v>1</v>
      </c>
      <c r="I1498" t="s">
        <v>90</v>
      </c>
      <c r="J1498">
        <v>0</v>
      </c>
      <c r="K1498">
        <v>1</v>
      </c>
      <c r="L1498">
        <v>5</v>
      </c>
      <c r="M1498">
        <v>176</v>
      </c>
      <c r="N1498">
        <v>552</v>
      </c>
      <c r="O1498">
        <v>5</v>
      </c>
      <c r="P1498">
        <v>552</v>
      </c>
      <c r="Q1498">
        <v>0</v>
      </c>
      <c r="R1498">
        <v>208</v>
      </c>
      <c r="S1498">
        <v>0</v>
      </c>
      <c r="U1498">
        <v>23</v>
      </c>
      <c r="V1498">
        <v>0</v>
      </c>
      <c r="W1498">
        <v>162</v>
      </c>
      <c r="Y1498">
        <v>152</v>
      </c>
      <c r="Z1498">
        <v>1</v>
      </c>
      <c r="AC1498">
        <v>0</v>
      </c>
      <c r="AD1498">
        <v>0</v>
      </c>
      <c r="AE1498">
        <v>0</v>
      </c>
      <c r="AF1498">
        <v>0</v>
      </c>
      <c r="AK1498">
        <v>0</v>
      </c>
      <c r="AL1498">
        <v>0</v>
      </c>
      <c r="AM1498">
        <v>0</v>
      </c>
      <c r="AN1498">
        <v>0</v>
      </c>
      <c r="BC1498">
        <v>0</v>
      </c>
      <c r="BD1498">
        <v>6</v>
      </c>
      <c r="BE1498">
        <v>552</v>
      </c>
      <c r="BF1498">
        <v>552</v>
      </c>
      <c r="BG1498">
        <v>706</v>
      </c>
      <c r="BJ1498">
        <v>1</v>
      </c>
      <c r="BL1498" t="s">
        <v>3141</v>
      </c>
      <c r="BM1498" s="4">
        <v>43283.173090277778</v>
      </c>
      <c r="BN1498" s="4">
        <v>43283.185671296298</v>
      </c>
      <c r="BO1498" s="4">
        <v>43283.185671296298</v>
      </c>
      <c r="BP1498" t="s">
        <v>92</v>
      </c>
      <c r="BQ1498" t="s">
        <v>93</v>
      </c>
      <c r="BR1498" t="s">
        <v>94</v>
      </c>
    </row>
    <row r="1499" spans="1:70" x14ac:dyDescent="0.3">
      <c r="A1499" t="str">
        <f>"200877C0100"</f>
        <v>200877C0100</v>
      </c>
      <c r="B1499" t="s">
        <v>3142</v>
      </c>
      <c r="C1499">
        <v>20</v>
      </c>
      <c r="D1499" t="s">
        <v>88</v>
      </c>
      <c r="E1499">
        <v>138</v>
      </c>
      <c r="F1499" t="s">
        <v>3140</v>
      </c>
      <c r="G1499">
        <v>877</v>
      </c>
      <c r="H1499">
        <v>1</v>
      </c>
      <c r="I1499" t="s">
        <v>98</v>
      </c>
      <c r="J1499">
        <v>0</v>
      </c>
      <c r="K1499">
        <v>1</v>
      </c>
      <c r="L1499">
        <v>5</v>
      </c>
      <c r="M1499">
        <v>145</v>
      </c>
      <c r="N1499">
        <v>580</v>
      </c>
      <c r="O1499">
        <v>9</v>
      </c>
      <c r="P1499">
        <v>582</v>
      </c>
      <c r="Q1499">
        <v>0</v>
      </c>
      <c r="R1499">
        <v>227</v>
      </c>
      <c r="S1499">
        <v>1</v>
      </c>
      <c r="U1499">
        <v>22</v>
      </c>
      <c r="V1499">
        <v>0</v>
      </c>
      <c r="W1499">
        <v>216</v>
      </c>
      <c r="Y1499">
        <v>108</v>
      </c>
      <c r="Z1499">
        <v>3</v>
      </c>
      <c r="AC1499">
        <v>0</v>
      </c>
      <c r="AD1499">
        <v>0</v>
      </c>
      <c r="AE1499">
        <v>0</v>
      </c>
      <c r="AF1499">
        <v>0</v>
      </c>
      <c r="AK1499">
        <v>0</v>
      </c>
      <c r="AL1499">
        <v>0</v>
      </c>
      <c r="AM1499">
        <v>0</v>
      </c>
      <c r="AN1499">
        <v>0</v>
      </c>
      <c r="BC1499">
        <v>0</v>
      </c>
      <c r="BD1499">
        <v>5</v>
      </c>
      <c r="BE1499">
        <v>582</v>
      </c>
      <c r="BF1499">
        <v>582</v>
      </c>
      <c r="BG1499">
        <v>705</v>
      </c>
      <c r="BJ1499">
        <v>1</v>
      </c>
      <c r="BL1499" t="s">
        <v>3143</v>
      </c>
      <c r="BM1499" s="4">
        <v>43283.172303240739</v>
      </c>
      <c r="BN1499" s="4">
        <v>43283.188240740739</v>
      </c>
      <c r="BO1499" s="4">
        <v>43283.188240740739</v>
      </c>
      <c r="BP1499" t="s">
        <v>92</v>
      </c>
      <c r="BQ1499" t="s">
        <v>93</v>
      </c>
      <c r="BR1499" t="s">
        <v>94</v>
      </c>
    </row>
    <row r="1500" spans="1:70" x14ac:dyDescent="0.3">
      <c r="A1500" t="str">
        <f>"200877C0200"</f>
        <v>200877C0200</v>
      </c>
      <c r="B1500" t="s">
        <v>3144</v>
      </c>
      <c r="C1500">
        <v>20</v>
      </c>
      <c r="D1500" t="s">
        <v>88</v>
      </c>
      <c r="E1500">
        <v>138</v>
      </c>
      <c r="F1500" t="s">
        <v>3140</v>
      </c>
      <c r="G1500">
        <v>877</v>
      </c>
      <c r="H1500">
        <v>2</v>
      </c>
      <c r="I1500" t="s">
        <v>98</v>
      </c>
      <c r="J1500">
        <v>0</v>
      </c>
      <c r="K1500">
        <v>1</v>
      </c>
      <c r="L1500">
        <v>5</v>
      </c>
      <c r="M1500">
        <v>189</v>
      </c>
      <c r="N1500">
        <v>538</v>
      </c>
      <c r="O1500">
        <v>2</v>
      </c>
      <c r="P1500">
        <v>538</v>
      </c>
      <c r="Q1500">
        <v>0</v>
      </c>
      <c r="R1500">
        <v>172</v>
      </c>
      <c r="S1500">
        <v>1</v>
      </c>
      <c r="U1500">
        <v>9</v>
      </c>
      <c r="V1500">
        <v>0</v>
      </c>
      <c r="W1500">
        <v>226</v>
      </c>
      <c r="Y1500">
        <v>122</v>
      </c>
      <c r="Z1500">
        <v>2</v>
      </c>
      <c r="AC1500">
        <v>0</v>
      </c>
      <c r="AD1500">
        <v>0</v>
      </c>
      <c r="AE1500">
        <v>0</v>
      </c>
      <c r="AF1500">
        <v>0</v>
      </c>
      <c r="AK1500">
        <v>2</v>
      </c>
      <c r="AL1500">
        <v>0</v>
      </c>
      <c r="AM1500">
        <v>0</v>
      </c>
      <c r="AN1500">
        <v>0</v>
      </c>
      <c r="BC1500">
        <v>0</v>
      </c>
      <c r="BD1500">
        <v>4</v>
      </c>
      <c r="BE1500">
        <v>538</v>
      </c>
      <c r="BF1500">
        <v>538</v>
      </c>
      <c r="BG1500">
        <v>705</v>
      </c>
      <c r="BJ1500">
        <v>1</v>
      </c>
      <c r="BL1500" t="s">
        <v>3145</v>
      </c>
      <c r="BM1500" s="4">
        <v>43283.176041666666</v>
      </c>
      <c r="BN1500" s="4">
        <v>43283.193240740744</v>
      </c>
      <c r="BO1500" s="4">
        <v>43283.193240740744</v>
      </c>
      <c r="BP1500" t="s">
        <v>92</v>
      </c>
      <c r="BQ1500" t="s">
        <v>93</v>
      </c>
      <c r="BR1500" t="s">
        <v>94</v>
      </c>
    </row>
    <row r="1501" spans="1:70" x14ac:dyDescent="0.3">
      <c r="A1501" t="str">
        <f>"200878B0100"</f>
        <v>200878B0100</v>
      </c>
      <c r="B1501" t="s">
        <v>3146</v>
      </c>
      <c r="C1501">
        <v>20</v>
      </c>
      <c r="D1501" t="s">
        <v>88</v>
      </c>
      <c r="E1501">
        <v>138</v>
      </c>
      <c r="F1501" t="s">
        <v>3140</v>
      </c>
      <c r="G1501">
        <v>878</v>
      </c>
      <c r="H1501">
        <v>1</v>
      </c>
      <c r="I1501" t="s">
        <v>90</v>
      </c>
      <c r="J1501">
        <v>0</v>
      </c>
      <c r="K1501">
        <v>1</v>
      </c>
      <c r="L1501">
        <v>5</v>
      </c>
      <c r="M1501">
        <v>152</v>
      </c>
      <c r="N1501">
        <v>600</v>
      </c>
      <c r="O1501">
        <v>7</v>
      </c>
      <c r="P1501">
        <v>0</v>
      </c>
      <c r="Q1501">
        <v>0</v>
      </c>
      <c r="R1501">
        <v>182</v>
      </c>
      <c r="S1501">
        <v>1</v>
      </c>
      <c r="U1501">
        <v>3</v>
      </c>
      <c r="V1501">
        <v>0</v>
      </c>
      <c r="W1501">
        <v>154</v>
      </c>
      <c r="Y1501">
        <v>113</v>
      </c>
      <c r="Z1501">
        <v>0</v>
      </c>
      <c r="AC1501" t="s">
        <v>105</v>
      </c>
      <c r="AD1501" t="s">
        <v>105</v>
      </c>
      <c r="AE1501" t="s">
        <v>105</v>
      </c>
      <c r="AF1501" t="s">
        <v>105</v>
      </c>
      <c r="AK1501" t="s">
        <v>105</v>
      </c>
      <c r="AL1501" t="s">
        <v>105</v>
      </c>
      <c r="AM1501" t="s">
        <v>105</v>
      </c>
      <c r="AN1501" t="s">
        <v>105</v>
      </c>
      <c r="BC1501" t="s">
        <v>105</v>
      </c>
      <c r="BD1501" t="s">
        <v>105</v>
      </c>
      <c r="BE1501" t="s">
        <v>105</v>
      </c>
      <c r="BF1501">
        <v>453</v>
      </c>
      <c r="BG1501">
        <v>585</v>
      </c>
      <c r="BI1501" t="s">
        <v>106</v>
      </c>
      <c r="BJ1501">
        <v>1</v>
      </c>
      <c r="BL1501" t="s">
        <v>3147</v>
      </c>
      <c r="BM1501" s="4">
        <v>43283.170555555553</v>
      </c>
      <c r="BN1501" s="4">
        <v>43283.181226851855</v>
      </c>
      <c r="BO1501" s="4">
        <v>43283.181226851855</v>
      </c>
      <c r="BP1501" t="s">
        <v>92</v>
      </c>
      <c r="BQ1501" t="s">
        <v>93</v>
      </c>
      <c r="BR1501" t="s">
        <v>94</v>
      </c>
    </row>
    <row r="1502" spans="1:70" x14ac:dyDescent="0.3">
      <c r="A1502" t="str">
        <f>"200878C0100"</f>
        <v>200878C0100</v>
      </c>
      <c r="B1502" t="s">
        <v>3148</v>
      </c>
      <c r="C1502">
        <v>20</v>
      </c>
      <c r="D1502" t="s">
        <v>88</v>
      </c>
      <c r="E1502">
        <v>138</v>
      </c>
      <c r="F1502" t="s">
        <v>3140</v>
      </c>
      <c r="G1502">
        <v>878</v>
      </c>
      <c r="H1502">
        <v>1</v>
      </c>
      <c r="I1502" t="s">
        <v>98</v>
      </c>
      <c r="J1502">
        <v>0</v>
      </c>
      <c r="K1502">
        <v>1</v>
      </c>
      <c r="L1502">
        <v>5</v>
      </c>
      <c r="BG1502">
        <v>584</v>
      </c>
      <c r="BI1502" t="s">
        <v>365</v>
      </c>
      <c r="BJ1502">
        <v>0</v>
      </c>
      <c r="BL1502" t="s">
        <v>3149</v>
      </c>
      <c r="BM1502" s="4">
        <v>43283.459710648145</v>
      </c>
      <c r="BN1502" s="4">
        <v>43283.461273148147</v>
      </c>
      <c r="BO1502" s="4">
        <v>43283.461273148147</v>
      </c>
      <c r="BP1502" t="s">
        <v>92</v>
      </c>
      <c r="BQ1502" t="s">
        <v>93</v>
      </c>
      <c r="BR1502" t="s">
        <v>94</v>
      </c>
    </row>
    <row r="1503" spans="1:70" x14ac:dyDescent="0.3">
      <c r="A1503" t="str">
        <f>"200878C0200"</f>
        <v>200878C0200</v>
      </c>
      <c r="B1503" t="s">
        <v>3150</v>
      </c>
      <c r="C1503">
        <v>20</v>
      </c>
      <c r="D1503" t="s">
        <v>88</v>
      </c>
      <c r="E1503">
        <v>138</v>
      </c>
      <c r="F1503" t="s">
        <v>3140</v>
      </c>
      <c r="G1503">
        <v>878</v>
      </c>
      <c r="H1503">
        <v>2</v>
      </c>
      <c r="I1503" t="s">
        <v>98</v>
      </c>
      <c r="J1503">
        <v>0</v>
      </c>
      <c r="K1503">
        <v>1</v>
      </c>
      <c r="L1503">
        <v>5</v>
      </c>
      <c r="M1503">
        <v>142</v>
      </c>
      <c r="N1503">
        <v>455</v>
      </c>
      <c r="O1503">
        <v>4</v>
      </c>
      <c r="P1503">
        <v>464</v>
      </c>
      <c r="Q1503" t="s">
        <v>105</v>
      </c>
      <c r="R1503">
        <v>202</v>
      </c>
      <c r="S1503" t="s">
        <v>105</v>
      </c>
      <c r="U1503">
        <v>8</v>
      </c>
      <c r="V1503" t="s">
        <v>105</v>
      </c>
      <c r="W1503">
        <v>174</v>
      </c>
      <c r="Y1503">
        <v>78</v>
      </c>
      <c r="Z1503" t="s">
        <v>105</v>
      </c>
      <c r="AC1503" t="s">
        <v>105</v>
      </c>
      <c r="AD1503" t="s">
        <v>105</v>
      </c>
      <c r="AE1503" t="s">
        <v>105</v>
      </c>
      <c r="AF1503" t="s">
        <v>105</v>
      </c>
      <c r="AK1503">
        <v>2</v>
      </c>
      <c r="AL1503" t="s">
        <v>105</v>
      </c>
      <c r="AM1503" t="s">
        <v>105</v>
      </c>
      <c r="AN1503" t="s">
        <v>105</v>
      </c>
      <c r="BC1503" t="s">
        <v>105</v>
      </c>
      <c r="BD1503">
        <v>1</v>
      </c>
      <c r="BE1503">
        <v>464</v>
      </c>
      <c r="BF1503">
        <v>465</v>
      </c>
      <c r="BG1503">
        <v>584</v>
      </c>
      <c r="BI1503" t="s">
        <v>106</v>
      </c>
      <c r="BJ1503">
        <v>1</v>
      </c>
      <c r="BL1503" t="s">
        <v>3151</v>
      </c>
      <c r="BM1503" s="4">
        <v>43283.171585648146</v>
      </c>
      <c r="BN1503" s="4">
        <v>43283.18346064815</v>
      </c>
      <c r="BO1503" s="4">
        <v>43283.18346064815</v>
      </c>
      <c r="BP1503" t="s">
        <v>92</v>
      </c>
      <c r="BQ1503" t="s">
        <v>93</v>
      </c>
      <c r="BR1503" t="s">
        <v>94</v>
      </c>
    </row>
    <row r="1504" spans="1:70" x14ac:dyDescent="0.3">
      <c r="A1504" t="str">
        <f>"200879B0100"</f>
        <v>200879B0100</v>
      </c>
      <c r="B1504" t="s">
        <v>3152</v>
      </c>
      <c r="C1504">
        <v>20</v>
      </c>
      <c r="D1504" t="s">
        <v>88</v>
      </c>
      <c r="E1504">
        <v>138</v>
      </c>
      <c r="F1504" t="s">
        <v>3140</v>
      </c>
      <c r="G1504">
        <v>879</v>
      </c>
      <c r="H1504">
        <v>1</v>
      </c>
      <c r="I1504" t="s">
        <v>90</v>
      </c>
      <c r="J1504">
        <v>0</v>
      </c>
      <c r="K1504">
        <v>1</v>
      </c>
      <c r="L1504">
        <v>5</v>
      </c>
      <c r="BG1504">
        <v>645</v>
      </c>
      <c r="BI1504" t="s">
        <v>365</v>
      </c>
      <c r="BJ1504">
        <v>0</v>
      </c>
      <c r="BL1504" t="s">
        <v>3153</v>
      </c>
      <c r="BM1504" s="4">
        <v>43283.459143518521</v>
      </c>
      <c r="BN1504" s="4">
        <v>43283.462268518517</v>
      </c>
      <c r="BO1504" s="4">
        <v>43283.462268518517</v>
      </c>
      <c r="BP1504" t="s">
        <v>92</v>
      </c>
      <c r="BQ1504" t="s">
        <v>93</v>
      </c>
      <c r="BR1504" t="s">
        <v>94</v>
      </c>
    </row>
    <row r="1505" spans="1:70" x14ac:dyDescent="0.3">
      <c r="A1505" t="str">
        <f>"200879E0100"</f>
        <v>200879E0100</v>
      </c>
      <c r="B1505" s="2" t="s">
        <v>3154</v>
      </c>
      <c r="C1505">
        <v>20</v>
      </c>
      <c r="D1505" t="s">
        <v>88</v>
      </c>
      <c r="E1505">
        <v>138</v>
      </c>
      <c r="F1505" t="s">
        <v>3140</v>
      </c>
      <c r="G1505">
        <v>879</v>
      </c>
      <c r="H1505">
        <v>1</v>
      </c>
      <c r="I1505" t="s">
        <v>156</v>
      </c>
      <c r="J1505">
        <v>0</v>
      </c>
      <c r="K1505">
        <v>2</v>
      </c>
      <c r="L1505">
        <v>5</v>
      </c>
      <c r="M1505">
        <v>47</v>
      </c>
      <c r="N1505">
        <v>88</v>
      </c>
      <c r="O1505">
        <v>4</v>
      </c>
      <c r="P1505">
        <v>88</v>
      </c>
      <c r="Q1505">
        <v>0</v>
      </c>
      <c r="R1505">
        <v>9</v>
      </c>
      <c r="S1505">
        <v>0</v>
      </c>
      <c r="U1505">
        <v>2</v>
      </c>
      <c r="V1505">
        <v>0</v>
      </c>
      <c r="W1505">
        <v>40</v>
      </c>
      <c r="Y1505">
        <v>35</v>
      </c>
      <c r="Z1505">
        <v>0</v>
      </c>
      <c r="AC1505">
        <v>0</v>
      </c>
      <c r="AD1505">
        <v>0</v>
      </c>
      <c r="AE1505">
        <v>0</v>
      </c>
      <c r="AF1505">
        <v>0</v>
      </c>
      <c r="AK1505">
        <v>0</v>
      </c>
      <c r="AL1505">
        <v>0</v>
      </c>
      <c r="AM1505">
        <v>0</v>
      </c>
      <c r="AN1505">
        <v>0</v>
      </c>
      <c r="BC1505">
        <v>0</v>
      </c>
      <c r="BD1505">
        <v>2</v>
      </c>
      <c r="BE1505">
        <v>88</v>
      </c>
      <c r="BF1505">
        <v>88</v>
      </c>
      <c r="BG1505">
        <v>113</v>
      </c>
      <c r="BJ1505">
        <v>1</v>
      </c>
      <c r="BL1505" t="s">
        <v>3155</v>
      </c>
      <c r="BM1505" s="4">
        <v>43283.321527777778</v>
      </c>
      <c r="BN1505" s="4">
        <v>43283.342881944445</v>
      </c>
      <c r="BO1505" s="4">
        <v>43283.342881944445</v>
      </c>
      <c r="BP1505" t="s">
        <v>92</v>
      </c>
      <c r="BQ1505" t="s">
        <v>93</v>
      </c>
      <c r="BR1505" t="s">
        <v>94</v>
      </c>
    </row>
    <row r="1506" spans="1:70" x14ac:dyDescent="0.3">
      <c r="A1506" t="str">
        <f>"200880B0100"</f>
        <v>200880B0100</v>
      </c>
      <c r="B1506" t="s">
        <v>3156</v>
      </c>
      <c r="C1506">
        <v>20</v>
      </c>
      <c r="D1506" t="s">
        <v>88</v>
      </c>
      <c r="E1506">
        <v>138</v>
      </c>
      <c r="F1506" t="s">
        <v>3140</v>
      </c>
      <c r="G1506">
        <v>880</v>
      </c>
      <c r="H1506">
        <v>1</v>
      </c>
      <c r="I1506" t="s">
        <v>90</v>
      </c>
      <c r="J1506">
        <v>0</v>
      </c>
      <c r="K1506">
        <v>2</v>
      </c>
      <c r="L1506">
        <v>5</v>
      </c>
      <c r="M1506">
        <v>52</v>
      </c>
      <c r="N1506">
        <v>269</v>
      </c>
      <c r="O1506">
        <v>1</v>
      </c>
      <c r="P1506">
        <v>267</v>
      </c>
      <c r="Q1506">
        <v>0</v>
      </c>
      <c r="R1506">
        <v>165</v>
      </c>
      <c r="S1506">
        <v>0</v>
      </c>
      <c r="U1506">
        <v>0</v>
      </c>
      <c r="V1506">
        <v>0</v>
      </c>
      <c r="W1506">
        <v>19</v>
      </c>
      <c r="Y1506">
        <v>81</v>
      </c>
      <c r="Z1506">
        <v>2</v>
      </c>
      <c r="AC1506">
        <v>0</v>
      </c>
      <c r="AD1506">
        <v>0</v>
      </c>
      <c r="AE1506">
        <v>0</v>
      </c>
      <c r="AF1506">
        <v>0</v>
      </c>
      <c r="AK1506">
        <v>0</v>
      </c>
      <c r="AL1506">
        <v>0</v>
      </c>
      <c r="AM1506">
        <v>0</v>
      </c>
      <c r="AN1506">
        <v>0</v>
      </c>
      <c r="BC1506" t="s">
        <v>105</v>
      </c>
      <c r="BD1506">
        <v>2</v>
      </c>
      <c r="BE1506">
        <v>267</v>
      </c>
      <c r="BF1506">
        <v>269</v>
      </c>
      <c r="BG1506">
        <v>299</v>
      </c>
      <c r="BI1506" t="s">
        <v>106</v>
      </c>
      <c r="BJ1506">
        <v>1</v>
      </c>
      <c r="BL1506" t="s">
        <v>3157</v>
      </c>
      <c r="BM1506" s="4">
        <v>43283.008148148147</v>
      </c>
      <c r="BN1506" s="4">
        <v>43283.019270833334</v>
      </c>
      <c r="BO1506" s="4">
        <v>43283.019270833334</v>
      </c>
      <c r="BP1506" t="s">
        <v>92</v>
      </c>
      <c r="BQ1506" t="s">
        <v>93</v>
      </c>
      <c r="BR1506" t="s">
        <v>94</v>
      </c>
    </row>
    <row r="1507" spans="1:70" x14ac:dyDescent="0.3">
      <c r="A1507" t="str">
        <f>"200881B0100"</f>
        <v>200881B0100</v>
      </c>
      <c r="B1507" t="s">
        <v>3158</v>
      </c>
      <c r="C1507">
        <v>20</v>
      </c>
      <c r="D1507" t="s">
        <v>88</v>
      </c>
      <c r="E1507">
        <v>138</v>
      </c>
      <c r="F1507" t="s">
        <v>3140</v>
      </c>
      <c r="G1507">
        <v>881</v>
      </c>
      <c r="H1507">
        <v>1</v>
      </c>
      <c r="I1507" t="s">
        <v>90</v>
      </c>
      <c r="J1507">
        <v>0</v>
      </c>
      <c r="K1507">
        <v>2</v>
      </c>
      <c r="L1507">
        <v>5</v>
      </c>
      <c r="M1507">
        <v>88</v>
      </c>
      <c r="N1507" t="s">
        <v>127</v>
      </c>
      <c r="O1507">
        <v>1</v>
      </c>
      <c r="P1507">
        <v>401</v>
      </c>
      <c r="Q1507" t="s">
        <v>105</v>
      </c>
      <c r="R1507">
        <v>107</v>
      </c>
      <c r="S1507">
        <v>1</v>
      </c>
      <c r="U1507" t="s">
        <v>105</v>
      </c>
      <c r="V1507" t="s">
        <v>105</v>
      </c>
      <c r="W1507">
        <v>95</v>
      </c>
      <c r="Y1507">
        <v>197</v>
      </c>
      <c r="Z1507" t="s">
        <v>105</v>
      </c>
      <c r="AC1507" t="s">
        <v>105</v>
      </c>
      <c r="AD1507" t="s">
        <v>105</v>
      </c>
      <c r="AE1507" t="s">
        <v>105</v>
      </c>
      <c r="AF1507" t="s">
        <v>105</v>
      </c>
      <c r="AK1507" t="s">
        <v>105</v>
      </c>
      <c r="AL1507" t="s">
        <v>105</v>
      </c>
      <c r="AM1507" t="s">
        <v>105</v>
      </c>
      <c r="AN1507" t="s">
        <v>105</v>
      </c>
      <c r="BC1507" t="s">
        <v>105</v>
      </c>
      <c r="BD1507" t="s">
        <v>105</v>
      </c>
      <c r="BE1507" t="s">
        <v>105</v>
      </c>
      <c r="BF1507">
        <v>400</v>
      </c>
      <c r="BG1507">
        <v>466</v>
      </c>
      <c r="BI1507" t="s">
        <v>106</v>
      </c>
      <c r="BJ1507">
        <v>1</v>
      </c>
      <c r="BL1507" t="s">
        <v>3159</v>
      </c>
      <c r="BM1507" s="4">
        <v>43283.16914351852</v>
      </c>
      <c r="BN1507" s="4">
        <v>43283.187222222223</v>
      </c>
      <c r="BO1507" s="4">
        <v>43283.187222222223</v>
      </c>
      <c r="BP1507" t="s">
        <v>92</v>
      </c>
      <c r="BQ1507" t="s">
        <v>93</v>
      </c>
      <c r="BR1507" t="s">
        <v>94</v>
      </c>
    </row>
    <row r="1508" spans="1:70" x14ac:dyDescent="0.3">
      <c r="A1508" t="str">
        <f>"200881C0100"</f>
        <v>200881C0100</v>
      </c>
      <c r="B1508" t="s">
        <v>3160</v>
      </c>
      <c r="C1508">
        <v>20</v>
      </c>
      <c r="D1508" t="s">
        <v>88</v>
      </c>
      <c r="E1508">
        <v>138</v>
      </c>
      <c r="F1508" t="s">
        <v>3140</v>
      </c>
      <c r="G1508">
        <v>881</v>
      </c>
      <c r="H1508">
        <v>1</v>
      </c>
      <c r="I1508" t="s">
        <v>98</v>
      </c>
      <c r="J1508">
        <v>0</v>
      </c>
      <c r="K1508">
        <v>2</v>
      </c>
      <c r="L1508">
        <v>5</v>
      </c>
      <c r="BG1508">
        <v>466</v>
      </c>
      <c r="BI1508" t="s">
        <v>365</v>
      </c>
      <c r="BJ1508">
        <v>0</v>
      </c>
      <c r="BL1508" t="s">
        <v>3161</v>
      </c>
      <c r="BM1508" s="4">
        <v>43283.460185185184</v>
      </c>
      <c r="BN1508" s="4">
        <v>43283.462129629632</v>
      </c>
      <c r="BO1508" s="4">
        <v>43283.462129629632</v>
      </c>
      <c r="BP1508" t="s">
        <v>92</v>
      </c>
      <c r="BQ1508" t="s">
        <v>93</v>
      </c>
      <c r="BR1508" t="s">
        <v>94</v>
      </c>
    </row>
    <row r="1509" spans="1:70" x14ac:dyDescent="0.3">
      <c r="A1509" t="str">
        <f>"200883B0100"</f>
        <v>200883B0100</v>
      </c>
      <c r="B1509" t="s">
        <v>3162</v>
      </c>
      <c r="C1509">
        <v>20</v>
      </c>
      <c r="D1509" t="s">
        <v>88</v>
      </c>
      <c r="E1509">
        <v>140</v>
      </c>
      <c r="F1509" t="s">
        <v>3163</v>
      </c>
      <c r="G1509">
        <v>883</v>
      </c>
      <c r="H1509">
        <v>1</v>
      </c>
      <c r="I1509" t="s">
        <v>90</v>
      </c>
      <c r="J1509">
        <v>0</v>
      </c>
      <c r="K1509">
        <v>1</v>
      </c>
      <c r="L1509">
        <v>5</v>
      </c>
      <c r="BG1509">
        <v>707</v>
      </c>
      <c r="BI1509" t="s">
        <v>122</v>
      </c>
      <c r="BJ1509">
        <v>0</v>
      </c>
      <c r="BL1509" t="s">
        <v>3164</v>
      </c>
      <c r="BM1509" s="4">
        <v>43283.15347222222</v>
      </c>
      <c r="BN1509" s="4">
        <v>43283.656307870369</v>
      </c>
      <c r="BO1509" s="4">
        <v>43283.656307870369</v>
      </c>
      <c r="BP1509" t="s">
        <v>92</v>
      </c>
      <c r="BQ1509" t="s">
        <v>93</v>
      </c>
      <c r="BR1509" t="s">
        <v>94</v>
      </c>
    </row>
    <row r="1510" spans="1:70" x14ac:dyDescent="0.3">
      <c r="A1510" t="str">
        <f>"200883E0100"</f>
        <v>200883E0100</v>
      </c>
      <c r="B1510" s="2" t="s">
        <v>3165</v>
      </c>
      <c r="C1510">
        <v>20</v>
      </c>
      <c r="D1510" t="s">
        <v>88</v>
      </c>
      <c r="E1510">
        <v>140</v>
      </c>
      <c r="F1510" t="s">
        <v>3163</v>
      </c>
      <c r="G1510">
        <v>883</v>
      </c>
      <c r="H1510">
        <v>1</v>
      </c>
      <c r="I1510" t="s">
        <v>156</v>
      </c>
      <c r="J1510">
        <v>0</v>
      </c>
      <c r="K1510">
        <v>1</v>
      </c>
      <c r="L1510">
        <v>5</v>
      </c>
      <c r="BG1510">
        <v>363</v>
      </c>
      <c r="BI1510" t="s">
        <v>122</v>
      </c>
      <c r="BJ1510">
        <v>0</v>
      </c>
      <c r="BL1510" t="s">
        <v>3166</v>
      </c>
      <c r="BM1510" s="4">
        <v>43283.154861111114</v>
      </c>
      <c r="BN1510" s="4">
        <v>43283.656840277778</v>
      </c>
      <c r="BO1510" s="4">
        <v>43283.656840277778</v>
      </c>
      <c r="BP1510" t="s">
        <v>92</v>
      </c>
      <c r="BQ1510" t="s">
        <v>93</v>
      </c>
      <c r="BR1510" t="s">
        <v>94</v>
      </c>
    </row>
    <row r="1511" spans="1:70" x14ac:dyDescent="0.3">
      <c r="A1511" t="str">
        <f>"200884B0100"</f>
        <v>200884B0100</v>
      </c>
      <c r="B1511" t="s">
        <v>3167</v>
      </c>
      <c r="C1511">
        <v>20</v>
      </c>
      <c r="D1511" t="s">
        <v>88</v>
      </c>
      <c r="E1511">
        <v>140</v>
      </c>
      <c r="F1511" t="s">
        <v>3163</v>
      </c>
      <c r="G1511">
        <v>884</v>
      </c>
      <c r="H1511">
        <v>1</v>
      </c>
      <c r="I1511" t="s">
        <v>90</v>
      </c>
      <c r="J1511">
        <v>0</v>
      </c>
      <c r="K1511">
        <v>1</v>
      </c>
      <c r="L1511">
        <v>5</v>
      </c>
      <c r="M1511">
        <v>138</v>
      </c>
      <c r="N1511">
        <v>450</v>
      </c>
      <c r="O1511">
        <v>1</v>
      </c>
      <c r="P1511">
        <v>442</v>
      </c>
      <c r="Q1511">
        <v>79</v>
      </c>
      <c r="R1511">
        <v>130</v>
      </c>
      <c r="S1511">
        <v>84</v>
      </c>
      <c r="T1511" t="s">
        <v>105</v>
      </c>
      <c r="U1511">
        <v>18</v>
      </c>
      <c r="V1511">
        <v>12</v>
      </c>
      <c r="W1511">
        <v>38</v>
      </c>
      <c r="X1511" t="s">
        <v>105</v>
      </c>
      <c r="Y1511">
        <v>63</v>
      </c>
      <c r="Z1511">
        <v>3</v>
      </c>
      <c r="AC1511">
        <v>3</v>
      </c>
      <c r="AD1511" t="s">
        <v>105</v>
      </c>
      <c r="AE1511" t="s">
        <v>105</v>
      </c>
      <c r="AF1511" t="s">
        <v>105</v>
      </c>
      <c r="AG1511">
        <v>5</v>
      </c>
      <c r="AH1511" t="s">
        <v>105</v>
      </c>
      <c r="AI1511" t="s">
        <v>105</v>
      </c>
      <c r="AJ1511" t="s">
        <v>105</v>
      </c>
      <c r="AK1511" t="s">
        <v>105</v>
      </c>
      <c r="AL1511" t="s">
        <v>105</v>
      </c>
      <c r="AM1511" t="s">
        <v>105</v>
      </c>
      <c r="AN1511" t="s">
        <v>105</v>
      </c>
      <c r="BC1511" t="s">
        <v>105</v>
      </c>
      <c r="BD1511">
        <v>7</v>
      </c>
      <c r="BE1511">
        <v>442</v>
      </c>
      <c r="BF1511">
        <v>442</v>
      </c>
      <c r="BG1511">
        <v>566</v>
      </c>
      <c r="BI1511" t="s">
        <v>106</v>
      </c>
      <c r="BJ1511">
        <v>1</v>
      </c>
      <c r="BL1511" t="s">
        <v>3168</v>
      </c>
      <c r="BM1511" s="4">
        <v>43283.163194444445</v>
      </c>
      <c r="BN1511" s="4">
        <v>43283.178993055553</v>
      </c>
      <c r="BO1511" s="4">
        <v>43283.178993055553</v>
      </c>
      <c r="BP1511" t="s">
        <v>92</v>
      </c>
      <c r="BQ1511" t="s">
        <v>93</v>
      </c>
      <c r="BR1511" t="s">
        <v>94</v>
      </c>
    </row>
    <row r="1512" spans="1:70" x14ac:dyDescent="0.3">
      <c r="A1512" t="str">
        <f>"200884C0100"</f>
        <v>200884C0100</v>
      </c>
      <c r="B1512" t="s">
        <v>3169</v>
      </c>
      <c r="C1512">
        <v>20</v>
      </c>
      <c r="D1512" t="s">
        <v>88</v>
      </c>
      <c r="E1512">
        <v>140</v>
      </c>
      <c r="F1512" t="s">
        <v>3163</v>
      </c>
      <c r="G1512">
        <v>884</v>
      </c>
      <c r="H1512">
        <v>1</v>
      </c>
      <c r="I1512" t="s">
        <v>98</v>
      </c>
      <c r="J1512">
        <v>0</v>
      </c>
      <c r="K1512">
        <v>1</v>
      </c>
      <c r="L1512">
        <v>5</v>
      </c>
      <c r="M1512">
        <v>149</v>
      </c>
      <c r="N1512">
        <v>436</v>
      </c>
      <c r="O1512">
        <v>1</v>
      </c>
      <c r="P1512" t="s">
        <v>105</v>
      </c>
      <c r="Q1512">
        <v>55</v>
      </c>
      <c r="R1512">
        <v>148</v>
      </c>
      <c r="S1512">
        <v>60</v>
      </c>
      <c r="T1512">
        <v>2</v>
      </c>
      <c r="U1512">
        <v>26</v>
      </c>
      <c r="V1512">
        <v>15</v>
      </c>
      <c r="W1512">
        <v>32</v>
      </c>
      <c r="X1512">
        <v>2</v>
      </c>
      <c r="Y1512">
        <v>79</v>
      </c>
      <c r="Z1512">
        <v>2</v>
      </c>
      <c r="AC1512">
        <v>1</v>
      </c>
      <c r="AD1512">
        <v>4</v>
      </c>
      <c r="AE1512">
        <v>1</v>
      </c>
      <c r="AF1512">
        <v>0</v>
      </c>
      <c r="AG1512">
        <v>1</v>
      </c>
      <c r="AH1512">
        <v>0</v>
      </c>
      <c r="AI1512">
        <v>0</v>
      </c>
      <c r="AJ1512">
        <v>0</v>
      </c>
      <c r="AK1512">
        <v>2</v>
      </c>
      <c r="AL1512">
        <v>0</v>
      </c>
      <c r="AM1512">
        <v>1</v>
      </c>
      <c r="AN1512">
        <v>0</v>
      </c>
      <c r="BC1512">
        <v>0</v>
      </c>
      <c r="BD1512">
        <v>9</v>
      </c>
      <c r="BE1512">
        <v>440</v>
      </c>
      <c r="BF1512">
        <v>440</v>
      </c>
      <c r="BG1512">
        <v>566</v>
      </c>
      <c r="BJ1512">
        <v>1</v>
      </c>
      <c r="BL1512" t="s">
        <v>3170</v>
      </c>
      <c r="BM1512" s="4">
        <v>43283.171527777777</v>
      </c>
      <c r="BN1512" s="4">
        <v>43283.206446759257</v>
      </c>
      <c r="BO1512" s="4">
        <v>43283.206446759257</v>
      </c>
      <c r="BP1512" t="s">
        <v>92</v>
      </c>
      <c r="BQ1512" t="s">
        <v>93</v>
      </c>
      <c r="BR1512" t="s">
        <v>94</v>
      </c>
    </row>
    <row r="1513" spans="1:70" x14ac:dyDescent="0.3">
      <c r="A1513" t="str">
        <f>"200884E0100"</f>
        <v>200884E0100</v>
      </c>
      <c r="B1513" s="2" t="s">
        <v>3171</v>
      </c>
      <c r="C1513">
        <v>20</v>
      </c>
      <c r="D1513" t="s">
        <v>88</v>
      </c>
      <c r="E1513">
        <v>140</v>
      </c>
      <c r="F1513" t="s">
        <v>3163</v>
      </c>
      <c r="G1513">
        <v>884</v>
      </c>
      <c r="H1513">
        <v>1</v>
      </c>
      <c r="I1513" t="s">
        <v>156</v>
      </c>
      <c r="J1513">
        <v>0</v>
      </c>
      <c r="K1513">
        <v>2</v>
      </c>
      <c r="L1513">
        <v>5</v>
      </c>
      <c r="M1513">
        <v>55</v>
      </c>
      <c r="N1513">
        <v>212</v>
      </c>
      <c r="O1513">
        <v>2</v>
      </c>
      <c r="P1513">
        <v>212</v>
      </c>
      <c r="Q1513">
        <v>71</v>
      </c>
      <c r="R1513">
        <v>79</v>
      </c>
      <c r="S1513">
        <v>31</v>
      </c>
      <c r="T1513">
        <v>0</v>
      </c>
      <c r="U1513">
        <v>3</v>
      </c>
      <c r="V1513">
        <v>5</v>
      </c>
      <c r="W1513">
        <v>2</v>
      </c>
      <c r="X1513">
        <v>0</v>
      </c>
      <c r="Y1513">
        <v>12</v>
      </c>
      <c r="Z1513">
        <v>0</v>
      </c>
      <c r="AC1513">
        <v>0</v>
      </c>
      <c r="AD1513">
        <v>2</v>
      </c>
      <c r="AE1513">
        <v>0</v>
      </c>
      <c r="AF1513">
        <v>0</v>
      </c>
      <c r="AG1513">
        <v>0</v>
      </c>
      <c r="AH1513">
        <v>0</v>
      </c>
      <c r="AI1513">
        <v>0</v>
      </c>
      <c r="AJ1513">
        <v>0</v>
      </c>
      <c r="AK1513">
        <v>0</v>
      </c>
      <c r="AL1513">
        <v>0</v>
      </c>
      <c r="AM1513">
        <v>0</v>
      </c>
      <c r="AN1513">
        <v>2</v>
      </c>
      <c r="BC1513">
        <v>0</v>
      </c>
      <c r="BD1513">
        <v>5</v>
      </c>
      <c r="BE1513">
        <v>212</v>
      </c>
      <c r="BF1513">
        <v>212</v>
      </c>
      <c r="BG1513">
        <v>245</v>
      </c>
      <c r="BJ1513">
        <v>1</v>
      </c>
      <c r="BL1513" t="s">
        <v>3172</v>
      </c>
      <c r="BM1513" s="4">
        <v>43283.165972222225</v>
      </c>
      <c r="BN1513" s="4">
        <v>43283.188379629632</v>
      </c>
      <c r="BO1513" s="4">
        <v>43283.188379629632</v>
      </c>
      <c r="BP1513" t="s">
        <v>92</v>
      </c>
      <c r="BQ1513" t="s">
        <v>93</v>
      </c>
      <c r="BR1513" t="s">
        <v>94</v>
      </c>
    </row>
    <row r="1514" spans="1:70" x14ac:dyDescent="0.3">
      <c r="A1514" t="str">
        <f>"200885B0100"</f>
        <v>200885B0100</v>
      </c>
      <c r="B1514" t="s">
        <v>3173</v>
      </c>
      <c r="C1514">
        <v>20</v>
      </c>
      <c r="D1514" t="s">
        <v>88</v>
      </c>
      <c r="E1514">
        <v>140</v>
      </c>
      <c r="F1514" t="s">
        <v>3163</v>
      </c>
      <c r="G1514">
        <v>885</v>
      </c>
      <c r="H1514">
        <v>1</v>
      </c>
      <c r="I1514" t="s">
        <v>90</v>
      </c>
      <c r="J1514">
        <v>0</v>
      </c>
      <c r="K1514">
        <v>1</v>
      </c>
      <c r="L1514">
        <v>5</v>
      </c>
      <c r="M1514">
        <v>221</v>
      </c>
      <c r="N1514">
        <v>466</v>
      </c>
      <c r="O1514">
        <v>2</v>
      </c>
      <c r="P1514">
        <v>466</v>
      </c>
      <c r="Q1514">
        <v>73</v>
      </c>
      <c r="R1514">
        <v>150</v>
      </c>
      <c r="S1514">
        <v>65</v>
      </c>
      <c r="T1514">
        <v>0</v>
      </c>
      <c r="U1514">
        <v>15</v>
      </c>
      <c r="V1514">
        <v>6</v>
      </c>
      <c r="W1514">
        <v>56</v>
      </c>
      <c r="X1514">
        <v>1</v>
      </c>
      <c r="Y1514">
        <v>82</v>
      </c>
      <c r="Z1514">
        <v>0</v>
      </c>
      <c r="AC1514">
        <v>1</v>
      </c>
      <c r="AD1514">
        <v>0</v>
      </c>
      <c r="AE1514">
        <v>0</v>
      </c>
      <c r="AF1514">
        <v>0</v>
      </c>
      <c r="AG1514">
        <v>0</v>
      </c>
      <c r="AH1514">
        <v>2</v>
      </c>
      <c r="AI1514">
        <v>0</v>
      </c>
      <c r="AJ1514">
        <v>0</v>
      </c>
      <c r="AK1514">
        <v>0</v>
      </c>
      <c r="AL1514">
        <v>1</v>
      </c>
      <c r="AM1514">
        <v>0</v>
      </c>
      <c r="AN1514">
        <v>0</v>
      </c>
      <c r="BC1514" t="s">
        <v>105</v>
      </c>
      <c r="BD1514">
        <v>14</v>
      </c>
      <c r="BE1514">
        <v>466</v>
      </c>
      <c r="BF1514">
        <v>466</v>
      </c>
      <c r="BG1514">
        <v>664</v>
      </c>
      <c r="BI1514" t="s">
        <v>106</v>
      </c>
      <c r="BJ1514">
        <v>1</v>
      </c>
      <c r="BL1514" t="s">
        <v>3174</v>
      </c>
      <c r="BM1514" s="4">
        <v>43283.179166666669</v>
      </c>
      <c r="BN1514" s="4">
        <v>43283.222824074073</v>
      </c>
      <c r="BO1514" s="4">
        <v>43283.222824074073</v>
      </c>
      <c r="BP1514" t="s">
        <v>92</v>
      </c>
      <c r="BQ1514" t="s">
        <v>93</v>
      </c>
      <c r="BR1514" t="s">
        <v>94</v>
      </c>
    </row>
    <row r="1515" spans="1:70" x14ac:dyDescent="0.3">
      <c r="A1515" t="str">
        <f>"200885C0100"</f>
        <v>200885C0100</v>
      </c>
      <c r="B1515" t="s">
        <v>3175</v>
      </c>
      <c r="C1515">
        <v>20</v>
      </c>
      <c r="D1515" t="s">
        <v>88</v>
      </c>
      <c r="E1515">
        <v>140</v>
      </c>
      <c r="F1515" t="s">
        <v>3163</v>
      </c>
      <c r="G1515">
        <v>885</v>
      </c>
      <c r="H1515">
        <v>1</v>
      </c>
      <c r="I1515" t="s">
        <v>98</v>
      </c>
      <c r="J1515">
        <v>0</v>
      </c>
      <c r="K1515">
        <v>1</v>
      </c>
      <c r="L1515">
        <v>5</v>
      </c>
      <c r="M1515">
        <v>194</v>
      </c>
      <c r="N1515">
        <v>478</v>
      </c>
      <c r="O1515">
        <v>1</v>
      </c>
      <c r="P1515">
        <v>478</v>
      </c>
      <c r="Q1515">
        <v>65</v>
      </c>
      <c r="R1515">
        <v>169</v>
      </c>
      <c r="S1515">
        <v>62</v>
      </c>
      <c r="T1515">
        <v>1</v>
      </c>
      <c r="U1515">
        <v>16</v>
      </c>
      <c r="V1515">
        <v>8</v>
      </c>
      <c r="W1515">
        <v>41</v>
      </c>
      <c r="X1515">
        <v>2</v>
      </c>
      <c r="Y1515">
        <v>86</v>
      </c>
      <c r="Z1515">
        <v>2</v>
      </c>
      <c r="AC1515">
        <v>5</v>
      </c>
      <c r="AD1515">
        <v>0</v>
      </c>
      <c r="AE1515">
        <v>0</v>
      </c>
      <c r="AF1515">
        <v>0</v>
      </c>
      <c r="AG1515">
        <v>1</v>
      </c>
      <c r="AH1515">
        <v>0</v>
      </c>
      <c r="AI1515">
        <v>0</v>
      </c>
      <c r="AJ1515">
        <v>5</v>
      </c>
      <c r="AK1515">
        <v>0</v>
      </c>
      <c r="AL1515">
        <v>0</v>
      </c>
      <c r="AM1515">
        <v>0</v>
      </c>
      <c r="AN1515">
        <v>0</v>
      </c>
      <c r="BC1515">
        <v>0</v>
      </c>
      <c r="BD1515">
        <v>15</v>
      </c>
      <c r="BE1515">
        <v>478</v>
      </c>
      <c r="BF1515">
        <v>478</v>
      </c>
      <c r="BG1515">
        <v>664</v>
      </c>
      <c r="BJ1515">
        <v>1</v>
      </c>
      <c r="BL1515" t="s">
        <v>3176</v>
      </c>
      <c r="BM1515" s="4">
        <v>43283.183333333334</v>
      </c>
      <c r="BN1515" s="4">
        <v>43283.247303240743</v>
      </c>
      <c r="BO1515" s="4">
        <v>43283.247303240743</v>
      </c>
      <c r="BP1515" t="s">
        <v>92</v>
      </c>
      <c r="BQ1515" t="s">
        <v>93</v>
      </c>
      <c r="BR1515" t="s">
        <v>94</v>
      </c>
    </row>
    <row r="1516" spans="1:70" x14ac:dyDescent="0.3">
      <c r="A1516" t="str">
        <f>"200886B0100"</f>
        <v>200886B0100</v>
      </c>
      <c r="B1516" t="s">
        <v>3177</v>
      </c>
      <c r="C1516">
        <v>20</v>
      </c>
      <c r="D1516" t="s">
        <v>88</v>
      </c>
      <c r="E1516">
        <v>140</v>
      </c>
      <c r="F1516" t="s">
        <v>3163</v>
      </c>
      <c r="G1516">
        <v>886</v>
      </c>
      <c r="H1516">
        <v>1</v>
      </c>
      <c r="I1516" t="s">
        <v>90</v>
      </c>
      <c r="J1516">
        <v>0</v>
      </c>
      <c r="K1516">
        <v>1</v>
      </c>
      <c r="L1516">
        <v>5</v>
      </c>
      <c r="M1516">
        <v>115</v>
      </c>
      <c r="N1516">
        <v>293</v>
      </c>
      <c r="O1516">
        <v>3</v>
      </c>
      <c r="P1516">
        <v>293</v>
      </c>
      <c r="Q1516">
        <v>45</v>
      </c>
      <c r="R1516">
        <v>109</v>
      </c>
      <c r="S1516">
        <v>35</v>
      </c>
      <c r="T1516">
        <v>1</v>
      </c>
      <c r="U1516">
        <v>3</v>
      </c>
      <c r="V1516">
        <v>2</v>
      </c>
      <c r="W1516">
        <v>41</v>
      </c>
      <c r="X1516">
        <v>1</v>
      </c>
      <c r="Y1516">
        <v>43</v>
      </c>
      <c r="Z1516">
        <v>0</v>
      </c>
      <c r="AC1516">
        <v>0</v>
      </c>
      <c r="AD1516">
        <v>0</v>
      </c>
      <c r="AE1516">
        <v>0</v>
      </c>
      <c r="AF1516">
        <v>0</v>
      </c>
      <c r="AG1516">
        <v>1</v>
      </c>
      <c r="AH1516">
        <v>2</v>
      </c>
      <c r="AI1516">
        <v>0</v>
      </c>
      <c r="AJ1516">
        <v>0</v>
      </c>
      <c r="AK1516">
        <v>3</v>
      </c>
      <c r="AL1516">
        <v>1</v>
      </c>
      <c r="AM1516">
        <v>0</v>
      </c>
      <c r="AN1516">
        <v>0</v>
      </c>
      <c r="BC1516">
        <v>0</v>
      </c>
      <c r="BD1516">
        <v>7</v>
      </c>
      <c r="BE1516">
        <v>293</v>
      </c>
      <c r="BF1516">
        <v>294</v>
      </c>
      <c r="BG1516">
        <v>386</v>
      </c>
      <c r="BJ1516">
        <v>1</v>
      </c>
      <c r="BL1516" t="s">
        <v>3178</v>
      </c>
      <c r="BM1516" s="4">
        <v>43283.186805555553</v>
      </c>
      <c r="BN1516" s="4">
        <v>43283.23574074074</v>
      </c>
      <c r="BO1516" s="4">
        <v>43283.23574074074</v>
      </c>
      <c r="BP1516" t="s">
        <v>92</v>
      </c>
      <c r="BQ1516" t="s">
        <v>93</v>
      </c>
      <c r="BR1516" t="s">
        <v>94</v>
      </c>
    </row>
    <row r="1517" spans="1:70" x14ac:dyDescent="0.3">
      <c r="A1517" t="str">
        <f>"200886C0100"</f>
        <v>200886C0100</v>
      </c>
      <c r="B1517" t="s">
        <v>3179</v>
      </c>
      <c r="C1517">
        <v>20</v>
      </c>
      <c r="D1517" t="s">
        <v>88</v>
      </c>
      <c r="E1517">
        <v>140</v>
      </c>
      <c r="F1517" t="s">
        <v>3163</v>
      </c>
      <c r="G1517">
        <v>886</v>
      </c>
      <c r="H1517">
        <v>1</v>
      </c>
      <c r="I1517" t="s">
        <v>98</v>
      </c>
      <c r="J1517">
        <v>0</v>
      </c>
      <c r="K1517">
        <v>1</v>
      </c>
      <c r="L1517">
        <v>5</v>
      </c>
      <c r="M1517">
        <v>108</v>
      </c>
      <c r="N1517">
        <v>297</v>
      </c>
      <c r="O1517">
        <v>2</v>
      </c>
      <c r="P1517">
        <v>297</v>
      </c>
      <c r="Q1517">
        <v>55</v>
      </c>
      <c r="R1517">
        <v>85</v>
      </c>
      <c r="S1517">
        <v>39</v>
      </c>
      <c r="T1517">
        <v>0</v>
      </c>
      <c r="U1517">
        <v>9</v>
      </c>
      <c r="V1517">
        <v>6</v>
      </c>
      <c r="W1517">
        <v>40</v>
      </c>
      <c r="X1517">
        <v>0</v>
      </c>
      <c r="Y1517">
        <v>50</v>
      </c>
      <c r="Z1517">
        <v>1</v>
      </c>
      <c r="AC1517">
        <v>1</v>
      </c>
      <c r="AD1517">
        <v>1</v>
      </c>
      <c r="AE1517">
        <v>0</v>
      </c>
      <c r="AF1517">
        <v>0</v>
      </c>
      <c r="AG1517">
        <v>0</v>
      </c>
      <c r="AH1517">
        <v>1</v>
      </c>
      <c r="AI1517">
        <v>0</v>
      </c>
      <c r="AJ1517">
        <v>0</v>
      </c>
      <c r="AK1517">
        <v>0</v>
      </c>
      <c r="AL1517">
        <v>0</v>
      </c>
      <c r="AM1517">
        <v>0</v>
      </c>
      <c r="AN1517">
        <v>0</v>
      </c>
      <c r="BC1517" t="s">
        <v>105</v>
      </c>
      <c r="BD1517">
        <v>9</v>
      </c>
      <c r="BE1517">
        <v>297</v>
      </c>
      <c r="BF1517">
        <v>297</v>
      </c>
      <c r="BG1517">
        <v>386</v>
      </c>
      <c r="BI1517" t="s">
        <v>106</v>
      </c>
      <c r="BJ1517">
        <v>1</v>
      </c>
      <c r="BL1517" t="s">
        <v>3180</v>
      </c>
      <c r="BM1517" s="4">
        <v>43283.188888888886</v>
      </c>
      <c r="BN1517" s="4">
        <v>43283.250069444446</v>
      </c>
      <c r="BO1517" s="4">
        <v>43283.250069444446</v>
      </c>
      <c r="BP1517" t="s">
        <v>92</v>
      </c>
      <c r="BQ1517" t="s">
        <v>93</v>
      </c>
      <c r="BR1517" t="s">
        <v>94</v>
      </c>
    </row>
    <row r="1518" spans="1:70" x14ac:dyDescent="0.3">
      <c r="A1518" t="str">
        <f>"200887B0100"</f>
        <v>200887B0100</v>
      </c>
      <c r="B1518" t="s">
        <v>3181</v>
      </c>
      <c r="C1518">
        <v>20</v>
      </c>
      <c r="D1518" t="s">
        <v>88</v>
      </c>
      <c r="E1518">
        <v>140</v>
      </c>
      <c r="F1518" t="s">
        <v>3163</v>
      </c>
      <c r="G1518">
        <v>887</v>
      </c>
      <c r="H1518">
        <v>1</v>
      </c>
      <c r="I1518" t="s">
        <v>90</v>
      </c>
      <c r="J1518">
        <v>0</v>
      </c>
      <c r="K1518">
        <v>1</v>
      </c>
      <c r="L1518">
        <v>5</v>
      </c>
      <c r="M1518">
        <v>179</v>
      </c>
      <c r="N1518">
        <v>464</v>
      </c>
      <c r="O1518">
        <v>2</v>
      </c>
      <c r="P1518" t="s">
        <v>105</v>
      </c>
      <c r="Q1518">
        <v>56</v>
      </c>
      <c r="R1518">
        <v>141</v>
      </c>
      <c r="S1518">
        <v>49</v>
      </c>
      <c r="T1518">
        <v>2</v>
      </c>
      <c r="U1518">
        <v>13</v>
      </c>
      <c r="V1518">
        <v>3</v>
      </c>
      <c r="W1518">
        <v>70</v>
      </c>
      <c r="X1518">
        <v>3</v>
      </c>
      <c r="Y1518">
        <v>90</v>
      </c>
      <c r="Z1518">
        <v>4</v>
      </c>
      <c r="AC1518">
        <v>3</v>
      </c>
      <c r="AD1518">
        <v>0</v>
      </c>
      <c r="AE1518">
        <v>2</v>
      </c>
      <c r="AF1518" t="s">
        <v>105</v>
      </c>
      <c r="AG1518">
        <v>3</v>
      </c>
      <c r="AH1518">
        <v>2</v>
      </c>
      <c r="AI1518">
        <v>2</v>
      </c>
      <c r="AJ1518" t="s">
        <v>105</v>
      </c>
      <c r="AK1518">
        <v>2</v>
      </c>
      <c r="AL1518">
        <v>3</v>
      </c>
      <c r="AM1518" t="s">
        <v>105</v>
      </c>
      <c r="AN1518" t="s">
        <v>105</v>
      </c>
      <c r="BC1518" t="s">
        <v>105</v>
      </c>
      <c r="BD1518">
        <v>21</v>
      </c>
      <c r="BE1518">
        <v>469</v>
      </c>
      <c r="BF1518">
        <v>469</v>
      </c>
      <c r="BG1518">
        <v>627</v>
      </c>
      <c r="BI1518" t="s">
        <v>106</v>
      </c>
      <c r="BJ1518">
        <v>1</v>
      </c>
      <c r="BL1518" t="s">
        <v>3182</v>
      </c>
      <c r="BM1518" s="4">
        <v>43283.17291666667</v>
      </c>
      <c r="BN1518" s="4">
        <v>43283.211342592593</v>
      </c>
      <c r="BO1518" s="4">
        <v>43283.211342592593</v>
      </c>
      <c r="BP1518" t="s">
        <v>92</v>
      </c>
      <c r="BQ1518" t="s">
        <v>93</v>
      </c>
      <c r="BR1518" t="s">
        <v>94</v>
      </c>
    </row>
    <row r="1519" spans="1:70" x14ac:dyDescent="0.3">
      <c r="A1519" t="str">
        <f>"200887E0100"</f>
        <v>200887E0100</v>
      </c>
      <c r="B1519" s="2" t="s">
        <v>3183</v>
      </c>
      <c r="C1519">
        <v>20</v>
      </c>
      <c r="D1519" t="s">
        <v>88</v>
      </c>
      <c r="E1519">
        <v>140</v>
      </c>
      <c r="F1519" t="s">
        <v>3163</v>
      </c>
      <c r="G1519">
        <v>887</v>
      </c>
      <c r="H1519">
        <v>1</v>
      </c>
      <c r="I1519" t="s">
        <v>156</v>
      </c>
      <c r="J1519">
        <v>0</v>
      </c>
      <c r="K1519">
        <v>2</v>
      </c>
      <c r="L1519">
        <v>5</v>
      </c>
      <c r="M1519">
        <v>166</v>
      </c>
      <c r="N1519">
        <v>546</v>
      </c>
      <c r="O1519">
        <v>3</v>
      </c>
      <c r="P1519">
        <v>546</v>
      </c>
      <c r="Q1519">
        <v>193</v>
      </c>
      <c r="R1519">
        <v>172</v>
      </c>
      <c r="S1519">
        <v>36</v>
      </c>
      <c r="T1519" t="s">
        <v>127</v>
      </c>
      <c r="U1519">
        <v>10</v>
      </c>
      <c r="V1519">
        <v>18</v>
      </c>
      <c r="W1519">
        <v>54</v>
      </c>
      <c r="X1519">
        <v>2</v>
      </c>
      <c r="Y1519">
        <v>47</v>
      </c>
      <c r="Z1519" t="s">
        <v>105</v>
      </c>
      <c r="AC1519" t="s">
        <v>105</v>
      </c>
      <c r="AD1519">
        <v>4</v>
      </c>
      <c r="AE1519">
        <v>1</v>
      </c>
      <c r="AF1519" t="s">
        <v>105</v>
      </c>
      <c r="AG1519" t="s">
        <v>105</v>
      </c>
      <c r="AH1519" t="s">
        <v>105</v>
      </c>
      <c r="AI1519" t="s">
        <v>105</v>
      </c>
      <c r="AJ1519">
        <v>1</v>
      </c>
      <c r="AK1519" t="s">
        <v>105</v>
      </c>
      <c r="AL1519" t="s">
        <v>105</v>
      </c>
      <c r="AM1519" t="s">
        <v>105</v>
      </c>
      <c r="AN1519" t="s">
        <v>105</v>
      </c>
      <c r="BC1519" t="s">
        <v>105</v>
      </c>
      <c r="BD1519">
        <v>8</v>
      </c>
      <c r="BE1519">
        <v>546</v>
      </c>
      <c r="BF1519">
        <v>546</v>
      </c>
      <c r="BG1519">
        <v>690</v>
      </c>
      <c r="BI1519" t="s">
        <v>106</v>
      </c>
      <c r="BJ1519">
        <v>1</v>
      </c>
      <c r="BL1519" t="s">
        <v>3184</v>
      </c>
      <c r="BM1519" s="4">
        <v>43283.125</v>
      </c>
      <c r="BN1519" s="4">
        <v>43283.157118055555</v>
      </c>
      <c r="BO1519" s="4">
        <v>43283.157118055555</v>
      </c>
      <c r="BP1519" t="s">
        <v>92</v>
      </c>
      <c r="BQ1519" t="s">
        <v>93</v>
      </c>
      <c r="BR1519" t="s">
        <v>94</v>
      </c>
    </row>
    <row r="1520" spans="1:70" x14ac:dyDescent="0.3">
      <c r="A1520" t="str">
        <f>"200888B0100"</f>
        <v>200888B0100</v>
      </c>
      <c r="B1520" t="s">
        <v>3185</v>
      </c>
      <c r="C1520">
        <v>20</v>
      </c>
      <c r="D1520" t="s">
        <v>88</v>
      </c>
      <c r="E1520">
        <v>140</v>
      </c>
      <c r="F1520" t="s">
        <v>3163</v>
      </c>
      <c r="G1520">
        <v>888</v>
      </c>
      <c r="H1520">
        <v>1</v>
      </c>
      <c r="I1520" t="s">
        <v>90</v>
      </c>
      <c r="J1520">
        <v>0</v>
      </c>
      <c r="K1520">
        <v>2</v>
      </c>
      <c r="L1520">
        <v>5</v>
      </c>
      <c r="M1520">
        <v>39</v>
      </c>
      <c r="N1520">
        <v>179</v>
      </c>
      <c r="O1520">
        <v>3</v>
      </c>
      <c r="P1520">
        <v>179</v>
      </c>
      <c r="Q1520">
        <v>60</v>
      </c>
      <c r="R1520">
        <v>78</v>
      </c>
      <c r="S1520">
        <v>22</v>
      </c>
      <c r="T1520">
        <v>3</v>
      </c>
      <c r="U1520">
        <v>2</v>
      </c>
      <c r="V1520" t="s">
        <v>105</v>
      </c>
      <c r="W1520">
        <v>8</v>
      </c>
      <c r="X1520" t="s">
        <v>105</v>
      </c>
      <c r="Y1520">
        <v>2</v>
      </c>
      <c r="Z1520" t="s">
        <v>105</v>
      </c>
      <c r="AC1520" t="s">
        <v>105</v>
      </c>
      <c r="AD1520" t="s">
        <v>105</v>
      </c>
      <c r="AE1520" t="s">
        <v>105</v>
      </c>
      <c r="AF1520" t="s">
        <v>105</v>
      </c>
      <c r="AG1520" t="s">
        <v>105</v>
      </c>
      <c r="AH1520" t="s">
        <v>105</v>
      </c>
      <c r="AI1520" t="s">
        <v>105</v>
      </c>
      <c r="AJ1520" t="s">
        <v>105</v>
      </c>
      <c r="AK1520" t="s">
        <v>105</v>
      </c>
      <c r="AL1520" t="s">
        <v>105</v>
      </c>
      <c r="AM1520" t="s">
        <v>105</v>
      </c>
      <c r="AN1520" t="s">
        <v>105</v>
      </c>
      <c r="BC1520" t="s">
        <v>105</v>
      </c>
      <c r="BD1520">
        <v>4</v>
      </c>
      <c r="BE1520">
        <v>179</v>
      </c>
      <c r="BF1520">
        <v>179</v>
      </c>
      <c r="BG1520">
        <v>196</v>
      </c>
      <c r="BI1520" t="s">
        <v>106</v>
      </c>
      <c r="BJ1520">
        <v>1</v>
      </c>
      <c r="BL1520" t="s">
        <v>3186</v>
      </c>
      <c r="BM1520" s="4">
        <v>43283.123611111114</v>
      </c>
      <c r="BN1520" s="4">
        <v>43283.152187500003</v>
      </c>
      <c r="BO1520" s="4">
        <v>43283.152187500003</v>
      </c>
      <c r="BP1520" t="s">
        <v>92</v>
      </c>
      <c r="BQ1520" t="s">
        <v>93</v>
      </c>
      <c r="BR1520" t="s">
        <v>94</v>
      </c>
    </row>
    <row r="1521" spans="1:70" x14ac:dyDescent="0.3">
      <c r="A1521" t="str">
        <f>"200889B0100"</f>
        <v>200889B0100</v>
      </c>
      <c r="B1521" t="s">
        <v>3187</v>
      </c>
      <c r="C1521">
        <v>20</v>
      </c>
      <c r="D1521" t="s">
        <v>88</v>
      </c>
      <c r="E1521">
        <v>140</v>
      </c>
      <c r="F1521" t="s">
        <v>3163</v>
      </c>
      <c r="G1521">
        <v>889</v>
      </c>
      <c r="H1521">
        <v>1</v>
      </c>
      <c r="I1521" t="s">
        <v>90</v>
      </c>
      <c r="J1521">
        <v>0</v>
      </c>
      <c r="K1521">
        <v>2</v>
      </c>
      <c r="L1521">
        <v>5</v>
      </c>
      <c r="M1521">
        <v>368</v>
      </c>
      <c r="N1521">
        <v>368</v>
      </c>
      <c r="O1521">
        <v>2</v>
      </c>
      <c r="P1521">
        <v>371</v>
      </c>
      <c r="Q1521">
        <v>60</v>
      </c>
      <c r="R1521">
        <v>144</v>
      </c>
      <c r="S1521">
        <v>88</v>
      </c>
      <c r="T1521">
        <v>0</v>
      </c>
      <c r="U1521">
        <v>3</v>
      </c>
      <c r="V1521">
        <v>1</v>
      </c>
      <c r="W1521">
        <v>60</v>
      </c>
      <c r="X1521">
        <v>1</v>
      </c>
      <c r="Y1521">
        <v>4</v>
      </c>
      <c r="Z1521">
        <v>0</v>
      </c>
      <c r="AC1521">
        <v>0</v>
      </c>
      <c r="AD1521">
        <v>0</v>
      </c>
      <c r="AE1521">
        <v>0</v>
      </c>
      <c r="AF1521">
        <v>0</v>
      </c>
      <c r="AG1521">
        <v>0</v>
      </c>
      <c r="AH1521">
        <v>0</v>
      </c>
      <c r="AI1521">
        <v>0</v>
      </c>
      <c r="AJ1521">
        <v>0</v>
      </c>
      <c r="AK1521">
        <v>0</v>
      </c>
      <c r="AL1521">
        <v>0</v>
      </c>
      <c r="AM1521">
        <v>0</v>
      </c>
      <c r="AN1521">
        <v>0</v>
      </c>
      <c r="BC1521">
        <v>0</v>
      </c>
      <c r="BD1521">
        <v>9</v>
      </c>
      <c r="BE1521">
        <v>371</v>
      </c>
      <c r="BF1521">
        <v>370</v>
      </c>
      <c r="BG1521">
        <v>422</v>
      </c>
      <c r="BJ1521">
        <v>1</v>
      </c>
      <c r="BL1521" t="s">
        <v>3188</v>
      </c>
      <c r="BM1521" s="4">
        <v>43283.076388888891</v>
      </c>
      <c r="BN1521" s="4">
        <v>43283.086423611108</v>
      </c>
      <c r="BO1521" s="4">
        <v>43283.086423611108</v>
      </c>
      <c r="BP1521" t="s">
        <v>92</v>
      </c>
      <c r="BQ1521" t="s">
        <v>93</v>
      </c>
      <c r="BR1521" t="s">
        <v>94</v>
      </c>
    </row>
    <row r="1522" spans="1:70" x14ac:dyDescent="0.3">
      <c r="A1522" t="str">
        <f>"200889C0100"</f>
        <v>200889C0100</v>
      </c>
      <c r="B1522" t="s">
        <v>3189</v>
      </c>
      <c r="C1522">
        <v>20</v>
      </c>
      <c r="D1522" t="s">
        <v>88</v>
      </c>
      <c r="E1522">
        <v>140</v>
      </c>
      <c r="F1522" t="s">
        <v>3163</v>
      </c>
      <c r="G1522">
        <v>889</v>
      </c>
      <c r="H1522">
        <v>1</v>
      </c>
      <c r="I1522" t="s">
        <v>98</v>
      </c>
      <c r="J1522">
        <v>0</v>
      </c>
      <c r="K1522">
        <v>2</v>
      </c>
      <c r="L1522">
        <v>5</v>
      </c>
      <c r="BG1522">
        <v>422</v>
      </c>
      <c r="BI1522" t="s">
        <v>407</v>
      </c>
      <c r="BJ1522">
        <v>0</v>
      </c>
      <c r="BL1522" t="s">
        <v>3190</v>
      </c>
      <c r="BM1522" s="4">
        <v>43283.076388888891</v>
      </c>
      <c r="BN1522" s="4">
        <v>43283.097905092596</v>
      </c>
      <c r="BO1522" s="4">
        <v>43283.097905092596</v>
      </c>
      <c r="BP1522" t="s">
        <v>92</v>
      </c>
      <c r="BQ1522" t="s">
        <v>93</v>
      </c>
      <c r="BR1522" t="s">
        <v>94</v>
      </c>
    </row>
    <row r="1523" spans="1:70" x14ac:dyDescent="0.3">
      <c r="A1523" t="str">
        <f>"200890B0100"</f>
        <v>200890B0100</v>
      </c>
      <c r="B1523" t="s">
        <v>3191</v>
      </c>
      <c r="C1523">
        <v>20</v>
      </c>
      <c r="D1523" t="s">
        <v>88</v>
      </c>
      <c r="E1523">
        <v>140</v>
      </c>
      <c r="F1523" t="s">
        <v>3163</v>
      </c>
      <c r="G1523">
        <v>890</v>
      </c>
      <c r="H1523">
        <v>1</v>
      </c>
      <c r="I1523" t="s">
        <v>90</v>
      </c>
      <c r="J1523">
        <v>0</v>
      </c>
      <c r="K1523">
        <v>2</v>
      </c>
      <c r="L1523">
        <v>5</v>
      </c>
      <c r="M1523">
        <v>59</v>
      </c>
      <c r="N1523">
        <v>52</v>
      </c>
      <c r="O1523">
        <v>3</v>
      </c>
      <c r="P1523">
        <v>52</v>
      </c>
      <c r="Q1523">
        <v>7</v>
      </c>
      <c r="R1523">
        <v>7</v>
      </c>
      <c r="S1523">
        <v>5</v>
      </c>
      <c r="T1523">
        <v>0</v>
      </c>
      <c r="U1523">
        <v>5</v>
      </c>
      <c r="V1523">
        <v>0</v>
      </c>
      <c r="W1523">
        <v>21</v>
      </c>
      <c r="X1523">
        <v>1</v>
      </c>
      <c r="Y1523">
        <v>4</v>
      </c>
      <c r="Z1523">
        <v>2</v>
      </c>
      <c r="AC1523">
        <v>0</v>
      </c>
      <c r="AD1523">
        <v>0</v>
      </c>
      <c r="AE1523">
        <v>0</v>
      </c>
      <c r="AF1523">
        <v>0</v>
      </c>
      <c r="AG1523">
        <v>0</v>
      </c>
      <c r="AH1523">
        <v>0</v>
      </c>
      <c r="AI1523">
        <v>0</v>
      </c>
      <c r="AJ1523">
        <v>0</v>
      </c>
      <c r="AK1523">
        <v>0</v>
      </c>
      <c r="AL1523">
        <v>0</v>
      </c>
      <c r="AM1523">
        <v>0</v>
      </c>
      <c r="AN1523">
        <v>0</v>
      </c>
      <c r="BC1523">
        <v>0</v>
      </c>
      <c r="BD1523">
        <v>0</v>
      </c>
      <c r="BE1523">
        <v>52</v>
      </c>
      <c r="BF1523">
        <v>52</v>
      </c>
      <c r="BG1523">
        <v>90</v>
      </c>
      <c r="BJ1523">
        <v>1</v>
      </c>
      <c r="BL1523" t="s">
        <v>3192</v>
      </c>
      <c r="BM1523" s="4">
        <v>43282.927083333336</v>
      </c>
      <c r="BN1523" s="4">
        <v>43282.941469907404</v>
      </c>
      <c r="BO1523" s="4">
        <v>43282.941469907404</v>
      </c>
      <c r="BP1523" t="s">
        <v>92</v>
      </c>
      <c r="BQ1523" t="s">
        <v>93</v>
      </c>
      <c r="BR1523" t="s">
        <v>94</v>
      </c>
    </row>
    <row r="1524" spans="1:70" x14ac:dyDescent="0.3">
      <c r="A1524" t="str">
        <f>"200900B0100"</f>
        <v>200900B0100</v>
      </c>
      <c r="B1524" t="s">
        <v>3193</v>
      </c>
      <c r="C1524">
        <v>20</v>
      </c>
      <c r="D1524" t="s">
        <v>88</v>
      </c>
      <c r="E1524">
        <v>147</v>
      </c>
      <c r="F1524" t="s">
        <v>3194</v>
      </c>
      <c r="G1524">
        <v>900</v>
      </c>
      <c r="H1524">
        <v>1</v>
      </c>
      <c r="I1524" t="s">
        <v>90</v>
      </c>
      <c r="J1524">
        <v>0</v>
      </c>
      <c r="K1524">
        <v>2</v>
      </c>
      <c r="L1524">
        <v>5</v>
      </c>
      <c r="M1524">
        <v>207</v>
      </c>
      <c r="N1524">
        <v>520</v>
      </c>
      <c r="O1524">
        <v>2</v>
      </c>
      <c r="P1524">
        <v>518</v>
      </c>
      <c r="Q1524">
        <v>2</v>
      </c>
      <c r="R1524">
        <v>88</v>
      </c>
      <c r="S1524">
        <v>20</v>
      </c>
      <c r="T1524">
        <v>4</v>
      </c>
      <c r="U1524">
        <v>61</v>
      </c>
      <c r="V1524">
        <v>0</v>
      </c>
      <c r="W1524">
        <v>72</v>
      </c>
      <c r="X1524">
        <v>15</v>
      </c>
      <c r="Y1524">
        <v>20</v>
      </c>
      <c r="Z1524">
        <v>1</v>
      </c>
      <c r="AA1524">
        <v>165</v>
      </c>
      <c r="AB1524">
        <v>33</v>
      </c>
      <c r="AC1524">
        <v>0</v>
      </c>
      <c r="AD1524">
        <v>0</v>
      </c>
      <c r="AE1524">
        <v>0</v>
      </c>
      <c r="AF1524">
        <v>0</v>
      </c>
      <c r="AK1524">
        <v>0</v>
      </c>
      <c r="AL1524">
        <v>5</v>
      </c>
      <c r="AM1524">
        <v>0</v>
      </c>
      <c r="AN1524">
        <v>0</v>
      </c>
      <c r="AT1524">
        <v>5</v>
      </c>
      <c r="BC1524">
        <v>13</v>
      </c>
      <c r="BD1524">
        <v>14</v>
      </c>
      <c r="BE1524">
        <v>518</v>
      </c>
      <c r="BF1524">
        <v>518</v>
      </c>
      <c r="BG1524">
        <v>703</v>
      </c>
      <c r="BJ1524">
        <v>1</v>
      </c>
      <c r="BL1524" t="s">
        <v>3195</v>
      </c>
      <c r="BM1524" s="4">
        <v>43283.098611111112</v>
      </c>
      <c r="BN1524" s="4">
        <v>43283.102152777778</v>
      </c>
      <c r="BO1524" s="4">
        <v>43283.102152777778</v>
      </c>
      <c r="BP1524" t="s">
        <v>92</v>
      </c>
      <c r="BQ1524" t="s">
        <v>93</v>
      </c>
      <c r="BR1524" t="s">
        <v>94</v>
      </c>
    </row>
    <row r="1525" spans="1:70" x14ac:dyDescent="0.3">
      <c r="A1525" t="str">
        <f>"200900C0100"</f>
        <v>200900C0100</v>
      </c>
      <c r="B1525" t="s">
        <v>3196</v>
      </c>
      <c r="C1525">
        <v>20</v>
      </c>
      <c r="D1525" t="s">
        <v>88</v>
      </c>
      <c r="E1525">
        <v>147</v>
      </c>
      <c r="F1525" t="s">
        <v>3194</v>
      </c>
      <c r="G1525">
        <v>900</v>
      </c>
      <c r="H1525">
        <v>1</v>
      </c>
      <c r="I1525" t="s">
        <v>98</v>
      </c>
      <c r="J1525">
        <v>0</v>
      </c>
      <c r="K1525">
        <v>2</v>
      </c>
      <c r="L1525">
        <v>5</v>
      </c>
      <c r="M1525">
        <v>200</v>
      </c>
      <c r="N1525">
        <v>525</v>
      </c>
      <c r="O1525">
        <v>0</v>
      </c>
      <c r="P1525">
        <v>525</v>
      </c>
      <c r="Q1525">
        <v>2</v>
      </c>
      <c r="R1525">
        <v>92</v>
      </c>
      <c r="S1525">
        <v>28</v>
      </c>
      <c r="T1525">
        <v>6</v>
      </c>
      <c r="U1525">
        <v>73</v>
      </c>
      <c r="V1525">
        <v>0</v>
      </c>
      <c r="W1525">
        <v>54</v>
      </c>
      <c r="X1525">
        <v>14</v>
      </c>
      <c r="Y1525">
        <v>17</v>
      </c>
      <c r="Z1525">
        <v>0</v>
      </c>
      <c r="AA1525">
        <v>139</v>
      </c>
      <c r="AB1525">
        <v>27</v>
      </c>
      <c r="AC1525">
        <v>0</v>
      </c>
      <c r="AD1525">
        <v>1</v>
      </c>
      <c r="AE1525">
        <v>0</v>
      </c>
      <c r="AF1525">
        <v>0</v>
      </c>
      <c r="AK1525">
        <v>4</v>
      </c>
      <c r="AL1525">
        <v>4</v>
      </c>
      <c r="AM1525">
        <v>0</v>
      </c>
      <c r="AN1525">
        <v>0</v>
      </c>
      <c r="AT1525">
        <v>4</v>
      </c>
      <c r="BC1525">
        <v>36</v>
      </c>
      <c r="BD1525">
        <v>24</v>
      </c>
      <c r="BE1525">
        <v>525</v>
      </c>
      <c r="BF1525">
        <v>525</v>
      </c>
      <c r="BG1525">
        <v>703</v>
      </c>
      <c r="BJ1525">
        <v>1</v>
      </c>
      <c r="BL1525" t="s">
        <v>3197</v>
      </c>
      <c r="BM1525" s="4">
        <v>43283.095138888886</v>
      </c>
      <c r="BN1525" s="4">
        <v>43283.100624999999</v>
      </c>
      <c r="BO1525" s="4">
        <v>43283.100624999999</v>
      </c>
      <c r="BP1525" t="s">
        <v>92</v>
      </c>
      <c r="BQ1525" t="s">
        <v>93</v>
      </c>
      <c r="BR1525" t="s">
        <v>94</v>
      </c>
    </row>
    <row r="1526" spans="1:70" x14ac:dyDescent="0.3">
      <c r="A1526" t="str">
        <f>"200900C0200"</f>
        <v>200900C0200</v>
      </c>
      <c r="B1526" t="s">
        <v>3198</v>
      </c>
      <c r="C1526">
        <v>20</v>
      </c>
      <c r="D1526" t="s">
        <v>88</v>
      </c>
      <c r="E1526">
        <v>147</v>
      </c>
      <c r="F1526" t="s">
        <v>3194</v>
      </c>
      <c r="G1526">
        <v>900</v>
      </c>
      <c r="H1526">
        <v>2</v>
      </c>
      <c r="I1526" t="s">
        <v>98</v>
      </c>
      <c r="J1526">
        <v>0</v>
      </c>
      <c r="K1526">
        <v>2</v>
      </c>
      <c r="L1526">
        <v>5</v>
      </c>
      <c r="M1526">
        <v>196</v>
      </c>
      <c r="N1526">
        <v>528</v>
      </c>
      <c r="O1526">
        <v>0</v>
      </c>
      <c r="P1526">
        <v>528</v>
      </c>
      <c r="Q1526">
        <v>2</v>
      </c>
      <c r="R1526">
        <v>95</v>
      </c>
      <c r="S1526">
        <v>30</v>
      </c>
      <c r="T1526">
        <v>5</v>
      </c>
      <c r="U1526">
        <v>53</v>
      </c>
      <c r="V1526">
        <v>3</v>
      </c>
      <c r="W1526">
        <v>53</v>
      </c>
      <c r="X1526">
        <v>22</v>
      </c>
      <c r="Y1526">
        <v>31</v>
      </c>
      <c r="Z1526">
        <v>1</v>
      </c>
      <c r="AA1526">
        <v>166</v>
      </c>
      <c r="AB1526">
        <v>26</v>
      </c>
      <c r="AC1526">
        <v>0</v>
      </c>
      <c r="AD1526">
        <v>0</v>
      </c>
      <c r="AE1526">
        <v>0</v>
      </c>
      <c r="AF1526">
        <v>0</v>
      </c>
      <c r="AK1526">
        <v>1</v>
      </c>
      <c r="AL1526">
        <v>2</v>
      </c>
      <c r="AM1526">
        <v>0</v>
      </c>
      <c r="AN1526">
        <v>0</v>
      </c>
      <c r="AT1526">
        <v>3</v>
      </c>
      <c r="BC1526">
        <v>5</v>
      </c>
      <c r="BD1526">
        <v>30</v>
      </c>
      <c r="BE1526">
        <v>528</v>
      </c>
      <c r="BF1526">
        <v>528</v>
      </c>
      <c r="BG1526">
        <v>702</v>
      </c>
      <c r="BJ1526">
        <v>1</v>
      </c>
      <c r="BL1526" t="s">
        <v>3199</v>
      </c>
      <c r="BM1526" s="4">
        <v>43283.095833333333</v>
      </c>
      <c r="BN1526" s="4">
        <v>43283.101400462961</v>
      </c>
      <c r="BO1526" s="4">
        <v>43283.101400462961</v>
      </c>
      <c r="BP1526" t="s">
        <v>92</v>
      </c>
      <c r="BQ1526" t="s">
        <v>93</v>
      </c>
      <c r="BR1526" t="s">
        <v>94</v>
      </c>
    </row>
    <row r="1527" spans="1:70" x14ac:dyDescent="0.3">
      <c r="A1527" t="str">
        <f>"200901B0100"</f>
        <v>200901B0100</v>
      </c>
      <c r="B1527" t="s">
        <v>3200</v>
      </c>
      <c r="C1527">
        <v>20</v>
      </c>
      <c r="D1527" t="s">
        <v>88</v>
      </c>
      <c r="E1527">
        <v>147</v>
      </c>
      <c r="F1527" t="s">
        <v>3194</v>
      </c>
      <c r="G1527">
        <v>901</v>
      </c>
      <c r="H1527">
        <v>1</v>
      </c>
      <c r="I1527" t="s">
        <v>90</v>
      </c>
      <c r="J1527">
        <v>0</v>
      </c>
      <c r="K1527">
        <v>2</v>
      </c>
      <c r="L1527">
        <v>5</v>
      </c>
      <c r="M1527">
        <v>157</v>
      </c>
      <c r="N1527">
        <v>480</v>
      </c>
      <c r="O1527">
        <v>1</v>
      </c>
      <c r="P1527">
        <v>480</v>
      </c>
      <c r="Q1527">
        <v>4</v>
      </c>
      <c r="R1527">
        <v>102</v>
      </c>
      <c r="S1527">
        <v>16</v>
      </c>
      <c r="T1527">
        <v>2</v>
      </c>
      <c r="U1527">
        <v>93</v>
      </c>
      <c r="V1527">
        <v>0</v>
      </c>
      <c r="W1527">
        <v>48</v>
      </c>
      <c r="X1527">
        <v>24</v>
      </c>
      <c r="Y1527">
        <v>23</v>
      </c>
      <c r="Z1527">
        <v>0</v>
      </c>
      <c r="AA1527">
        <v>102</v>
      </c>
      <c r="AB1527">
        <v>15</v>
      </c>
      <c r="AC1527">
        <v>1</v>
      </c>
      <c r="AD1527">
        <v>0</v>
      </c>
      <c r="AE1527">
        <v>0</v>
      </c>
      <c r="AF1527">
        <v>0</v>
      </c>
      <c r="AK1527">
        <v>3</v>
      </c>
      <c r="AL1527">
        <v>2</v>
      </c>
      <c r="AM1527">
        <v>0</v>
      </c>
      <c r="AN1527">
        <v>0</v>
      </c>
      <c r="AT1527">
        <v>4</v>
      </c>
      <c r="BC1527">
        <v>12</v>
      </c>
      <c r="BD1527">
        <v>29</v>
      </c>
      <c r="BE1527">
        <v>480</v>
      </c>
      <c r="BF1527">
        <v>480</v>
      </c>
      <c r="BG1527">
        <v>615</v>
      </c>
      <c r="BJ1527">
        <v>1</v>
      </c>
      <c r="BL1527" t="s">
        <v>3201</v>
      </c>
      <c r="BM1527" s="4">
        <v>43283.116666666669</v>
      </c>
      <c r="BN1527" s="4">
        <v>43283.128576388888</v>
      </c>
      <c r="BO1527" s="4">
        <v>43283.128576388888</v>
      </c>
      <c r="BP1527" t="s">
        <v>92</v>
      </c>
      <c r="BQ1527" t="s">
        <v>93</v>
      </c>
      <c r="BR1527" t="s">
        <v>94</v>
      </c>
    </row>
    <row r="1528" spans="1:70" x14ac:dyDescent="0.3">
      <c r="A1528" t="str">
        <f>"200901C0100"</f>
        <v>200901C0100</v>
      </c>
      <c r="B1528" t="s">
        <v>3202</v>
      </c>
      <c r="C1528">
        <v>20</v>
      </c>
      <c r="D1528" t="s">
        <v>88</v>
      </c>
      <c r="E1528">
        <v>147</v>
      </c>
      <c r="F1528" t="s">
        <v>3194</v>
      </c>
      <c r="G1528">
        <v>901</v>
      </c>
      <c r="H1528">
        <v>1</v>
      </c>
      <c r="I1528" t="s">
        <v>98</v>
      </c>
      <c r="J1528">
        <v>0</v>
      </c>
      <c r="K1528">
        <v>2</v>
      </c>
      <c r="L1528">
        <v>5</v>
      </c>
      <c r="M1528">
        <v>175</v>
      </c>
      <c r="N1528">
        <v>462</v>
      </c>
      <c r="O1528">
        <v>0</v>
      </c>
      <c r="P1528" t="s">
        <v>105</v>
      </c>
      <c r="Q1528">
        <v>8</v>
      </c>
      <c r="R1528">
        <v>100</v>
      </c>
      <c r="S1528">
        <v>13</v>
      </c>
      <c r="T1528">
        <v>6</v>
      </c>
      <c r="U1528">
        <v>62</v>
      </c>
      <c r="V1528">
        <v>0</v>
      </c>
      <c r="W1528">
        <v>57</v>
      </c>
      <c r="X1528">
        <v>18</v>
      </c>
      <c r="Y1528">
        <v>16</v>
      </c>
      <c r="Z1528">
        <v>2</v>
      </c>
      <c r="AA1528">
        <v>125</v>
      </c>
      <c r="AB1528">
        <v>12</v>
      </c>
      <c r="AC1528">
        <v>0</v>
      </c>
      <c r="AD1528">
        <v>1</v>
      </c>
      <c r="AE1528">
        <v>0</v>
      </c>
      <c r="AF1528">
        <v>0</v>
      </c>
      <c r="AK1528">
        <v>1</v>
      </c>
      <c r="AL1528">
        <v>2</v>
      </c>
      <c r="AM1528">
        <v>0</v>
      </c>
      <c r="AN1528">
        <v>0</v>
      </c>
      <c r="AT1528">
        <v>5</v>
      </c>
      <c r="BC1528">
        <v>15</v>
      </c>
      <c r="BD1528">
        <v>18</v>
      </c>
      <c r="BE1528">
        <v>460</v>
      </c>
      <c r="BF1528">
        <v>461</v>
      </c>
      <c r="BG1528">
        <v>615</v>
      </c>
      <c r="BJ1528">
        <v>1</v>
      </c>
      <c r="BL1528" t="s">
        <v>3203</v>
      </c>
      <c r="BM1528" s="4">
        <v>43283.118055555555</v>
      </c>
      <c r="BN1528" s="4">
        <v>43283.140613425923</v>
      </c>
      <c r="BO1528" s="4">
        <v>43283.140613425923</v>
      </c>
      <c r="BP1528" t="s">
        <v>92</v>
      </c>
      <c r="BQ1528" t="s">
        <v>93</v>
      </c>
      <c r="BR1528" t="s">
        <v>94</v>
      </c>
    </row>
    <row r="1529" spans="1:70" x14ac:dyDescent="0.3">
      <c r="A1529" t="str">
        <f>"200901C0200"</f>
        <v>200901C0200</v>
      </c>
      <c r="B1529" t="s">
        <v>3204</v>
      </c>
      <c r="C1529">
        <v>20</v>
      </c>
      <c r="D1529" t="s">
        <v>88</v>
      </c>
      <c r="E1529">
        <v>147</v>
      </c>
      <c r="F1529" t="s">
        <v>3194</v>
      </c>
      <c r="G1529">
        <v>901</v>
      </c>
      <c r="H1529">
        <v>2</v>
      </c>
      <c r="I1529" t="s">
        <v>98</v>
      </c>
      <c r="J1529">
        <v>0</v>
      </c>
      <c r="K1529">
        <v>2</v>
      </c>
      <c r="L1529">
        <v>5</v>
      </c>
      <c r="M1529">
        <v>189</v>
      </c>
      <c r="N1529">
        <v>448</v>
      </c>
      <c r="O1529">
        <v>6</v>
      </c>
      <c r="P1529">
        <v>448</v>
      </c>
      <c r="Q1529">
        <v>4</v>
      </c>
      <c r="R1529">
        <v>85</v>
      </c>
      <c r="S1529">
        <v>22</v>
      </c>
      <c r="T1529">
        <v>1</v>
      </c>
      <c r="U1529">
        <v>75</v>
      </c>
      <c r="V1529">
        <v>1</v>
      </c>
      <c r="W1529">
        <v>47</v>
      </c>
      <c r="X1529">
        <v>17</v>
      </c>
      <c r="Y1529">
        <v>21</v>
      </c>
      <c r="Z1529">
        <v>1</v>
      </c>
      <c r="AA1529">
        <v>112</v>
      </c>
      <c r="AB1529">
        <v>17</v>
      </c>
      <c r="AC1529">
        <v>2</v>
      </c>
      <c r="AD1529">
        <v>0</v>
      </c>
      <c r="AE1529">
        <v>0</v>
      </c>
      <c r="AF1529">
        <v>0</v>
      </c>
      <c r="AK1529">
        <v>1</v>
      </c>
      <c r="AL1529">
        <v>0</v>
      </c>
      <c r="AM1529">
        <v>1</v>
      </c>
      <c r="AN1529">
        <v>0</v>
      </c>
      <c r="AT1529">
        <v>5</v>
      </c>
      <c r="BC1529">
        <v>15</v>
      </c>
      <c r="BD1529">
        <v>21</v>
      </c>
      <c r="BE1529">
        <v>448</v>
      </c>
      <c r="BF1529">
        <v>448</v>
      </c>
      <c r="BG1529">
        <v>615</v>
      </c>
      <c r="BJ1529">
        <v>1</v>
      </c>
      <c r="BL1529" s="2" t="s">
        <v>3205</v>
      </c>
      <c r="BM1529" s="4">
        <v>43283.117361111108</v>
      </c>
      <c r="BN1529" s="4">
        <v>43283.141828703701</v>
      </c>
      <c r="BO1529" s="4">
        <v>43283.141828703701</v>
      </c>
      <c r="BP1529" t="s">
        <v>92</v>
      </c>
      <c r="BQ1529" t="s">
        <v>93</v>
      </c>
      <c r="BR1529" t="s">
        <v>94</v>
      </c>
    </row>
    <row r="1530" spans="1:70" x14ac:dyDescent="0.3">
      <c r="A1530" t="str">
        <f>"200901C0300"</f>
        <v>200901C0300</v>
      </c>
      <c r="B1530" t="s">
        <v>3206</v>
      </c>
      <c r="C1530">
        <v>20</v>
      </c>
      <c r="D1530" t="s">
        <v>88</v>
      </c>
      <c r="E1530">
        <v>147</v>
      </c>
      <c r="F1530" t="s">
        <v>3194</v>
      </c>
      <c r="G1530">
        <v>901</v>
      </c>
      <c r="H1530">
        <v>3</v>
      </c>
      <c r="I1530" t="s">
        <v>98</v>
      </c>
      <c r="J1530">
        <v>0</v>
      </c>
      <c r="K1530">
        <v>2</v>
      </c>
      <c r="L1530">
        <v>5</v>
      </c>
      <c r="M1530">
        <v>159</v>
      </c>
      <c r="N1530">
        <v>477</v>
      </c>
      <c r="O1530">
        <v>4</v>
      </c>
      <c r="P1530">
        <v>477</v>
      </c>
      <c r="Q1530">
        <v>3</v>
      </c>
      <c r="R1530">
        <v>108</v>
      </c>
      <c r="S1530">
        <v>15</v>
      </c>
      <c r="T1530">
        <v>2</v>
      </c>
      <c r="U1530">
        <v>64</v>
      </c>
      <c r="V1530">
        <v>0</v>
      </c>
      <c r="W1530">
        <v>53</v>
      </c>
      <c r="X1530">
        <v>16</v>
      </c>
      <c r="Y1530">
        <v>28</v>
      </c>
      <c r="Z1530">
        <v>2</v>
      </c>
      <c r="AA1530">
        <v>129</v>
      </c>
      <c r="AB1530">
        <v>11</v>
      </c>
      <c r="AC1530">
        <v>0</v>
      </c>
      <c r="AD1530">
        <v>0</v>
      </c>
      <c r="AE1530">
        <v>0</v>
      </c>
      <c r="AF1530">
        <v>0</v>
      </c>
      <c r="AK1530">
        <v>1</v>
      </c>
      <c r="AL1530">
        <v>2</v>
      </c>
      <c r="AM1530">
        <v>0</v>
      </c>
      <c r="AN1530">
        <v>0</v>
      </c>
      <c r="AT1530">
        <v>3</v>
      </c>
      <c r="BC1530">
        <v>16</v>
      </c>
      <c r="BD1530">
        <v>14</v>
      </c>
      <c r="BE1530">
        <v>477</v>
      </c>
      <c r="BF1530">
        <v>467</v>
      </c>
      <c r="BG1530">
        <v>614</v>
      </c>
      <c r="BJ1530">
        <v>1</v>
      </c>
      <c r="BL1530" t="s">
        <v>3207</v>
      </c>
      <c r="BM1530" s="4">
        <v>43283.118750000001</v>
      </c>
      <c r="BN1530" s="4">
        <v>43283.14640046296</v>
      </c>
      <c r="BO1530" s="4">
        <v>43283.14640046296</v>
      </c>
      <c r="BP1530" t="s">
        <v>92</v>
      </c>
      <c r="BQ1530" t="s">
        <v>93</v>
      </c>
      <c r="BR1530" t="s">
        <v>94</v>
      </c>
    </row>
    <row r="1531" spans="1:70" x14ac:dyDescent="0.3">
      <c r="A1531" t="str">
        <f>"200902B0100"</f>
        <v>200902B0100</v>
      </c>
      <c r="B1531" t="s">
        <v>3208</v>
      </c>
      <c r="C1531">
        <v>20</v>
      </c>
      <c r="D1531" t="s">
        <v>88</v>
      </c>
      <c r="E1531">
        <v>147</v>
      </c>
      <c r="F1531" t="s">
        <v>3194</v>
      </c>
      <c r="G1531">
        <v>902</v>
      </c>
      <c r="H1531">
        <v>1</v>
      </c>
      <c r="I1531" t="s">
        <v>90</v>
      </c>
      <c r="J1531">
        <v>0</v>
      </c>
      <c r="K1531">
        <v>1</v>
      </c>
      <c r="L1531">
        <v>5</v>
      </c>
      <c r="M1531">
        <v>136</v>
      </c>
      <c r="N1531">
        <v>433</v>
      </c>
      <c r="O1531">
        <v>5</v>
      </c>
      <c r="P1531">
        <v>433</v>
      </c>
      <c r="Q1531" t="s">
        <v>105</v>
      </c>
      <c r="R1531">
        <v>76</v>
      </c>
      <c r="S1531">
        <v>24</v>
      </c>
      <c r="T1531">
        <v>1</v>
      </c>
      <c r="U1531">
        <v>48</v>
      </c>
      <c r="V1531">
        <v>1</v>
      </c>
      <c r="W1531">
        <v>63</v>
      </c>
      <c r="X1531">
        <v>19</v>
      </c>
      <c r="Y1531">
        <v>34</v>
      </c>
      <c r="Z1531">
        <v>2</v>
      </c>
      <c r="AA1531">
        <v>85</v>
      </c>
      <c r="AB1531">
        <v>13</v>
      </c>
      <c r="AC1531" t="s">
        <v>105</v>
      </c>
      <c r="AD1531" t="s">
        <v>105</v>
      </c>
      <c r="AE1531" t="s">
        <v>105</v>
      </c>
      <c r="AF1531" t="s">
        <v>105</v>
      </c>
      <c r="AK1531">
        <v>1</v>
      </c>
      <c r="AL1531">
        <v>2</v>
      </c>
      <c r="AM1531" t="s">
        <v>105</v>
      </c>
      <c r="AN1531">
        <v>2</v>
      </c>
      <c r="AT1531">
        <v>3</v>
      </c>
      <c r="BC1531">
        <v>36</v>
      </c>
      <c r="BD1531">
        <v>23</v>
      </c>
      <c r="BE1531" t="s">
        <v>105</v>
      </c>
      <c r="BF1531">
        <v>433</v>
      </c>
      <c r="BG1531">
        <v>547</v>
      </c>
      <c r="BI1531" t="s">
        <v>106</v>
      </c>
      <c r="BJ1531">
        <v>1</v>
      </c>
      <c r="BL1531" t="s">
        <v>3209</v>
      </c>
      <c r="BM1531" s="4">
        <v>43283.042361111111</v>
      </c>
      <c r="BN1531" s="4">
        <v>43283.047303240739</v>
      </c>
      <c r="BO1531" s="4">
        <v>43283.047303240739</v>
      </c>
      <c r="BP1531" t="s">
        <v>92</v>
      </c>
      <c r="BQ1531" t="s">
        <v>93</v>
      </c>
      <c r="BR1531" t="s">
        <v>94</v>
      </c>
    </row>
    <row r="1532" spans="1:70" x14ac:dyDescent="0.3">
      <c r="A1532" t="str">
        <f>"200902C0100"</f>
        <v>200902C0100</v>
      </c>
      <c r="B1532" t="s">
        <v>3210</v>
      </c>
      <c r="C1532">
        <v>20</v>
      </c>
      <c r="D1532" t="s">
        <v>88</v>
      </c>
      <c r="E1532">
        <v>147</v>
      </c>
      <c r="F1532" t="s">
        <v>3194</v>
      </c>
      <c r="G1532">
        <v>902</v>
      </c>
      <c r="H1532">
        <v>1</v>
      </c>
      <c r="I1532" t="s">
        <v>98</v>
      </c>
      <c r="J1532">
        <v>0</v>
      </c>
      <c r="K1532">
        <v>1</v>
      </c>
      <c r="L1532">
        <v>5</v>
      </c>
      <c r="M1532">
        <v>122</v>
      </c>
      <c r="N1532">
        <v>447</v>
      </c>
      <c r="O1532">
        <v>4</v>
      </c>
      <c r="P1532">
        <v>447</v>
      </c>
      <c r="Q1532">
        <v>0</v>
      </c>
      <c r="R1532">
        <v>73</v>
      </c>
      <c r="S1532">
        <v>30</v>
      </c>
      <c r="T1532">
        <v>2</v>
      </c>
      <c r="U1532">
        <v>37</v>
      </c>
      <c r="V1532">
        <v>0</v>
      </c>
      <c r="W1532">
        <v>63</v>
      </c>
      <c r="X1532">
        <v>14</v>
      </c>
      <c r="Y1532">
        <v>36</v>
      </c>
      <c r="Z1532">
        <v>3</v>
      </c>
      <c r="AA1532">
        <v>98</v>
      </c>
      <c r="AB1532">
        <v>18</v>
      </c>
      <c r="AC1532">
        <v>1</v>
      </c>
      <c r="AD1532">
        <v>0</v>
      </c>
      <c r="AE1532">
        <v>0</v>
      </c>
      <c r="AF1532">
        <v>1</v>
      </c>
      <c r="AK1532">
        <v>1</v>
      </c>
      <c r="AL1532">
        <v>0</v>
      </c>
      <c r="AM1532">
        <v>0</v>
      </c>
      <c r="AN1532">
        <v>0</v>
      </c>
      <c r="AT1532">
        <v>1</v>
      </c>
      <c r="BC1532">
        <v>55</v>
      </c>
      <c r="BD1532">
        <v>14</v>
      </c>
      <c r="BE1532">
        <v>447</v>
      </c>
      <c r="BF1532">
        <v>447</v>
      </c>
      <c r="BG1532">
        <v>547</v>
      </c>
      <c r="BJ1532">
        <v>1</v>
      </c>
      <c r="BL1532" t="s">
        <v>3211</v>
      </c>
      <c r="BM1532" s="4">
        <v>43283.047222222223</v>
      </c>
      <c r="BN1532" s="4">
        <v>43283.052314814813</v>
      </c>
      <c r="BO1532" s="4">
        <v>43283.052314814813</v>
      </c>
      <c r="BP1532" t="s">
        <v>92</v>
      </c>
      <c r="BQ1532" t="s">
        <v>93</v>
      </c>
      <c r="BR1532" t="s">
        <v>94</v>
      </c>
    </row>
    <row r="1533" spans="1:70" x14ac:dyDescent="0.3">
      <c r="A1533" t="str">
        <f>"200902C0200"</f>
        <v>200902C0200</v>
      </c>
      <c r="B1533" t="s">
        <v>3212</v>
      </c>
      <c r="C1533">
        <v>20</v>
      </c>
      <c r="D1533" t="s">
        <v>88</v>
      </c>
      <c r="E1533">
        <v>147</v>
      </c>
      <c r="F1533" t="s">
        <v>3194</v>
      </c>
      <c r="G1533">
        <v>902</v>
      </c>
      <c r="H1533">
        <v>2</v>
      </c>
      <c r="I1533" t="s">
        <v>98</v>
      </c>
      <c r="J1533">
        <v>0</v>
      </c>
      <c r="K1533">
        <v>1</v>
      </c>
      <c r="L1533">
        <v>5</v>
      </c>
      <c r="M1533">
        <v>127</v>
      </c>
      <c r="N1533">
        <v>442</v>
      </c>
      <c r="O1533">
        <v>5</v>
      </c>
      <c r="P1533">
        <v>442</v>
      </c>
      <c r="Q1533">
        <v>6</v>
      </c>
      <c r="R1533">
        <v>100</v>
      </c>
      <c r="S1533">
        <v>28</v>
      </c>
      <c r="T1533">
        <v>2</v>
      </c>
      <c r="U1533">
        <v>62</v>
      </c>
      <c r="V1533">
        <v>1</v>
      </c>
      <c r="W1533">
        <v>41</v>
      </c>
      <c r="X1533">
        <v>23</v>
      </c>
      <c r="Y1533">
        <v>33</v>
      </c>
      <c r="Z1533">
        <v>0</v>
      </c>
      <c r="AA1533">
        <v>93</v>
      </c>
      <c r="AB1533">
        <v>21</v>
      </c>
      <c r="AC1533">
        <v>0</v>
      </c>
      <c r="AD1533">
        <v>1</v>
      </c>
      <c r="AE1533">
        <v>0</v>
      </c>
      <c r="AF1533">
        <v>0</v>
      </c>
      <c r="AK1533">
        <v>1</v>
      </c>
      <c r="AL1533">
        <v>1</v>
      </c>
      <c r="AM1533">
        <v>0</v>
      </c>
      <c r="AN1533">
        <v>0</v>
      </c>
      <c r="AT1533">
        <v>1</v>
      </c>
      <c r="BC1533">
        <v>11</v>
      </c>
      <c r="BD1533">
        <v>17</v>
      </c>
      <c r="BE1533">
        <v>442</v>
      </c>
      <c r="BF1533">
        <v>442</v>
      </c>
      <c r="BG1533">
        <v>547</v>
      </c>
      <c r="BJ1533">
        <v>1</v>
      </c>
      <c r="BL1533" t="s">
        <v>3213</v>
      </c>
      <c r="BM1533" s="4">
        <v>43283.043749999997</v>
      </c>
      <c r="BN1533" s="4">
        <v>43283.047581018516</v>
      </c>
      <c r="BO1533" s="4">
        <v>43283.047581018516</v>
      </c>
      <c r="BP1533" t="s">
        <v>92</v>
      </c>
      <c r="BQ1533" t="s">
        <v>93</v>
      </c>
      <c r="BR1533" t="s">
        <v>94</v>
      </c>
    </row>
    <row r="1534" spans="1:70" x14ac:dyDescent="0.3">
      <c r="A1534" t="str">
        <f>"200903B0100"</f>
        <v>200903B0100</v>
      </c>
      <c r="B1534" t="s">
        <v>3214</v>
      </c>
      <c r="C1534">
        <v>20</v>
      </c>
      <c r="D1534" t="s">
        <v>88</v>
      </c>
      <c r="E1534">
        <v>147</v>
      </c>
      <c r="F1534" t="s">
        <v>3194</v>
      </c>
      <c r="G1534">
        <v>903</v>
      </c>
      <c r="H1534">
        <v>1</v>
      </c>
      <c r="I1534" t="s">
        <v>90</v>
      </c>
      <c r="J1534">
        <v>0</v>
      </c>
      <c r="K1534">
        <v>1</v>
      </c>
      <c r="L1534">
        <v>5</v>
      </c>
      <c r="M1534">
        <v>127</v>
      </c>
      <c r="N1534">
        <v>527</v>
      </c>
      <c r="O1534">
        <v>1</v>
      </c>
      <c r="P1534">
        <v>527</v>
      </c>
      <c r="Q1534">
        <v>5</v>
      </c>
      <c r="R1534">
        <v>119</v>
      </c>
      <c r="S1534">
        <v>12</v>
      </c>
      <c r="T1534">
        <v>5</v>
      </c>
      <c r="U1534">
        <v>44</v>
      </c>
      <c r="V1534">
        <v>1</v>
      </c>
      <c r="W1534">
        <v>65</v>
      </c>
      <c r="X1534">
        <v>40</v>
      </c>
      <c r="Y1534">
        <v>45</v>
      </c>
      <c r="Z1534">
        <v>2</v>
      </c>
      <c r="AA1534">
        <v>125</v>
      </c>
      <c r="AB1534">
        <v>30</v>
      </c>
      <c r="AC1534">
        <v>1</v>
      </c>
      <c r="AD1534">
        <v>0</v>
      </c>
      <c r="AE1534">
        <v>0</v>
      </c>
      <c r="AF1534">
        <v>0</v>
      </c>
      <c r="AK1534">
        <v>3</v>
      </c>
      <c r="AL1534">
        <v>0</v>
      </c>
      <c r="AM1534">
        <v>0</v>
      </c>
      <c r="AN1534">
        <v>0</v>
      </c>
      <c r="AT1534">
        <v>0</v>
      </c>
      <c r="BC1534">
        <v>19</v>
      </c>
      <c r="BD1534">
        <v>10</v>
      </c>
      <c r="BE1534">
        <v>526</v>
      </c>
      <c r="BF1534">
        <v>526</v>
      </c>
      <c r="BG1534">
        <v>632</v>
      </c>
      <c r="BJ1534">
        <v>1</v>
      </c>
      <c r="BL1534" t="s">
        <v>3215</v>
      </c>
      <c r="BM1534" s="4">
        <v>43283.11041666667</v>
      </c>
      <c r="BN1534" s="4">
        <v>43283.114976851852</v>
      </c>
      <c r="BO1534" s="4">
        <v>43283.114976851852</v>
      </c>
      <c r="BP1534" t="s">
        <v>92</v>
      </c>
      <c r="BQ1534" t="s">
        <v>93</v>
      </c>
      <c r="BR1534" t="s">
        <v>94</v>
      </c>
    </row>
    <row r="1535" spans="1:70" x14ac:dyDescent="0.3">
      <c r="A1535" t="str">
        <f>"200903C0100"</f>
        <v>200903C0100</v>
      </c>
      <c r="B1535" t="s">
        <v>3216</v>
      </c>
      <c r="C1535">
        <v>20</v>
      </c>
      <c r="D1535" t="s">
        <v>88</v>
      </c>
      <c r="E1535">
        <v>147</v>
      </c>
      <c r="F1535" t="s">
        <v>3194</v>
      </c>
      <c r="G1535">
        <v>903</v>
      </c>
      <c r="H1535">
        <v>1</v>
      </c>
      <c r="I1535" t="s">
        <v>98</v>
      </c>
      <c r="J1535">
        <v>0</v>
      </c>
      <c r="K1535">
        <v>1</v>
      </c>
      <c r="L1535">
        <v>5</v>
      </c>
      <c r="M1535">
        <v>169</v>
      </c>
      <c r="N1535">
        <v>485</v>
      </c>
      <c r="O1535">
        <v>2</v>
      </c>
      <c r="P1535">
        <v>485</v>
      </c>
      <c r="Q1535">
        <v>8</v>
      </c>
      <c r="R1535">
        <v>99</v>
      </c>
      <c r="S1535">
        <v>18</v>
      </c>
      <c r="T1535">
        <v>3</v>
      </c>
      <c r="U1535">
        <v>60</v>
      </c>
      <c r="V1535">
        <v>1</v>
      </c>
      <c r="W1535">
        <v>55</v>
      </c>
      <c r="X1535">
        <v>19</v>
      </c>
      <c r="Y1535">
        <v>24</v>
      </c>
      <c r="Z1535">
        <v>1</v>
      </c>
      <c r="AA1535">
        <v>138</v>
      </c>
      <c r="AB1535">
        <v>28</v>
      </c>
      <c r="AC1535">
        <v>0</v>
      </c>
      <c r="AD1535">
        <v>0</v>
      </c>
      <c r="AE1535">
        <v>0</v>
      </c>
      <c r="AF1535">
        <v>0</v>
      </c>
      <c r="AK1535">
        <v>2</v>
      </c>
      <c r="AL1535">
        <v>1</v>
      </c>
      <c r="AM1535">
        <v>1</v>
      </c>
      <c r="AN1535">
        <v>0</v>
      </c>
      <c r="AT1535">
        <v>4</v>
      </c>
      <c r="BC1535">
        <v>9</v>
      </c>
      <c r="BD1535">
        <v>14</v>
      </c>
      <c r="BE1535">
        <v>485</v>
      </c>
      <c r="BF1535">
        <v>485</v>
      </c>
      <c r="BG1535">
        <v>632</v>
      </c>
      <c r="BJ1535">
        <v>1</v>
      </c>
      <c r="BL1535" t="s">
        <v>3217</v>
      </c>
      <c r="BM1535" s="4">
        <v>43283.131249999999</v>
      </c>
      <c r="BN1535" s="4">
        <v>43283.136284722219</v>
      </c>
      <c r="BO1535" s="4">
        <v>43283.136284722219</v>
      </c>
      <c r="BP1535" t="s">
        <v>92</v>
      </c>
      <c r="BQ1535" t="s">
        <v>93</v>
      </c>
      <c r="BR1535" t="s">
        <v>94</v>
      </c>
    </row>
    <row r="1536" spans="1:70" x14ac:dyDescent="0.3">
      <c r="A1536" t="str">
        <f>"200903C0200"</f>
        <v>200903C0200</v>
      </c>
      <c r="B1536" t="s">
        <v>3218</v>
      </c>
      <c r="C1536">
        <v>20</v>
      </c>
      <c r="D1536" t="s">
        <v>88</v>
      </c>
      <c r="E1536">
        <v>147</v>
      </c>
      <c r="F1536" t="s">
        <v>3194</v>
      </c>
      <c r="G1536">
        <v>903</v>
      </c>
      <c r="H1536">
        <v>2</v>
      </c>
      <c r="I1536" t="s">
        <v>98</v>
      </c>
      <c r="J1536">
        <v>0</v>
      </c>
      <c r="K1536">
        <v>1</v>
      </c>
      <c r="L1536">
        <v>5</v>
      </c>
      <c r="M1536">
        <v>147</v>
      </c>
      <c r="N1536">
        <v>504</v>
      </c>
      <c r="O1536">
        <v>8</v>
      </c>
      <c r="P1536">
        <v>504</v>
      </c>
      <c r="Q1536">
        <v>3</v>
      </c>
      <c r="R1536">
        <v>98</v>
      </c>
      <c r="S1536">
        <v>19</v>
      </c>
      <c r="T1536">
        <v>3</v>
      </c>
      <c r="U1536">
        <v>49</v>
      </c>
      <c r="V1536">
        <v>1</v>
      </c>
      <c r="W1536">
        <v>67</v>
      </c>
      <c r="X1536">
        <v>31</v>
      </c>
      <c r="Y1536">
        <v>29</v>
      </c>
      <c r="Z1536">
        <v>3</v>
      </c>
      <c r="AA1536">
        <v>123</v>
      </c>
      <c r="AB1536">
        <v>40</v>
      </c>
      <c r="AC1536">
        <v>0</v>
      </c>
      <c r="AD1536">
        <v>0</v>
      </c>
      <c r="AE1536">
        <v>0</v>
      </c>
      <c r="AF1536">
        <v>0</v>
      </c>
      <c r="AK1536">
        <v>2</v>
      </c>
      <c r="AL1536">
        <v>1</v>
      </c>
      <c r="AM1536">
        <v>0</v>
      </c>
      <c r="AN1536">
        <v>0</v>
      </c>
      <c r="AT1536">
        <v>2</v>
      </c>
      <c r="BC1536">
        <v>5</v>
      </c>
      <c r="BD1536">
        <v>28</v>
      </c>
      <c r="BE1536">
        <v>504</v>
      </c>
      <c r="BF1536">
        <v>504</v>
      </c>
      <c r="BG1536">
        <v>632</v>
      </c>
      <c r="BJ1536">
        <v>1</v>
      </c>
      <c r="BL1536" t="s">
        <v>3219</v>
      </c>
      <c r="BM1536" s="4">
        <v>43283.029861111114</v>
      </c>
      <c r="BN1536" s="4">
        <v>43283.035277777781</v>
      </c>
      <c r="BO1536" s="4">
        <v>43283.035277777781</v>
      </c>
      <c r="BP1536" t="s">
        <v>92</v>
      </c>
      <c r="BQ1536" t="s">
        <v>93</v>
      </c>
      <c r="BR1536" t="s">
        <v>94</v>
      </c>
    </row>
    <row r="1537" spans="1:70" x14ac:dyDescent="0.3">
      <c r="A1537" t="str">
        <f>"200903C0300"</f>
        <v>200903C0300</v>
      </c>
      <c r="B1537" t="s">
        <v>3220</v>
      </c>
      <c r="C1537">
        <v>20</v>
      </c>
      <c r="D1537" t="s">
        <v>88</v>
      </c>
      <c r="E1537">
        <v>147</v>
      </c>
      <c r="F1537" t="s">
        <v>3194</v>
      </c>
      <c r="G1537">
        <v>903</v>
      </c>
      <c r="H1537">
        <v>3</v>
      </c>
      <c r="I1537" t="s">
        <v>98</v>
      </c>
      <c r="J1537">
        <v>0</v>
      </c>
      <c r="K1537">
        <v>1</v>
      </c>
      <c r="L1537">
        <v>5</v>
      </c>
      <c r="M1537">
        <v>176</v>
      </c>
      <c r="N1537">
        <v>478</v>
      </c>
      <c r="O1537">
        <v>8</v>
      </c>
      <c r="P1537">
        <v>478</v>
      </c>
      <c r="Q1537">
        <v>10</v>
      </c>
      <c r="R1537">
        <v>100</v>
      </c>
      <c r="S1537">
        <v>7</v>
      </c>
      <c r="T1537">
        <v>5</v>
      </c>
      <c r="U1537">
        <v>65</v>
      </c>
      <c r="V1537">
        <v>2</v>
      </c>
      <c r="W1537">
        <v>56</v>
      </c>
      <c r="X1537">
        <v>26</v>
      </c>
      <c r="Y1537">
        <v>31</v>
      </c>
      <c r="Z1537">
        <v>3</v>
      </c>
      <c r="AA1537">
        <v>101</v>
      </c>
      <c r="AB1537">
        <v>37</v>
      </c>
      <c r="AC1537">
        <v>0</v>
      </c>
      <c r="AD1537">
        <v>0</v>
      </c>
      <c r="AE1537">
        <v>0</v>
      </c>
      <c r="AF1537">
        <v>0</v>
      </c>
      <c r="AK1537">
        <v>0</v>
      </c>
      <c r="AL1537">
        <v>1</v>
      </c>
      <c r="AM1537">
        <v>0</v>
      </c>
      <c r="AN1537">
        <v>0</v>
      </c>
      <c r="AT1537">
        <v>4</v>
      </c>
      <c r="BC1537">
        <v>11</v>
      </c>
      <c r="BD1537">
        <v>19</v>
      </c>
      <c r="BE1537">
        <v>478</v>
      </c>
      <c r="BF1537">
        <v>478</v>
      </c>
      <c r="BG1537">
        <v>632</v>
      </c>
      <c r="BJ1537">
        <v>1</v>
      </c>
      <c r="BL1537" t="s">
        <v>3221</v>
      </c>
      <c r="BM1537" s="4">
        <v>43283.088194444441</v>
      </c>
      <c r="BN1537" s="4">
        <v>43283.094189814816</v>
      </c>
      <c r="BO1537" s="4">
        <v>43283.094189814816</v>
      </c>
      <c r="BP1537" t="s">
        <v>92</v>
      </c>
      <c r="BQ1537" t="s">
        <v>93</v>
      </c>
      <c r="BR1537" t="s">
        <v>94</v>
      </c>
    </row>
    <row r="1538" spans="1:70" x14ac:dyDescent="0.3">
      <c r="A1538" t="str">
        <f>"200904B0100"</f>
        <v>200904B0100</v>
      </c>
      <c r="B1538" t="s">
        <v>3222</v>
      </c>
      <c r="C1538">
        <v>20</v>
      </c>
      <c r="D1538" t="s">
        <v>88</v>
      </c>
      <c r="E1538">
        <v>147</v>
      </c>
      <c r="F1538" t="s">
        <v>3194</v>
      </c>
      <c r="G1538">
        <v>904</v>
      </c>
      <c r="H1538">
        <v>1</v>
      </c>
      <c r="I1538" t="s">
        <v>90</v>
      </c>
      <c r="J1538">
        <v>0</v>
      </c>
      <c r="K1538">
        <v>2</v>
      </c>
      <c r="L1538">
        <v>5</v>
      </c>
      <c r="M1538">
        <v>31</v>
      </c>
      <c r="N1538">
        <v>75</v>
      </c>
      <c r="O1538">
        <v>7</v>
      </c>
      <c r="P1538">
        <v>75</v>
      </c>
      <c r="Q1538">
        <v>1</v>
      </c>
      <c r="R1538">
        <v>15</v>
      </c>
      <c r="S1538">
        <v>2</v>
      </c>
      <c r="T1538">
        <v>0</v>
      </c>
      <c r="U1538">
        <v>4</v>
      </c>
      <c r="V1538">
        <v>1</v>
      </c>
      <c r="W1538">
        <v>9</v>
      </c>
      <c r="X1538">
        <v>0</v>
      </c>
      <c r="Y1538">
        <v>2</v>
      </c>
      <c r="Z1538">
        <v>0</v>
      </c>
      <c r="AA1538">
        <v>35</v>
      </c>
      <c r="AB1538">
        <v>0</v>
      </c>
      <c r="AC1538">
        <v>0</v>
      </c>
      <c r="AD1538">
        <v>0</v>
      </c>
      <c r="AE1538">
        <v>0</v>
      </c>
      <c r="AF1538">
        <v>0</v>
      </c>
      <c r="AK1538">
        <v>1</v>
      </c>
      <c r="AL1538">
        <v>0</v>
      </c>
      <c r="AM1538">
        <v>0</v>
      </c>
      <c r="AN1538">
        <v>0</v>
      </c>
      <c r="AT1538">
        <v>0</v>
      </c>
      <c r="BC1538">
        <v>1</v>
      </c>
      <c r="BD1538">
        <v>4</v>
      </c>
      <c r="BE1538">
        <v>75</v>
      </c>
      <c r="BF1538">
        <v>75</v>
      </c>
      <c r="BG1538">
        <v>84</v>
      </c>
      <c r="BJ1538">
        <v>1</v>
      </c>
      <c r="BL1538" t="s">
        <v>3223</v>
      </c>
      <c r="BM1538" s="4">
        <v>43283.058333333334</v>
      </c>
      <c r="BN1538" s="4">
        <v>43283.064074074071</v>
      </c>
      <c r="BO1538" s="4">
        <v>43283.064074074071</v>
      </c>
      <c r="BP1538" t="s">
        <v>92</v>
      </c>
      <c r="BQ1538" t="s">
        <v>93</v>
      </c>
      <c r="BR1538" t="s">
        <v>94</v>
      </c>
    </row>
    <row r="1539" spans="1:70" x14ac:dyDescent="0.3">
      <c r="A1539" t="str">
        <f>"200905B0100"</f>
        <v>200905B0100</v>
      </c>
      <c r="B1539" t="s">
        <v>3224</v>
      </c>
      <c r="C1539">
        <v>20</v>
      </c>
      <c r="D1539" t="s">
        <v>88</v>
      </c>
      <c r="E1539">
        <v>147</v>
      </c>
      <c r="F1539" t="s">
        <v>3194</v>
      </c>
      <c r="G1539">
        <v>905</v>
      </c>
      <c r="H1539">
        <v>1</v>
      </c>
      <c r="I1539" t="s">
        <v>90</v>
      </c>
      <c r="J1539">
        <v>0</v>
      </c>
      <c r="K1539">
        <v>2</v>
      </c>
      <c r="L1539">
        <v>5</v>
      </c>
      <c r="M1539">
        <v>80</v>
      </c>
      <c r="N1539">
        <v>303</v>
      </c>
      <c r="O1539">
        <v>2</v>
      </c>
      <c r="P1539">
        <v>303</v>
      </c>
      <c r="Q1539">
        <v>0</v>
      </c>
      <c r="R1539">
        <v>49</v>
      </c>
      <c r="S1539">
        <v>5</v>
      </c>
      <c r="T1539">
        <v>1</v>
      </c>
      <c r="U1539">
        <v>54</v>
      </c>
      <c r="V1539">
        <v>0</v>
      </c>
      <c r="W1539">
        <v>10</v>
      </c>
      <c r="X1539">
        <v>16</v>
      </c>
      <c r="Y1539">
        <v>14</v>
      </c>
      <c r="Z1539">
        <v>1</v>
      </c>
      <c r="AA1539">
        <v>131</v>
      </c>
      <c r="AB1539">
        <v>6</v>
      </c>
      <c r="AC1539">
        <v>0</v>
      </c>
      <c r="AD1539">
        <v>0</v>
      </c>
      <c r="AE1539">
        <v>0</v>
      </c>
      <c r="AF1539">
        <v>0</v>
      </c>
      <c r="AK1539">
        <v>1</v>
      </c>
      <c r="AL1539">
        <v>0</v>
      </c>
      <c r="AM1539">
        <v>0</v>
      </c>
      <c r="AN1539">
        <v>0</v>
      </c>
      <c r="AT1539">
        <v>0</v>
      </c>
      <c r="BC1539">
        <v>0</v>
      </c>
      <c r="BD1539">
        <v>15</v>
      </c>
      <c r="BE1539">
        <v>303</v>
      </c>
      <c r="BF1539">
        <v>303</v>
      </c>
      <c r="BG1539">
        <v>361</v>
      </c>
      <c r="BJ1539">
        <v>1</v>
      </c>
      <c r="BL1539" t="s">
        <v>3225</v>
      </c>
      <c r="BM1539" s="4">
        <v>43282.981249999997</v>
      </c>
      <c r="BN1539" s="4">
        <v>43282.988240740742</v>
      </c>
      <c r="BO1539" s="4">
        <v>43282.988240740742</v>
      </c>
      <c r="BP1539" t="s">
        <v>92</v>
      </c>
      <c r="BQ1539" t="s">
        <v>93</v>
      </c>
      <c r="BR1539" t="s">
        <v>94</v>
      </c>
    </row>
    <row r="1540" spans="1:70" x14ac:dyDescent="0.3">
      <c r="A1540" t="str">
        <f>"200917B0100"</f>
        <v>200917B0100</v>
      </c>
      <c r="B1540" t="s">
        <v>3226</v>
      </c>
      <c r="C1540">
        <v>20</v>
      </c>
      <c r="D1540" t="s">
        <v>88</v>
      </c>
      <c r="E1540">
        <v>154</v>
      </c>
      <c r="F1540" t="s">
        <v>3227</v>
      </c>
      <c r="G1540">
        <v>917</v>
      </c>
      <c r="H1540">
        <v>1</v>
      </c>
      <c r="I1540" t="s">
        <v>90</v>
      </c>
      <c r="J1540">
        <v>0</v>
      </c>
      <c r="K1540">
        <v>1</v>
      </c>
      <c r="L1540">
        <v>5</v>
      </c>
      <c r="M1540">
        <v>173</v>
      </c>
      <c r="N1540">
        <v>473</v>
      </c>
      <c r="O1540">
        <v>2</v>
      </c>
      <c r="P1540">
        <v>473</v>
      </c>
      <c r="Q1540">
        <v>13</v>
      </c>
      <c r="R1540">
        <v>38</v>
      </c>
      <c r="S1540">
        <v>115</v>
      </c>
      <c r="T1540">
        <v>2</v>
      </c>
      <c r="U1540">
        <v>7</v>
      </c>
      <c r="V1540">
        <v>2</v>
      </c>
      <c r="W1540">
        <v>12</v>
      </c>
      <c r="X1540">
        <v>1</v>
      </c>
      <c r="Y1540">
        <v>106</v>
      </c>
      <c r="Z1540">
        <v>5</v>
      </c>
      <c r="AA1540">
        <v>146</v>
      </c>
      <c r="AC1540">
        <v>2</v>
      </c>
      <c r="AD1540">
        <v>2</v>
      </c>
      <c r="AE1540">
        <v>0</v>
      </c>
      <c r="AF1540">
        <v>0</v>
      </c>
      <c r="AG1540">
        <v>0</v>
      </c>
      <c r="AH1540">
        <v>0</v>
      </c>
      <c r="AI1540">
        <v>0</v>
      </c>
      <c r="AJ1540">
        <v>0</v>
      </c>
      <c r="AK1540">
        <v>0</v>
      </c>
      <c r="AL1540">
        <v>2</v>
      </c>
      <c r="AM1540">
        <v>0</v>
      </c>
      <c r="AN1540">
        <v>2</v>
      </c>
      <c r="BC1540">
        <v>0</v>
      </c>
      <c r="BD1540">
        <v>18</v>
      </c>
      <c r="BE1540">
        <v>473</v>
      </c>
      <c r="BF1540">
        <v>473</v>
      </c>
      <c r="BG1540">
        <v>624</v>
      </c>
      <c r="BJ1540">
        <v>1</v>
      </c>
      <c r="BL1540" t="s">
        <v>3228</v>
      </c>
      <c r="BM1540" s="4">
        <v>43283.117361111108</v>
      </c>
      <c r="BN1540" s="4">
        <v>43283.123101851852</v>
      </c>
      <c r="BO1540" s="4">
        <v>43283.123101851852</v>
      </c>
      <c r="BP1540" t="s">
        <v>92</v>
      </c>
      <c r="BQ1540" t="s">
        <v>93</v>
      </c>
      <c r="BR1540" t="s">
        <v>94</v>
      </c>
    </row>
    <row r="1541" spans="1:70" x14ac:dyDescent="0.3">
      <c r="A1541" t="str">
        <f>"200917C0100"</f>
        <v>200917C0100</v>
      </c>
      <c r="B1541" t="s">
        <v>3229</v>
      </c>
      <c r="C1541">
        <v>20</v>
      </c>
      <c r="D1541" t="s">
        <v>88</v>
      </c>
      <c r="E1541">
        <v>154</v>
      </c>
      <c r="F1541" t="s">
        <v>3227</v>
      </c>
      <c r="G1541">
        <v>917</v>
      </c>
      <c r="H1541">
        <v>1</v>
      </c>
      <c r="I1541" t="s">
        <v>98</v>
      </c>
      <c r="J1541">
        <v>0</v>
      </c>
      <c r="K1541">
        <v>1</v>
      </c>
      <c r="L1541">
        <v>5</v>
      </c>
      <c r="M1541">
        <v>178</v>
      </c>
      <c r="N1541">
        <v>468</v>
      </c>
      <c r="O1541">
        <v>0</v>
      </c>
      <c r="P1541">
        <v>468</v>
      </c>
      <c r="Q1541">
        <v>15</v>
      </c>
      <c r="R1541">
        <v>40</v>
      </c>
      <c r="S1541">
        <v>136</v>
      </c>
      <c r="T1541">
        <v>0</v>
      </c>
      <c r="U1541">
        <v>8</v>
      </c>
      <c r="V1541">
        <v>2</v>
      </c>
      <c r="W1541">
        <v>7</v>
      </c>
      <c r="X1541">
        <v>1</v>
      </c>
      <c r="Y1541">
        <v>120</v>
      </c>
      <c r="Z1541">
        <v>3</v>
      </c>
      <c r="AA1541">
        <v>114</v>
      </c>
      <c r="AC1541">
        <v>2</v>
      </c>
      <c r="AD1541">
        <v>2</v>
      </c>
      <c r="AE1541">
        <v>0</v>
      </c>
      <c r="AF1541" t="s">
        <v>105</v>
      </c>
      <c r="AG1541" t="s">
        <v>105</v>
      </c>
      <c r="AH1541">
        <v>1</v>
      </c>
      <c r="AI1541" t="s">
        <v>105</v>
      </c>
      <c r="AJ1541" t="s">
        <v>105</v>
      </c>
      <c r="AK1541">
        <v>1</v>
      </c>
      <c r="AL1541">
        <v>0</v>
      </c>
      <c r="AM1541">
        <v>0</v>
      </c>
      <c r="AN1541">
        <v>1</v>
      </c>
      <c r="BC1541">
        <v>0</v>
      </c>
      <c r="BD1541">
        <v>15</v>
      </c>
      <c r="BE1541" t="s">
        <v>105</v>
      </c>
      <c r="BF1541">
        <v>468</v>
      </c>
      <c r="BG1541">
        <v>624</v>
      </c>
      <c r="BI1541" t="s">
        <v>106</v>
      </c>
      <c r="BJ1541">
        <v>1</v>
      </c>
      <c r="BL1541" t="s">
        <v>3230</v>
      </c>
      <c r="BM1541" s="4">
        <v>43283.124305555553</v>
      </c>
      <c r="BN1541" s="4">
        <v>43283.128136574072</v>
      </c>
      <c r="BO1541" s="4">
        <v>43283.128136574072</v>
      </c>
      <c r="BP1541" t="s">
        <v>92</v>
      </c>
      <c r="BQ1541" t="s">
        <v>93</v>
      </c>
      <c r="BR1541" t="s">
        <v>94</v>
      </c>
    </row>
    <row r="1542" spans="1:70" x14ac:dyDescent="0.3">
      <c r="A1542" t="str">
        <f>"200917C0200"</f>
        <v>200917C0200</v>
      </c>
      <c r="B1542" t="s">
        <v>3231</v>
      </c>
      <c r="C1542">
        <v>20</v>
      </c>
      <c r="D1542" t="s">
        <v>88</v>
      </c>
      <c r="E1542">
        <v>154</v>
      </c>
      <c r="F1542" t="s">
        <v>3227</v>
      </c>
      <c r="G1542">
        <v>917</v>
      </c>
      <c r="H1542">
        <v>2</v>
      </c>
      <c r="I1542" t="s">
        <v>98</v>
      </c>
      <c r="J1542">
        <v>0</v>
      </c>
      <c r="K1542">
        <v>1</v>
      </c>
      <c r="L1542">
        <v>5</v>
      </c>
      <c r="M1542">
        <v>167</v>
      </c>
      <c r="N1542">
        <v>479</v>
      </c>
      <c r="O1542">
        <v>1</v>
      </c>
      <c r="P1542">
        <v>449</v>
      </c>
      <c r="Q1542">
        <v>15</v>
      </c>
      <c r="R1542">
        <v>43</v>
      </c>
      <c r="S1542">
        <v>124</v>
      </c>
      <c r="T1542">
        <v>2</v>
      </c>
      <c r="U1542">
        <v>6</v>
      </c>
      <c r="V1542">
        <v>3</v>
      </c>
      <c r="W1542">
        <v>7</v>
      </c>
      <c r="X1542">
        <v>1</v>
      </c>
      <c r="Y1542">
        <v>107</v>
      </c>
      <c r="Z1542">
        <v>6</v>
      </c>
      <c r="AA1542">
        <v>138</v>
      </c>
      <c r="AC1542">
        <v>2</v>
      </c>
      <c r="AD1542">
        <v>0</v>
      </c>
      <c r="AE1542">
        <v>0</v>
      </c>
      <c r="AF1542">
        <v>1</v>
      </c>
      <c r="AG1542">
        <v>0</v>
      </c>
      <c r="AH1542">
        <v>1</v>
      </c>
      <c r="AI1542">
        <v>0</v>
      </c>
      <c r="AJ1542">
        <v>0</v>
      </c>
      <c r="AK1542">
        <v>4</v>
      </c>
      <c r="AL1542">
        <v>0</v>
      </c>
      <c r="AM1542">
        <v>0</v>
      </c>
      <c r="AN1542">
        <v>0</v>
      </c>
      <c r="BC1542">
        <v>0</v>
      </c>
      <c r="BD1542">
        <v>18</v>
      </c>
      <c r="BE1542">
        <v>478</v>
      </c>
      <c r="BF1542">
        <v>478</v>
      </c>
      <c r="BG1542">
        <v>624</v>
      </c>
      <c r="BJ1542">
        <v>1</v>
      </c>
      <c r="BL1542" t="s">
        <v>3232</v>
      </c>
      <c r="BM1542" s="4">
        <v>43283.125694444447</v>
      </c>
      <c r="BN1542" s="4">
        <v>43283.131828703707</v>
      </c>
      <c r="BO1542" s="4">
        <v>43283.131828703707</v>
      </c>
      <c r="BP1542" t="s">
        <v>92</v>
      </c>
      <c r="BQ1542" t="s">
        <v>93</v>
      </c>
      <c r="BR1542" t="s">
        <v>94</v>
      </c>
    </row>
    <row r="1543" spans="1:70" x14ac:dyDescent="0.3">
      <c r="A1543" t="str">
        <f>"200917C0300"</f>
        <v>200917C0300</v>
      </c>
      <c r="B1543" t="s">
        <v>3233</v>
      </c>
      <c r="C1543">
        <v>20</v>
      </c>
      <c r="D1543" t="s">
        <v>88</v>
      </c>
      <c r="E1543">
        <v>154</v>
      </c>
      <c r="F1543" t="s">
        <v>3227</v>
      </c>
      <c r="G1543">
        <v>917</v>
      </c>
      <c r="H1543">
        <v>3</v>
      </c>
      <c r="I1543" t="s">
        <v>98</v>
      </c>
      <c r="J1543">
        <v>0</v>
      </c>
      <c r="K1543">
        <v>1</v>
      </c>
      <c r="L1543">
        <v>5</v>
      </c>
      <c r="M1543">
        <v>167</v>
      </c>
      <c r="N1543">
        <v>479</v>
      </c>
      <c r="O1543">
        <v>0</v>
      </c>
      <c r="P1543">
        <v>478</v>
      </c>
      <c r="Q1543">
        <v>13</v>
      </c>
      <c r="R1543">
        <v>45</v>
      </c>
      <c r="S1543">
        <v>124</v>
      </c>
      <c r="T1543">
        <v>4</v>
      </c>
      <c r="U1543">
        <v>13</v>
      </c>
      <c r="V1543">
        <v>1</v>
      </c>
      <c r="W1543">
        <v>11</v>
      </c>
      <c r="X1543">
        <v>2</v>
      </c>
      <c r="Y1543">
        <v>131</v>
      </c>
      <c r="Z1543">
        <v>3</v>
      </c>
      <c r="AA1543">
        <v>115</v>
      </c>
      <c r="AC1543">
        <v>2</v>
      </c>
      <c r="AD1543">
        <v>1</v>
      </c>
      <c r="AE1543">
        <v>0</v>
      </c>
      <c r="AF1543">
        <v>0</v>
      </c>
      <c r="AG1543">
        <v>0</v>
      </c>
      <c r="AH1543">
        <v>0</v>
      </c>
      <c r="AI1543">
        <v>0</v>
      </c>
      <c r="AJ1543">
        <v>0</v>
      </c>
      <c r="AK1543">
        <v>0</v>
      </c>
      <c r="AL1543">
        <v>1</v>
      </c>
      <c r="AM1543">
        <v>0</v>
      </c>
      <c r="AN1543">
        <v>1</v>
      </c>
      <c r="BC1543">
        <v>0</v>
      </c>
      <c r="BD1543">
        <v>11</v>
      </c>
      <c r="BE1543">
        <v>478</v>
      </c>
      <c r="BF1543">
        <v>478</v>
      </c>
      <c r="BG1543">
        <v>624</v>
      </c>
      <c r="BJ1543">
        <v>1</v>
      </c>
      <c r="BL1543" t="s">
        <v>3234</v>
      </c>
      <c r="BM1543" s="4">
        <v>43283.116666666669</v>
      </c>
      <c r="BN1543" s="4">
        <v>43283.121550925927</v>
      </c>
      <c r="BO1543" s="4">
        <v>43283.121550925927</v>
      </c>
      <c r="BP1543" t="s">
        <v>92</v>
      </c>
      <c r="BQ1543" t="s">
        <v>93</v>
      </c>
      <c r="BR1543" t="s">
        <v>94</v>
      </c>
    </row>
    <row r="1544" spans="1:70" x14ac:dyDescent="0.3">
      <c r="A1544" t="str">
        <f>"200917C0400"</f>
        <v>200917C0400</v>
      </c>
      <c r="B1544" t="s">
        <v>3235</v>
      </c>
      <c r="C1544">
        <v>20</v>
      </c>
      <c r="D1544" t="s">
        <v>88</v>
      </c>
      <c r="E1544">
        <v>154</v>
      </c>
      <c r="F1544" t="s">
        <v>3227</v>
      </c>
      <c r="G1544">
        <v>917</v>
      </c>
      <c r="H1544">
        <v>4</v>
      </c>
      <c r="I1544" t="s">
        <v>98</v>
      </c>
      <c r="J1544">
        <v>0</v>
      </c>
      <c r="K1544">
        <v>1</v>
      </c>
      <c r="L1544">
        <v>5</v>
      </c>
      <c r="M1544" t="s">
        <v>127</v>
      </c>
      <c r="N1544" t="s">
        <v>127</v>
      </c>
      <c r="O1544">
        <v>7</v>
      </c>
      <c r="P1544" t="s">
        <v>127</v>
      </c>
      <c r="Q1544">
        <v>11</v>
      </c>
      <c r="R1544">
        <v>40</v>
      </c>
      <c r="S1544">
        <v>135</v>
      </c>
      <c r="T1544">
        <v>3</v>
      </c>
      <c r="U1544">
        <v>11</v>
      </c>
      <c r="V1544">
        <v>4</v>
      </c>
      <c r="W1544">
        <v>10</v>
      </c>
      <c r="X1544">
        <v>3</v>
      </c>
      <c r="Y1544">
        <v>118</v>
      </c>
      <c r="Z1544">
        <v>5</v>
      </c>
      <c r="AA1544">
        <v>115</v>
      </c>
      <c r="AC1544" t="s">
        <v>127</v>
      </c>
      <c r="AD1544"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3</v>
      </c>
      <c r="AL1544">
        <v>2</v>
      </c>
      <c r="AM1544">
        <v>2</v>
      </c>
      <c r="AN1544">
        <v>0</v>
      </c>
      <c r="BC1544">
        <v>0</v>
      </c>
      <c r="BD1544">
        <v>14</v>
      </c>
      <c r="BE1544">
        <v>483</v>
      </c>
      <c r="BF1544">
        <v>476</v>
      </c>
      <c r="BG1544">
        <v>623</v>
      </c>
      <c r="BI1544" t="s">
        <v>106</v>
      </c>
      <c r="BJ1544">
        <v>1</v>
      </c>
      <c r="BL1544" t="s">
        <v>3236</v>
      </c>
      <c r="BM1544" s="4">
        <v>43283.121527777781</v>
      </c>
      <c r="BN1544" s="4">
        <v>43283.514884259261</v>
      </c>
      <c r="BO1544" s="4">
        <v>43283.514884259261</v>
      </c>
      <c r="BP1544" t="s">
        <v>92</v>
      </c>
      <c r="BQ1544" t="s">
        <v>93</v>
      </c>
      <c r="BR1544" t="s">
        <v>94</v>
      </c>
    </row>
    <row r="1545" spans="1:70" x14ac:dyDescent="0.3">
      <c r="A1545" t="str">
        <f>"200918B0100"</f>
        <v>200918B0100</v>
      </c>
      <c r="B1545" t="s">
        <v>3237</v>
      </c>
      <c r="C1545">
        <v>20</v>
      </c>
      <c r="D1545" t="s">
        <v>88</v>
      </c>
      <c r="E1545">
        <v>154</v>
      </c>
      <c r="F1545" t="s">
        <v>3227</v>
      </c>
      <c r="G1545">
        <v>918</v>
      </c>
      <c r="H1545">
        <v>1</v>
      </c>
      <c r="I1545" t="s">
        <v>90</v>
      </c>
      <c r="J1545">
        <v>0</v>
      </c>
      <c r="K1545">
        <v>1</v>
      </c>
      <c r="L1545">
        <v>5</v>
      </c>
      <c r="M1545">
        <v>229</v>
      </c>
      <c r="N1545">
        <v>527</v>
      </c>
      <c r="O1545">
        <v>2</v>
      </c>
      <c r="P1545">
        <v>531</v>
      </c>
      <c r="Q1545">
        <v>33</v>
      </c>
      <c r="R1545">
        <v>48</v>
      </c>
      <c r="S1545">
        <v>130</v>
      </c>
      <c r="T1545">
        <v>6</v>
      </c>
      <c r="U1545">
        <v>16</v>
      </c>
      <c r="V1545">
        <v>4</v>
      </c>
      <c r="W1545">
        <v>8</v>
      </c>
      <c r="X1545">
        <v>1</v>
      </c>
      <c r="Y1545">
        <v>191</v>
      </c>
      <c r="Z1545">
        <v>11</v>
      </c>
      <c r="AA1545">
        <v>53</v>
      </c>
      <c r="AC1545">
        <v>5</v>
      </c>
      <c r="AD1545">
        <v>2</v>
      </c>
      <c r="AE1545">
        <v>0</v>
      </c>
      <c r="AF1545">
        <v>2</v>
      </c>
      <c r="AG1545">
        <v>0</v>
      </c>
      <c r="AH1545">
        <v>0</v>
      </c>
      <c r="AI1545">
        <v>0</v>
      </c>
      <c r="AJ1545">
        <v>0</v>
      </c>
      <c r="AK1545">
        <v>8</v>
      </c>
      <c r="AL1545">
        <v>0</v>
      </c>
      <c r="AM1545">
        <v>0</v>
      </c>
      <c r="AN1545">
        <v>1</v>
      </c>
      <c r="BC1545">
        <v>0</v>
      </c>
      <c r="BD1545">
        <v>12</v>
      </c>
      <c r="BE1545" t="s">
        <v>127</v>
      </c>
      <c r="BF1545">
        <v>531</v>
      </c>
      <c r="BG1545">
        <v>732</v>
      </c>
      <c r="BJ1545">
        <v>1</v>
      </c>
      <c r="BL1545" t="s">
        <v>3238</v>
      </c>
      <c r="BM1545" s="4">
        <v>43283.129166666666</v>
      </c>
      <c r="BN1545" s="4">
        <v>43283.148831018516</v>
      </c>
      <c r="BO1545" s="4">
        <v>43283.148831018516</v>
      </c>
      <c r="BP1545" t="s">
        <v>92</v>
      </c>
      <c r="BQ1545" t="s">
        <v>93</v>
      </c>
      <c r="BR1545" t="s">
        <v>94</v>
      </c>
    </row>
    <row r="1546" spans="1:70" x14ac:dyDescent="0.3">
      <c r="A1546" t="str">
        <f>"200918C0100"</f>
        <v>200918C0100</v>
      </c>
      <c r="B1546" t="s">
        <v>3239</v>
      </c>
      <c r="C1546">
        <v>20</v>
      </c>
      <c r="D1546" t="s">
        <v>88</v>
      </c>
      <c r="E1546">
        <v>154</v>
      </c>
      <c r="F1546" t="s">
        <v>3227</v>
      </c>
      <c r="G1546">
        <v>918</v>
      </c>
      <c r="H1546">
        <v>1</v>
      </c>
      <c r="I1546" t="s">
        <v>98</v>
      </c>
      <c r="J1546">
        <v>0</v>
      </c>
      <c r="K1546">
        <v>1</v>
      </c>
      <c r="L1546">
        <v>5</v>
      </c>
      <c r="M1546">
        <v>222</v>
      </c>
      <c r="N1546">
        <v>530</v>
      </c>
      <c r="O1546">
        <v>10</v>
      </c>
      <c r="P1546">
        <v>527</v>
      </c>
      <c r="Q1546">
        <v>29</v>
      </c>
      <c r="R1546">
        <v>45</v>
      </c>
      <c r="S1546">
        <v>110</v>
      </c>
      <c r="T1546">
        <v>2</v>
      </c>
      <c r="U1546">
        <v>3</v>
      </c>
      <c r="V1546">
        <v>4</v>
      </c>
      <c r="W1546">
        <v>13</v>
      </c>
      <c r="X1546">
        <v>3</v>
      </c>
      <c r="Y1546">
        <v>211</v>
      </c>
      <c r="Z1546">
        <v>8</v>
      </c>
      <c r="AA1546">
        <v>77</v>
      </c>
      <c r="AC1546">
        <v>2</v>
      </c>
      <c r="AD1546">
        <v>2</v>
      </c>
      <c r="AE1546">
        <v>0</v>
      </c>
      <c r="AF1546">
        <v>0</v>
      </c>
      <c r="AG1546">
        <v>0</v>
      </c>
      <c r="AH1546">
        <v>1</v>
      </c>
      <c r="AI1546">
        <v>0</v>
      </c>
      <c r="AJ1546">
        <v>0</v>
      </c>
      <c r="AK1546">
        <v>7</v>
      </c>
      <c r="AL1546">
        <v>1</v>
      </c>
      <c r="AM1546">
        <v>0</v>
      </c>
      <c r="AN1546">
        <v>0</v>
      </c>
      <c r="BC1546">
        <v>1</v>
      </c>
      <c r="BD1546">
        <v>8</v>
      </c>
      <c r="BE1546">
        <v>527</v>
      </c>
      <c r="BF1546">
        <v>527</v>
      </c>
      <c r="BG1546">
        <v>732</v>
      </c>
      <c r="BJ1546">
        <v>1</v>
      </c>
      <c r="BL1546" t="s">
        <v>3240</v>
      </c>
      <c r="BM1546" s="4">
        <v>43283.1</v>
      </c>
      <c r="BN1546" s="4">
        <v>43283.104270833333</v>
      </c>
      <c r="BO1546" s="4">
        <v>43283.104270833333</v>
      </c>
      <c r="BP1546" t="s">
        <v>92</v>
      </c>
      <c r="BQ1546" t="s">
        <v>93</v>
      </c>
      <c r="BR1546" t="s">
        <v>94</v>
      </c>
    </row>
    <row r="1547" spans="1:70" x14ac:dyDescent="0.3">
      <c r="A1547" t="str">
        <f>"200918C0200"</f>
        <v>200918C0200</v>
      </c>
      <c r="B1547" t="s">
        <v>3241</v>
      </c>
      <c r="C1547">
        <v>20</v>
      </c>
      <c r="D1547" t="s">
        <v>88</v>
      </c>
      <c r="E1547">
        <v>154</v>
      </c>
      <c r="F1547" t="s">
        <v>3227</v>
      </c>
      <c r="G1547">
        <v>918</v>
      </c>
      <c r="H1547">
        <v>2</v>
      </c>
      <c r="I1547" t="s">
        <v>98</v>
      </c>
      <c r="J1547">
        <v>0</v>
      </c>
      <c r="K1547">
        <v>1</v>
      </c>
      <c r="L1547">
        <v>5</v>
      </c>
      <c r="M1547">
        <v>224</v>
      </c>
      <c r="N1547">
        <v>751</v>
      </c>
      <c r="O1547">
        <v>0</v>
      </c>
      <c r="P1547">
        <v>529</v>
      </c>
      <c r="Q1547">
        <v>38</v>
      </c>
      <c r="R1547">
        <v>43</v>
      </c>
      <c r="S1547">
        <v>106</v>
      </c>
      <c r="T1547">
        <v>4</v>
      </c>
      <c r="U1547">
        <v>13</v>
      </c>
      <c r="V1547">
        <v>7</v>
      </c>
      <c r="W1547">
        <v>9</v>
      </c>
      <c r="X1547">
        <v>5</v>
      </c>
      <c r="Y1547">
        <v>182</v>
      </c>
      <c r="Z1547">
        <v>6</v>
      </c>
      <c r="AA1547">
        <v>95</v>
      </c>
      <c r="AC1547">
        <v>2</v>
      </c>
      <c r="AD1547">
        <v>2</v>
      </c>
      <c r="AE1547">
        <v>0</v>
      </c>
      <c r="AF1547">
        <v>1</v>
      </c>
      <c r="AG1547">
        <v>0</v>
      </c>
      <c r="AH1547">
        <v>0</v>
      </c>
      <c r="AI1547">
        <v>0</v>
      </c>
      <c r="AJ1547">
        <v>0</v>
      </c>
      <c r="AK1547">
        <v>6</v>
      </c>
      <c r="AL1547">
        <v>0</v>
      </c>
      <c r="AM1547">
        <v>1</v>
      </c>
      <c r="AN1547">
        <v>0</v>
      </c>
      <c r="BC1547">
        <v>0</v>
      </c>
      <c r="BD1547">
        <v>9</v>
      </c>
      <c r="BE1547">
        <v>529</v>
      </c>
      <c r="BF1547">
        <v>529</v>
      </c>
      <c r="BG1547">
        <v>732</v>
      </c>
      <c r="BJ1547">
        <v>1</v>
      </c>
      <c r="BL1547" t="s">
        <v>3242</v>
      </c>
      <c r="BM1547" s="4">
        <v>43283.101388888892</v>
      </c>
      <c r="BN1547" s="4">
        <v>43283.111435185187</v>
      </c>
      <c r="BO1547" s="4">
        <v>43283.111435185187</v>
      </c>
      <c r="BP1547" t="s">
        <v>92</v>
      </c>
      <c r="BQ1547" t="s">
        <v>93</v>
      </c>
      <c r="BR1547" t="s">
        <v>94</v>
      </c>
    </row>
    <row r="1548" spans="1:70" x14ac:dyDescent="0.3">
      <c r="A1548" t="str">
        <f>"200918C0300"</f>
        <v>200918C0300</v>
      </c>
      <c r="B1548" t="s">
        <v>3243</v>
      </c>
      <c r="C1548">
        <v>20</v>
      </c>
      <c r="D1548" t="s">
        <v>88</v>
      </c>
      <c r="E1548">
        <v>154</v>
      </c>
      <c r="F1548" t="s">
        <v>3227</v>
      </c>
      <c r="G1548">
        <v>918</v>
      </c>
      <c r="H1548">
        <v>3</v>
      </c>
      <c r="I1548" t="s">
        <v>98</v>
      </c>
      <c r="J1548">
        <v>0</v>
      </c>
      <c r="K1548">
        <v>1</v>
      </c>
      <c r="L1548">
        <v>5</v>
      </c>
      <c r="M1548">
        <v>243</v>
      </c>
      <c r="N1548">
        <v>511</v>
      </c>
      <c r="O1548">
        <v>3</v>
      </c>
      <c r="P1548" t="s">
        <v>105</v>
      </c>
      <c r="Q1548">
        <v>22</v>
      </c>
      <c r="R1548">
        <v>42</v>
      </c>
      <c r="S1548">
        <v>98</v>
      </c>
      <c r="T1548">
        <v>3</v>
      </c>
      <c r="U1548">
        <v>16</v>
      </c>
      <c r="V1548">
        <v>13</v>
      </c>
      <c r="W1548">
        <v>5</v>
      </c>
      <c r="X1548">
        <v>2</v>
      </c>
      <c r="Y1548">
        <v>190</v>
      </c>
      <c r="Z1548">
        <v>13</v>
      </c>
      <c r="AA1548">
        <v>90</v>
      </c>
      <c r="AC1548" t="s">
        <v>105</v>
      </c>
      <c r="AD1548">
        <v>3</v>
      </c>
      <c r="AE1548">
        <v>6</v>
      </c>
      <c r="AF1548">
        <v>2</v>
      </c>
      <c r="AG1548" t="s">
        <v>105</v>
      </c>
      <c r="AH1548" t="s">
        <v>105</v>
      </c>
      <c r="AI1548" t="s">
        <v>105</v>
      </c>
      <c r="AJ1548" t="s">
        <v>105</v>
      </c>
      <c r="AK1548">
        <v>4</v>
      </c>
      <c r="AL1548">
        <v>0</v>
      </c>
      <c r="AM1548">
        <v>0</v>
      </c>
      <c r="AN1548">
        <v>0</v>
      </c>
      <c r="BC1548">
        <v>1</v>
      </c>
      <c r="BD1548">
        <v>8</v>
      </c>
      <c r="BE1548">
        <v>512</v>
      </c>
      <c r="BF1548">
        <v>518</v>
      </c>
      <c r="BG1548">
        <v>732</v>
      </c>
      <c r="BI1548" t="s">
        <v>106</v>
      </c>
      <c r="BJ1548">
        <v>1</v>
      </c>
      <c r="BL1548" t="s">
        <v>3244</v>
      </c>
      <c r="BM1548" s="4">
        <v>43283.05</v>
      </c>
      <c r="BN1548" s="4">
        <v>43283.05914351852</v>
      </c>
      <c r="BO1548" s="4">
        <v>43283.05914351852</v>
      </c>
      <c r="BP1548" t="s">
        <v>92</v>
      </c>
      <c r="BQ1548" t="s">
        <v>93</v>
      </c>
      <c r="BR1548" t="s">
        <v>94</v>
      </c>
    </row>
    <row r="1549" spans="1:70" x14ac:dyDescent="0.3">
      <c r="A1549" t="str">
        <f>"200919B0100"</f>
        <v>200919B0100</v>
      </c>
      <c r="B1549" t="s">
        <v>3245</v>
      </c>
      <c r="C1549">
        <v>20</v>
      </c>
      <c r="D1549" t="s">
        <v>88</v>
      </c>
      <c r="E1549">
        <v>154</v>
      </c>
      <c r="F1549" t="s">
        <v>3227</v>
      </c>
      <c r="G1549">
        <v>919</v>
      </c>
      <c r="H1549">
        <v>1</v>
      </c>
      <c r="I1549" t="s">
        <v>90</v>
      </c>
      <c r="J1549">
        <v>0</v>
      </c>
      <c r="K1549">
        <v>2</v>
      </c>
      <c r="L1549">
        <v>5</v>
      </c>
      <c r="M1549">
        <v>210</v>
      </c>
      <c r="N1549">
        <v>501</v>
      </c>
      <c r="O1549">
        <v>7</v>
      </c>
      <c r="P1549">
        <v>495</v>
      </c>
      <c r="Q1549">
        <v>15</v>
      </c>
      <c r="R1549">
        <v>77</v>
      </c>
      <c r="S1549">
        <v>115</v>
      </c>
      <c r="T1549">
        <v>4</v>
      </c>
      <c r="U1549">
        <v>21</v>
      </c>
      <c r="V1549">
        <v>3</v>
      </c>
      <c r="W1549">
        <v>33</v>
      </c>
      <c r="X1549">
        <v>4</v>
      </c>
      <c r="Y1549">
        <v>161</v>
      </c>
      <c r="Z1549">
        <v>13</v>
      </c>
      <c r="AA1549">
        <v>68</v>
      </c>
      <c r="AC1549">
        <v>2</v>
      </c>
      <c r="AD1549">
        <v>4</v>
      </c>
      <c r="AE1549">
        <v>0</v>
      </c>
      <c r="AF1549">
        <v>1</v>
      </c>
      <c r="AG1549">
        <v>0</v>
      </c>
      <c r="AH1549">
        <v>0</v>
      </c>
      <c r="AI1549">
        <v>0</v>
      </c>
      <c r="AJ1549">
        <v>0</v>
      </c>
      <c r="AK1549">
        <v>3</v>
      </c>
      <c r="AL1549">
        <v>3</v>
      </c>
      <c r="AM1549">
        <v>0</v>
      </c>
      <c r="AN1549">
        <v>0</v>
      </c>
      <c r="BC1549">
        <v>0</v>
      </c>
      <c r="BD1549">
        <v>8</v>
      </c>
      <c r="BE1549">
        <v>535</v>
      </c>
      <c r="BF1549">
        <v>535</v>
      </c>
      <c r="BG1549">
        <v>686</v>
      </c>
      <c r="BJ1549">
        <v>1</v>
      </c>
      <c r="BL1549" t="s">
        <v>3246</v>
      </c>
      <c r="BM1549" s="4">
        <v>43283.172222222223</v>
      </c>
      <c r="BN1549" s="4">
        <v>43283.185439814813</v>
      </c>
      <c r="BO1549" s="4">
        <v>43283.185439814813</v>
      </c>
      <c r="BP1549" t="s">
        <v>92</v>
      </c>
      <c r="BQ1549" t="s">
        <v>93</v>
      </c>
      <c r="BR1549" t="s">
        <v>94</v>
      </c>
    </row>
    <row r="1550" spans="1:70" x14ac:dyDescent="0.3">
      <c r="A1550" t="str">
        <f>"200919C0100"</f>
        <v>200919C0100</v>
      </c>
      <c r="B1550" t="s">
        <v>3247</v>
      </c>
      <c r="C1550">
        <v>20</v>
      </c>
      <c r="D1550" t="s">
        <v>88</v>
      </c>
      <c r="E1550">
        <v>154</v>
      </c>
      <c r="F1550" t="s">
        <v>3227</v>
      </c>
      <c r="G1550">
        <v>919</v>
      </c>
      <c r="H1550">
        <v>1</v>
      </c>
      <c r="I1550" t="s">
        <v>98</v>
      </c>
      <c r="J1550">
        <v>0</v>
      </c>
      <c r="K1550">
        <v>2</v>
      </c>
      <c r="L1550">
        <v>5</v>
      </c>
      <c r="M1550">
        <v>245</v>
      </c>
      <c r="N1550">
        <v>424</v>
      </c>
      <c r="O1550">
        <v>5</v>
      </c>
      <c r="P1550">
        <v>450</v>
      </c>
      <c r="Q1550">
        <v>19</v>
      </c>
      <c r="R1550">
        <v>65</v>
      </c>
      <c r="S1550">
        <v>89</v>
      </c>
      <c r="T1550">
        <v>4</v>
      </c>
      <c r="U1550">
        <v>16</v>
      </c>
      <c r="V1550">
        <v>2</v>
      </c>
      <c r="W1550">
        <v>12</v>
      </c>
      <c r="X1550">
        <v>1</v>
      </c>
      <c r="Y1550">
        <v>151</v>
      </c>
      <c r="Z1550">
        <v>12</v>
      </c>
      <c r="AA1550">
        <v>66</v>
      </c>
      <c r="AC1550">
        <v>1</v>
      </c>
      <c r="AD1550">
        <v>1</v>
      </c>
      <c r="AE1550">
        <v>0</v>
      </c>
      <c r="AF1550">
        <v>0</v>
      </c>
      <c r="AG1550">
        <v>1</v>
      </c>
      <c r="AH1550">
        <v>0</v>
      </c>
      <c r="AI1550">
        <v>0</v>
      </c>
      <c r="AJ1550">
        <v>0</v>
      </c>
      <c r="AK1550">
        <v>4</v>
      </c>
      <c r="AL1550">
        <v>1</v>
      </c>
      <c r="AM1550">
        <v>0</v>
      </c>
      <c r="AN1550">
        <v>1</v>
      </c>
      <c r="BC1550">
        <v>0</v>
      </c>
      <c r="BD1550">
        <v>4</v>
      </c>
      <c r="BE1550">
        <v>450</v>
      </c>
      <c r="BF1550">
        <v>450</v>
      </c>
      <c r="BG1550">
        <v>686</v>
      </c>
      <c r="BJ1550">
        <v>1</v>
      </c>
      <c r="BL1550" t="s">
        <v>3248</v>
      </c>
      <c r="BM1550" s="4">
        <v>43283.175000000003</v>
      </c>
      <c r="BN1550" s="4">
        <v>43283.195231481484</v>
      </c>
      <c r="BO1550" s="4">
        <v>43283.195231481484</v>
      </c>
      <c r="BP1550" t="s">
        <v>92</v>
      </c>
      <c r="BQ1550" t="s">
        <v>93</v>
      </c>
      <c r="BR1550" t="s">
        <v>94</v>
      </c>
    </row>
    <row r="1551" spans="1:70" x14ac:dyDescent="0.3">
      <c r="A1551" t="str">
        <f>"200919C0200"</f>
        <v>200919C0200</v>
      </c>
      <c r="B1551" t="s">
        <v>3249</v>
      </c>
      <c r="C1551">
        <v>20</v>
      </c>
      <c r="D1551" t="s">
        <v>88</v>
      </c>
      <c r="E1551">
        <v>154</v>
      </c>
      <c r="F1551" t="s">
        <v>3227</v>
      </c>
      <c r="G1551">
        <v>919</v>
      </c>
      <c r="H1551">
        <v>2</v>
      </c>
      <c r="I1551" t="s">
        <v>98</v>
      </c>
      <c r="J1551">
        <v>0</v>
      </c>
      <c r="K1551">
        <v>2</v>
      </c>
      <c r="L1551">
        <v>5</v>
      </c>
      <c r="M1551">
        <v>221</v>
      </c>
      <c r="N1551">
        <v>494</v>
      </c>
      <c r="O1551">
        <v>7</v>
      </c>
      <c r="P1551">
        <v>407</v>
      </c>
      <c r="Q1551">
        <v>13</v>
      </c>
      <c r="R1551">
        <v>53</v>
      </c>
      <c r="S1551">
        <v>104</v>
      </c>
      <c r="T1551">
        <v>5</v>
      </c>
      <c r="U1551">
        <v>14</v>
      </c>
      <c r="V1551">
        <v>5</v>
      </c>
      <c r="W1551">
        <v>20</v>
      </c>
      <c r="X1551">
        <v>3</v>
      </c>
      <c r="Y1551">
        <v>134</v>
      </c>
      <c r="Z1551">
        <v>7</v>
      </c>
      <c r="AA1551">
        <v>50</v>
      </c>
      <c r="AC1551">
        <v>0</v>
      </c>
      <c r="AD1551">
        <v>1</v>
      </c>
      <c r="AE1551">
        <v>0</v>
      </c>
      <c r="AF1551">
        <v>3</v>
      </c>
      <c r="AG1551">
        <v>2</v>
      </c>
      <c r="AH1551">
        <v>1</v>
      </c>
      <c r="AI1551">
        <v>0</v>
      </c>
      <c r="AJ1551">
        <v>0</v>
      </c>
      <c r="AK1551">
        <v>6</v>
      </c>
      <c r="AL1551">
        <v>3</v>
      </c>
      <c r="AM1551">
        <v>0</v>
      </c>
      <c r="AN1551">
        <v>1</v>
      </c>
      <c r="BC1551">
        <v>0</v>
      </c>
      <c r="BD1551">
        <v>12</v>
      </c>
      <c r="BE1551">
        <v>437</v>
      </c>
      <c r="BF1551">
        <v>437</v>
      </c>
      <c r="BG1551">
        <v>686</v>
      </c>
      <c r="BJ1551">
        <v>1</v>
      </c>
      <c r="BL1551" t="s">
        <v>3250</v>
      </c>
      <c r="BM1551" s="4">
        <v>43283.177777777775</v>
      </c>
      <c r="BN1551" s="4">
        <v>43283.199259259258</v>
      </c>
      <c r="BO1551" s="4">
        <v>43283.199259259258</v>
      </c>
      <c r="BP1551" t="s">
        <v>92</v>
      </c>
      <c r="BQ1551" t="s">
        <v>93</v>
      </c>
      <c r="BR1551" t="s">
        <v>94</v>
      </c>
    </row>
    <row r="1552" spans="1:70" x14ac:dyDescent="0.3">
      <c r="A1552" t="str">
        <f>"200919E0100"</f>
        <v>200919E0100</v>
      </c>
      <c r="B1552" s="2" t="s">
        <v>3251</v>
      </c>
      <c r="C1552">
        <v>20</v>
      </c>
      <c r="D1552" t="s">
        <v>88</v>
      </c>
      <c r="E1552">
        <v>154</v>
      </c>
      <c r="F1552" t="s">
        <v>3227</v>
      </c>
      <c r="G1552">
        <v>919</v>
      </c>
      <c r="H1552">
        <v>1</v>
      </c>
      <c r="I1552" t="s">
        <v>156</v>
      </c>
      <c r="J1552">
        <v>0</v>
      </c>
      <c r="K1552">
        <v>2</v>
      </c>
      <c r="L1552">
        <v>5</v>
      </c>
      <c r="M1552">
        <v>222</v>
      </c>
      <c r="N1552">
        <v>337</v>
      </c>
      <c r="O1552">
        <v>9</v>
      </c>
      <c r="P1552">
        <v>335</v>
      </c>
      <c r="Q1552">
        <v>11</v>
      </c>
      <c r="R1552">
        <v>33</v>
      </c>
      <c r="S1552">
        <v>61</v>
      </c>
      <c r="T1552">
        <v>3</v>
      </c>
      <c r="U1552">
        <v>11</v>
      </c>
      <c r="V1552">
        <v>0</v>
      </c>
      <c r="W1552">
        <v>23</v>
      </c>
      <c r="X1552">
        <v>3</v>
      </c>
      <c r="Y1552">
        <v>100</v>
      </c>
      <c r="Z1552">
        <v>4</v>
      </c>
      <c r="AA1552">
        <v>67</v>
      </c>
      <c r="AC1552">
        <v>3</v>
      </c>
      <c r="AD1552">
        <v>1</v>
      </c>
      <c r="AE1552">
        <v>0</v>
      </c>
      <c r="AF1552">
        <v>0</v>
      </c>
      <c r="AG1552">
        <v>0</v>
      </c>
      <c r="AH1552">
        <v>1</v>
      </c>
      <c r="AI1552">
        <v>0</v>
      </c>
      <c r="AJ1552">
        <v>0</v>
      </c>
      <c r="AK1552">
        <v>4</v>
      </c>
      <c r="AL1552">
        <v>0</v>
      </c>
      <c r="AM1552">
        <v>0</v>
      </c>
      <c r="AN1552">
        <v>3</v>
      </c>
      <c r="BC1552">
        <v>0</v>
      </c>
      <c r="BD1552">
        <v>7</v>
      </c>
      <c r="BE1552">
        <v>335</v>
      </c>
      <c r="BF1552">
        <v>335</v>
      </c>
      <c r="BG1552">
        <v>535</v>
      </c>
      <c r="BJ1552">
        <v>1</v>
      </c>
      <c r="BL1552" t="s">
        <v>3252</v>
      </c>
      <c r="BM1552" s="4">
        <v>43283.180555555555</v>
      </c>
      <c r="BN1552" s="4">
        <v>43283.196030092593</v>
      </c>
      <c r="BO1552" s="4">
        <v>43283.196030092593</v>
      </c>
      <c r="BP1552" t="s">
        <v>92</v>
      </c>
      <c r="BQ1552" t="s">
        <v>93</v>
      </c>
      <c r="BR1552" t="s">
        <v>94</v>
      </c>
    </row>
    <row r="1553" spans="1:70" x14ac:dyDescent="0.3">
      <c r="A1553" t="str">
        <f>"200919E0101"</f>
        <v>200919E0101</v>
      </c>
      <c r="B1553" s="2" t="s">
        <v>3253</v>
      </c>
      <c r="C1553">
        <v>20</v>
      </c>
      <c r="D1553" t="s">
        <v>88</v>
      </c>
      <c r="E1553">
        <v>154</v>
      </c>
      <c r="F1553" t="s">
        <v>3227</v>
      </c>
      <c r="G1553">
        <v>919</v>
      </c>
      <c r="H1553">
        <v>1</v>
      </c>
      <c r="I1553" t="s">
        <v>156</v>
      </c>
      <c r="J1553">
        <v>1</v>
      </c>
      <c r="K1553">
        <v>2</v>
      </c>
      <c r="L1553">
        <v>5</v>
      </c>
      <c r="M1553">
        <v>209</v>
      </c>
      <c r="N1553">
        <v>448</v>
      </c>
      <c r="O1553">
        <v>9</v>
      </c>
      <c r="P1553">
        <v>347</v>
      </c>
      <c r="Q1553">
        <v>8</v>
      </c>
      <c r="R1553">
        <v>40</v>
      </c>
      <c r="S1553">
        <v>59</v>
      </c>
      <c r="T1553">
        <v>5</v>
      </c>
      <c r="U1553">
        <v>15</v>
      </c>
      <c r="V1553">
        <v>3</v>
      </c>
      <c r="W1553">
        <v>8</v>
      </c>
      <c r="X1553">
        <v>4</v>
      </c>
      <c r="Y1553">
        <v>123</v>
      </c>
      <c r="Z1553">
        <v>6</v>
      </c>
      <c r="AA1553">
        <v>46</v>
      </c>
      <c r="AC1553">
        <v>0</v>
      </c>
      <c r="AD1553">
        <v>4</v>
      </c>
      <c r="AE1553">
        <v>0</v>
      </c>
      <c r="AF1553">
        <v>0</v>
      </c>
      <c r="AG1553">
        <v>0</v>
      </c>
      <c r="AH1553">
        <v>1</v>
      </c>
      <c r="AI1553">
        <v>0</v>
      </c>
      <c r="AJ1553">
        <v>0</v>
      </c>
      <c r="AK1553">
        <v>10</v>
      </c>
      <c r="AL1553">
        <v>4</v>
      </c>
      <c r="AM1553">
        <v>0</v>
      </c>
      <c r="AN1553">
        <v>3</v>
      </c>
      <c r="BC1553">
        <v>0</v>
      </c>
      <c r="BD1553">
        <v>8</v>
      </c>
      <c r="BE1553">
        <v>347</v>
      </c>
      <c r="BF1553">
        <v>347</v>
      </c>
      <c r="BG1553">
        <v>534</v>
      </c>
      <c r="BJ1553">
        <v>1</v>
      </c>
      <c r="BL1553" t="s">
        <v>3254</v>
      </c>
      <c r="BM1553" s="4">
        <v>43283.175694444442</v>
      </c>
      <c r="BN1553" s="4">
        <v>43283.193252314813</v>
      </c>
      <c r="BO1553" s="4">
        <v>43283.193252314813</v>
      </c>
      <c r="BP1553" t="s">
        <v>92</v>
      </c>
      <c r="BQ1553" t="s">
        <v>93</v>
      </c>
      <c r="BR1553" t="s">
        <v>94</v>
      </c>
    </row>
    <row r="1554" spans="1:70" x14ac:dyDescent="0.3">
      <c r="A1554" t="str">
        <f>"200919E0200"</f>
        <v>200919E0200</v>
      </c>
      <c r="B1554" s="2" t="s">
        <v>3255</v>
      </c>
      <c r="C1554">
        <v>20</v>
      </c>
      <c r="D1554" t="s">
        <v>88</v>
      </c>
      <c r="E1554">
        <v>154</v>
      </c>
      <c r="F1554" t="s">
        <v>3227</v>
      </c>
      <c r="G1554">
        <v>919</v>
      </c>
      <c r="H1554">
        <v>2</v>
      </c>
      <c r="I1554" t="s">
        <v>156</v>
      </c>
      <c r="J1554">
        <v>0</v>
      </c>
      <c r="K1554">
        <v>2</v>
      </c>
      <c r="L1554">
        <v>5</v>
      </c>
      <c r="M1554">
        <v>290</v>
      </c>
      <c r="N1554">
        <v>470</v>
      </c>
      <c r="O1554">
        <v>4</v>
      </c>
      <c r="P1554">
        <v>470</v>
      </c>
      <c r="Q1554">
        <v>24</v>
      </c>
      <c r="R1554">
        <v>54</v>
      </c>
      <c r="S1554">
        <v>75</v>
      </c>
      <c r="T1554">
        <v>5</v>
      </c>
      <c r="U1554">
        <v>14</v>
      </c>
      <c r="V1554">
        <v>2</v>
      </c>
      <c r="W1554">
        <v>16</v>
      </c>
      <c r="X1554">
        <v>4</v>
      </c>
      <c r="Y1554">
        <v>173</v>
      </c>
      <c r="Z1554">
        <v>5</v>
      </c>
      <c r="AA1554">
        <v>73</v>
      </c>
      <c r="AC1554">
        <v>2</v>
      </c>
      <c r="AD1554"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v>0</v>
      </c>
      <c r="AK1554">
        <v>6</v>
      </c>
      <c r="AL1554">
        <v>3</v>
      </c>
      <c r="AM1554">
        <v>0</v>
      </c>
      <c r="AN1554">
        <v>0</v>
      </c>
      <c r="BC1554">
        <v>0</v>
      </c>
      <c r="BD1554">
        <v>14</v>
      </c>
      <c r="BE1554">
        <v>470</v>
      </c>
      <c r="BF1554">
        <v>470</v>
      </c>
      <c r="BG1554">
        <v>738</v>
      </c>
      <c r="BJ1554">
        <v>1</v>
      </c>
      <c r="BL1554" t="s">
        <v>3256</v>
      </c>
      <c r="BM1554" s="4">
        <v>43283.180555555555</v>
      </c>
      <c r="BN1554" s="4">
        <v>43283.197546296295</v>
      </c>
      <c r="BO1554" s="4">
        <v>43283.197546296295</v>
      </c>
      <c r="BP1554" t="s">
        <v>92</v>
      </c>
      <c r="BQ1554" t="s">
        <v>93</v>
      </c>
      <c r="BR1554" t="s">
        <v>94</v>
      </c>
    </row>
    <row r="1555" spans="1:70" x14ac:dyDescent="0.3">
      <c r="A1555" t="str">
        <f>"200919E0201"</f>
        <v>200919E0201</v>
      </c>
      <c r="B1555" s="2" t="s">
        <v>3257</v>
      </c>
      <c r="C1555">
        <v>20</v>
      </c>
      <c r="D1555" t="s">
        <v>88</v>
      </c>
      <c r="E1555">
        <v>154</v>
      </c>
      <c r="F1555" t="s">
        <v>3227</v>
      </c>
      <c r="G1555">
        <v>919</v>
      </c>
      <c r="H1555">
        <v>2</v>
      </c>
      <c r="I1555" t="s">
        <v>156</v>
      </c>
      <c r="J1555">
        <v>1</v>
      </c>
      <c r="K1555">
        <v>2</v>
      </c>
      <c r="L1555">
        <v>5</v>
      </c>
      <c r="M1555" t="s">
        <v>105</v>
      </c>
      <c r="N1555" t="s">
        <v>105</v>
      </c>
      <c r="O1555" t="s">
        <v>105</v>
      </c>
      <c r="P1555" t="s">
        <v>105</v>
      </c>
      <c r="Q1555" t="s">
        <v>105</v>
      </c>
      <c r="R1555" t="s">
        <v>105</v>
      </c>
      <c r="S1555" t="s">
        <v>105</v>
      </c>
      <c r="T1555" t="s">
        <v>105</v>
      </c>
      <c r="U1555" t="s">
        <v>105</v>
      </c>
      <c r="V1555" t="s">
        <v>105</v>
      </c>
      <c r="W1555" t="s">
        <v>105</v>
      </c>
      <c r="X1555" t="s">
        <v>105</v>
      </c>
      <c r="Y1555" t="s">
        <v>105</v>
      </c>
      <c r="Z1555" t="s">
        <v>105</v>
      </c>
      <c r="AA1555" t="s">
        <v>105</v>
      </c>
      <c r="AC1555" t="s">
        <v>105</v>
      </c>
      <c r="AD1555" t="s">
        <v>105</v>
      </c>
      <c r="AE1555" t="s">
        <v>105</v>
      </c>
      <c r="AF1555" t="s">
        <v>105</v>
      </c>
      <c r="AG1555" t="s">
        <v>105</v>
      </c>
      <c r="AH1555" t="s">
        <v>105</v>
      </c>
      <c r="AI1555" t="s">
        <v>105</v>
      </c>
      <c r="AJ1555" t="s">
        <v>105</v>
      </c>
      <c r="AK1555" t="s">
        <v>105</v>
      </c>
      <c r="AL1555" t="s">
        <v>105</v>
      </c>
      <c r="AM1555" t="s">
        <v>105</v>
      </c>
      <c r="AN1555" t="s">
        <v>105</v>
      </c>
      <c r="BC1555" t="s">
        <v>105</v>
      </c>
      <c r="BD1555" t="s">
        <v>105</v>
      </c>
      <c r="BG1555">
        <v>738</v>
      </c>
      <c r="BI1555" t="s">
        <v>1244</v>
      </c>
      <c r="BJ1555">
        <v>0</v>
      </c>
      <c r="BL1555" t="s">
        <v>3258</v>
      </c>
      <c r="BM1555" s="4">
        <v>43283.173611111109</v>
      </c>
      <c r="BN1555" s="4">
        <v>43283.211168981485</v>
      </c>
      <c r="BO1555" s="4">
        <v>43283.211168981485</v>
      </c>
      <c r="BP1555" t="s">
        <v>92</v>
      </c>
      <c r="BQ1555" t="s">
        <v>93</v>
      </c>
      <c r="BR1555" t="s">
        <v>94</v>
      </c>
    </row>
    <row r="1556" spans="1:70" x14ac:dyDescent="0.3">
      <c r="A1556" t="str">
        <f>"200924B0100"</f>
        <v>200924B0100</v>
      </c>
      <c r="B1556" t="s">
        <v>3259</v>
      </c>
      <c r="C1556">
        <v>20</v>
      </c>
      <c r="D1556" t="s">
        <v>88</v>
      </c>
      <c r="E1556">
        <v>157</v>
      </c>
      <c r="F1556" t="s">
        <v>3260</v>
      </c>
      <c r="G1556">
        <v>924</v>
      </c>
      <c r="H1556">
        <v>1</v>
      </c>
      <c r="I1556" t="s">
        <v>90</v>
      </c>
      <c r="J1556">
        <v>0</v>
      </c>
      <c r="K1556">
        <v>2</v>
      </c>
      <c r="L1556">
        <v>5</v>
      </c>
      <c r="M1556">
        <v>258</v>
      </c>
      <c r="N1556">
        <v>559</v>
      </c>
      <c r="O1556">
        <v>0</v>
      </c>
      <c r="P1556">
        <v>301</v>
      </c>
      <c r="Q1556">
        <v>98</v>
      </c>
      <c r="R1556">
        <v>153</v>
      </c>
      <c r="S1556">
        <v>1</v>
      </c>
      <c r="T1556">
        <v>1</v>
      </c>
      <c r="U1556">
        <v>4</v>
      </c>
      <c r="V1556">
        <v>0</v>
      </c>
      <c r="X1556">
        <v>3</v>
      </c>
      <c r="Y1556">
        <v>24</v>
      </c>
      <c r="Z1556">
        <v>1</v>
      </c>
      <c r="AC1556">
        <v>3</v>
      </c>
      <c r="AD1556">
        <v>0</v>
      </c>
      <c r="AE1556">
        <v>0</v>
      </c>
      <c r="AF1556">
        <v>0</v>
      </c>
      <c r="AG1556">
        <v>0</v>
      </c>
      <c r="AH1556">
        <v>2</v>
      </c>
      <c r="AI1556">
        <v>1</v>
      </c>
      <c r="AJ1556">
        <v>0</v>
      </c>
      <c r="AK1556">
        <v>0</v>
      </c>
      <c r="AL1556">
        <v>1</v>
      </c>
      <c r="AM1556">
        <v>0</v>
      </c>
      <c r="AN1556">
        <v>1</v>
      </c>
      <c r="BC1556">
        <v>0</v>
      </c>
      <c r="BD1556">
        <v>8</v>
      </c>
      <c r="BE1556">
        <v>301</v>
      </c>
      <c r="BF1556">
        <v>301</v>
      </c>
      <c r="BG1556">
        <v>537</v>
      </c>
      <c r="BJ1556">
        <v>1</v>
      </c>
      <c r="BL1556" t="s">
        <v>3261</v>
      </c>
      <c r="BM1556" s="4">
        <v>43283.270138888889</v>
      </c>
      <c r="BN1556" s="4">
        <v>43283.309386574074</v>
      </c>
      <c r="BO1556" s="4">
        <v>43283.309386574074</v>
      </c>
      <c r="BP1556" t="s">
        <v>92</v>
      </c>
      <c r="BQ1556" t="s">
        <v>93</v>
      </c>
      <c r="BR1556" t="s">
        <v>94</v>
      </c>
    </row>
    <row r="1557" spans="1:70" x14ac:dyDescent="0.3">
      <c r="A1557" t="str">
        <f>"200925B0100"</f>
        <v>200925B0100</v>
      </c>
      <c r="B1557" t="s">
        <v>3262</v>
      </c>
      <c r="C1557">
        <v>20</v>
      </c>
      <c r="D1557" t="s">
        <v>88</v>
      </c>
      <c r="E1557">
        <v>157</v>
      </c>
      <c r="F1557" t="s">
        <v>3260</v>
      </c>
      <c r="G1557">
        <v>925</v>
      </c>
      <c r="H1557">
        <v>1</v>
      </c>
      <c r="I1557" t="s">
        <v>90</v>
      </c>
      <c r="J1557">
        <v>0</v>
      </c>
      <c r="K1557">
        <v>2</v>
      </c>
      <c r="L1557">
        <v>5</v>
      </c>
      <c r="M1557" t="s">
        <v>127</v>
      </c>
      <c r="N1557" t="s">
        <v>127</v>
      </c>
      <c r="O1557" t="s">
        <v>127</v>
      </c>
      <c r="P1557" t="s">
        <v>127</v>
      </c>
      <c r="Q1557" t="s">
        <v>127</v>
      </c>
      <c r="R1557" t="s">
        <v>127</v>
      </c>
      <c r="S1557" t="s">
        <v>127</v>
      </c>
      <c r="T1557" t="s">
        <v>127</v>
      </c>
      <c r="U1557" t="s">
        <v>127</v>
      </c>
      <c r="V1557" t="s">
        <v>127</v>
      </c>
      <c r="X1557" t="s">
        <v>127</v>
      </c>
      <c r="Y1557" t="s">
        <v>127</v>
      </c>
      <c r="Z1557" t="s">
        <v>127</v>
      </c>
      <c r="AC1557" t="s">
        <v>127</v>
      </c>
      <c r="AD1557" t="s">
        <v>127</v>
      </c>
      <c r="AE1557" t="s">
        <v>127</v>
      </c>
      <c r="AF1557" t="s">
        <v>127</v>
      </c>
      <c r="AG1557" t="s">
        <v>127</v>
      </c>
      <c r="AH1557" t="s">
        <v>127</v>
      </c>
      <c r="AI1557" t="s">
        <v>127</v>
      </c>
      <c r="AJ1557" t="s">
        <v>127</v>
      </c>
      <c r="AK1557" t="s">
        <v>127</v>
      </c>
      <c r="AL1557" t="s">
        <v>127</v>
      </c>
      <c r="AM1557" t="s">
        <v>127</v>
      </c>
      <c r="AN1557" t="s">
        <v>127</v>
      </c>
      <c r="BC1557" t="s">
        <v>127</v>
      </c>
      <c r="BD1557" t="s">
        <v>127</v>
      </c>
      <c r="BG1557">
        <v>619</v>
      </c>
      <c r="BI1557" t="s">
        <v>1244</v>
      </c>
      <c r="BJ1557">
        <v>0</v>
      </c>
      <c r="BL1557" t="s">
        <v>3263</v>
      </c>
      <c r="BM1557" s="4">
        <v>43283.272222222222</v>
      </c>
      <c r="BN1557" s="4">
        <v>43283.310671296298</v>
      </c>
      <c r="BO1557" s="4">
        <v>43283.310671296298</v>
      </c>
      <c r="BP1557" t="s">
        <v>92</v>
      </c>
      <c r="BQ1557" t="s">
        <v>93</v>
      </c>
      <c r="BR1557" t="s">
        <v>94</v>
      </c>
    </row>
    <row r="1558" spans="1:70" x14ac:dyDescent="0.3">
      <c r="A1558" t="str">
        <f>"200943B0100"</f>
        <v>200943B0100</v>
      </c>
      <c r="B1558" t="s">
        <v>3264</v>
      </c>
      <c r="C1558">
        <v>20</v>
      </c>
      <c r="D1558" t="s">
        <v>88</v>
      </c>
      <c r="E1558">
        <v>164</v>
      </c>
      <c r="F1558" t="s">
        <v>3265</v>
      </c>
      <c r="G1558">
        <v>943</v>
      </c>
      <c r="H1558">
        <v>1</v>
      </c>
      <c r="I1558" t="s">
        <v>90</v>
      </c>
      <c r="J1558">
        <v>0</v>
      </c>
      <c r="K1558">
        <v>2</v>
      </c>
      <c r="L1558">
        <v>5</v>
      </c>
      <c r="M1558">
        <v>155</v>
      </c>
      <c r="N1558">
        <v>560</v>
      </c>
      <c r="O1558">
        <v>7</v>
      </c>
      <c r="P1558">
        <v>560</v>
      </c>
      <c r="Q1558">
        <v>80</v>
      </c>
      <c r="R1558">
        <v>130</v>
      </c>
      <c r="S1558">
        <v>6</v>
      </c>
      <c r="T1558">
        <v>0</v>
      </c>
      <c r="U1558">
        <v>3</v>
      </c>
      <c r="V1558">
        <v>6</v>
      </c>
      <c r="X1558">
        <v>63</v>
      </c>
      <c r="Y1558">
        <v>153</v>
      </c>
      <c r="Z1558">
        <v>37</v>
      </c>
      <c r="AA1558">
        <v>44</v>
      </c>
      <c r="AC1558">
        <v>0</v>
      </c>
      <c r="AD1558">
        <v>0</v>
      </c>
      <c r="AE1558">
        <v>0</v>
      </c>
      <c r="AF1558">
        <v>0</v>
      </c>
      <c r="AK1558">
        <v>25</v>
      </c>
      <c r="AL1558">
        <v>0</v>
      </c>
      <c r="AM1558">
        <v>0</v>
      </c>
      <c r="AN1558">
        <v>2</v>
      </c>
      <c r="AT1558">
        <v>1</v>
      </c>
      <c r="BC1558">
        <v>1</v>
      </c>
      <c r="BD1558">
        <v>9</v>
      </c>
      <c r="BE1558">
        <v>560</v>
      </c>
      <c r="BF1558">
        <v>560</v>
      </c>
      <c r="BG1558">
        <v>693</v>
      </c>
      <c r="BJ1558">
        <v>1</v>
      </c>
      <c r="BL1558" t="s">
        <v>3266</v>
      </c>
      <c r="BM1558" s="4">
        <v>43283.161412037036</v>
      </c>
      <c r="BN1558" s="4">
        <v>43283.182673611111</v>
      </c>
      <c r="BO1558" s="4">
        <v>43283.182673611111</v>
      </c>
      <c r="BP1558" t="s">
        <v>92</v>
      </c>
      <c r="BQ1558" t="s">
        <v>93</v>
      </c>
      <c r="BR1558" t="s">
        <v>94</v>
      </c>
    </row>
    <row r="1559" spans="1:70" x14ac:dyDescent="0.3">
      <c r="A1559" t="str">
        <f>"200943C0100"</f>
        <v>200943C0100</v>
      </c>
      <c r="B1559" t="s">
        <v>3267</v>
      </c>
      <c r="C1559">
        <v>20</v>
      </c>
      <c r="D1559" t="s">
        <v>88</v>
      </c>
      <c r="E1559">
        <v>164</v>
      </c>
      <c r="F1559" t="s">
        <v>3265</v>
      </c>
      <c r="G1559">
        <v>943</v>
      </c>
      <c r="H1559">
        <v>1</v>
      </c>
      <c r="I1559" t="s">
        <v>98</v>
      </c>
      <c r="J1559">
        <v>0</v>
      </c>
      <c r="K1559">
        <v>2</v>
      </c>
      <c r="L1559">
        <v>5</v>
      </c>
      <c r="M1559">
        <v>180</v>
      </c>
      <c r="N1559">
        <v>534</v>
      </c>
      <c r="O1559">
        <v>5</v>
      </c>
      <c r="P1559">
        <v>534</v>
      </c>
      <c r="Q1559">
        <v>73</v>
      </c>
      <c r="R1559">
        <v>119</v>
      </c>
      <c r="S1559">
        <v>3</v>
      </c>
      <c r="T1559">
        <v>1</v>
      </c>
      <c r="U1559">
        <v>9</v>
      </c>
      <c r="V1559">
        <v>6</v>
      </c>
      <c r="X1559">
        <v>72</v>
      </c>
      <c r="Y1559">
        <v>141</v>
      </c>
      <c r="Z1559">
        <v>31</v>
      </c>
      <c r="AA1559">
        <v>46</v>
      </c>
      <c r="AC1559">
        <v>2</v>
      </c>
      <c r="AD1559">
        <v>0</v>
      </c>
      <c r="AE1559">
        <v>0</v>
      </c>
      <c r="AF1559">
        <v>0</v>
      </c>
      <c r="AK1559">
        <v>12</v>
      </c>
      <c r="AL1559">
        <v>0</v>
      </c>
      <c r="AM1559">
        <v>0</v>
      </c>
      <c r="AN1559">
        <v>5</v>
      </c>
      <c r="AT1559">
        <v>1</v>
      </c>
      <c r="BC1559">
        <v>0</v>
      </c>
      <c r="BD1559">
        <v>10</v>
      </c>
      <c r="BE1559">
        <v>531</v>
      </c>
      <c r="BF1559">
        <v>531</v>
      </c>
      <c r="BG1559">
        <v>692</v>
      </c>
      <c r="BJ1559">
        <v>1</v>
      </c>
      <c r="BL1559" t="s">
        <v>3268</v>
      </c>
      <c r="BM1559" s="4">
        <v>43283.164826388886</v>
      </c>
      <c r="BN1559" s="4">
        <v>43283.175787037035</v>
      </c>
      <c r="BO1559" s="4">
        <v>43283.175787037035</v>
      </c>
      <c r="BP1559" t="s">
        <v>92</v>
      </c>
      <c r="BQ1559" t="s">
        <v>93</v>
      </c>
      <c r="BR1559" t="s">
        <v>94</v>
      </c>
    </row>
    <row r="1560" spans="1:70" x14ac:dyDescent="0.3">
      <c r="A1560" t="str">
        <f>"200943E0100"</f>
        <v>200943E0100</v>
      </c>
      <c r="B1560" s="2" t="s">
        <v>3269</v>
      </c>
      <c r="C1560">
        <v>20</v>
      </c>
      <c r="D1560" t="s">
        <v>88</v>
      </c>
      <c r="E1560">
        <v>164</v>
      </c>
      <c r="F1560" t="s">
        <v>3265</v>
      </c>
      <c r="G1560">
        <v>943</v>
      </c>
      <c r="H1560">
        <v>1</v>
      </c>
      <c r="I1560" t="s">
        <v>156</v>
      </c>
      <c r="J1560">
        <v>0</v>
      </c>
      <c r="K1560">
        <v>2</v>
      </c>
      <c r="L1560">
        <v>5</v>
      </c>
      <c r="M1560">
        <v>131</v>
      </c>
      <c r="N1560">
        <v>531</v>
      </c>
      <c r="O1560">
        <v>5</v>
      </c>
      <c r="P1560">
        <v>531</v>
      </c>
      <c r="Q1560">
        <v>138</v>
      </c>
      <c r="R1560">
        <v>103</v>
      </c>
      <c r="S1560">
        <v>3</v>
      </c>
      <c r="T1560">
        <v>1</v>
      </c>
      <c r="U1560">
        <v>4</v>
      </c>
      <c r="V1560">
        <v>4</v>
      </c>
      <c r="X1560">
        <v>45</v>
      </c>
      <c r="Y1560">
        <v>126</v>
      </c>
      <c r="Z1560">
        <v>31</v>
      </c>
      <c r="AA1560">
        <v>48</v>
      </c>
      <c r="AC1560">
        <v>2</v>
      </c>
      <c r="AD1560">
        <v>0</v>
      </c>
      <c r="AE1560">
        <v>0</v>
      </c>
      <c r="AF1560">
        <v>0</v>
      </c>
      <c r="AK1560">
        <v>11</v>
      </c>
      <c r="AL1560">
        <v>1</v>
      </c>
      <c r="AM1560">
        <v>0</v>
      </c>
      <c r="AN1560">
        <v>3</v>
      </c>
      <c r="AT1560">
        <v>1</v>
      </c>
      <c r="BC1560">
        <v>0</v>
      </c>
      <c r="BD1560">
        <v>10</v>
      </c>
      <c r="BE1560">
        <v>531</v>
      </c>
      <c r="BF1560">
        <v>531</v>
      </c>
      <c r="BG1560">
        <v>640</v>
      </c>
      <c r="BJ1560">
        <v>1</v>
      </c>
      <c r="BL1560" t="s">
        <v>3270</v>
      </c>
      <c r="BM1560" s="4">
        <v>43283.214606481481</v>
      </c>
      <c r="BN1560" s="4">
        <v>43283.23777777778</v>
      </c>
      <c r="BO1560" s="4">
        <v>43283.23777777778</v>
      </c>
      <c r="BP1560" t="s">
        <v>92</v>
      </c>
      <c r="BQ1560" t="s">
        <v>93</v>
      </c>
      <c r="BR1560" t="s">
        <v>94</v>
      </c>
    </row>
    <row r="1561" spans="1:70" x14ac:dyDescent="0.3">
      <c r="A1561" t="str">
        <f>"200944B0100"</f>
        <v>200944B0100</v>
      </c>
      <c r="B1561" t="s">
        <v>3271</v>
      </c>
      <c r="C1561">
        <v>20</v>
      </c>
      <c r="D1561" t="s">
        <v>88</v>
      </c>
      <c r="E1561">
        <v>164</v>
      </c>
      <c r="F1561" t="s">
        <v>3265</v>
      </c>
      <c r="G1561">
        <v>944</v>
      </c>
      <c r="H1561">
        <v>1</v>
      </c>
      <c r="I1561" t="s">
        <v>90</v>
      </c>
      <c r="J1561">
        <v>0</v>
      </c>
      <c r="K1561">
        <v>2</v>
      </c>
      <c r="L1561">
        <v>5</v>
      </c>
      <c r="M1561">
        <v>129</v>
      </c>
      <c r="N1561">
        <v>460</v>
      </c>
      <c r="O1561">
        <v>2</v>
      </c>
      <c r="P1561">
        <v>460</v>
      </c>
      <c r="Q1561">
        <v>73</v>
      </c>
      <c r="R1561">
        <v>82</v>
      </c>
      <c r="S1561">
        <v>4</v>
      </c>
      <c r="T1561">
        <v>2</v>
      </c>
      <c r="U1561">
        <v>8</v>
      </c>
      <c r="V1561">
        <v>5</v>
      </c>
      <c r="X1561">
        <v>59</v>
      </c>
      <c r="Y1561">
        <v>157</v>
      </c>
      <c r="Z1561">
        <v>26</v>
      </c>
      <c r="AA1561">
        <v>14</v>
      </c>
      <c r="AC1561">
        <v>1</v>
      </c>
      <c r="AD1561">
        <v>2</v>
      </c>
      <c r="AE1561">
        <v>1</v>
      </c>
      <c r="AF1561">
        <v>0</v>
      </c>
      <c r="AK1561">
        <v>9</v>
      </c>
      <c r="AL1561">
        <v>1</v>
      </c>
      <c r="AM1561">
        <v>2</v>
      </c>
      <c r="AN1561">
        <v>0</v>
      </c>
      <c r="AT1561">
        <v>1</v>
      </c>
      <c r="BC1561">
        <v>0</v>
      </c>
      <c r="BD1561">
        <v>13</v>
      </c>
      <c r="BE1561">
        <v>460</v>
      </c>
      <c r="BF1561">
        <v>460</v>
      </c>
      <c r="BG1561">
        <v>567</v>
      </c>
      <c r="BJ1561">
        <v>1</v>
      </c>
      <c r="BL1561" t="s">
        <v>3272</v>
      </c>
      <c r="BM1561" s="4">
        <v>43283.11010416667</v>
      </c>
      <c r="BN1561" s="4">
        <v>43283.113067129627</v>
      </c>
      <c r="BO1561" s="4">
        <v>43283.113067129627</v>
      </c>
      <c r="BP1561" t="s">
        <v>92</v>
      </c>
      <c r="BQ1561" t="s">
        <v>93</v>
      </c>
      <c r="BR1561" t="s">
        <v>94</v>
      </c>
    </row>
    <row r="1562" spans="1:70" x14ac:dyDescent="0.3">
      <c r="A1562" t="str">
        <f>"200944C0100"</f>
        <v>200944C0100</v>
      </c>
      <c r="B1562" t="s">
        <v>3273</v>
      </c>
      <c r="C1562">
        <v>20</v>
      </c>
      <c r="D1562" t="s">
        <v>88</v>
      </c>
      <c r="E1562">
        <v>164</v>
      </c>
      <c r="F1562" t="s">
        <v>3265</v>
      </c>
      <c r="G1562">
        <v>944</v>
      </c>
      <c r="H1562">
        <v>1</v>
      </c>
      <c r="I1562" t="s">
        <v>98</v>
      </c>
      <c r="J1562">
        <v>0</v>
      </c>
      <c r="K1562">
        <v>2</v>
      </c>
      <c r="L1562">
        <v>5</v>
      </c>
      <c r="M1562">
        <v>127</v>
      </c>
      <c r="N1562">
        <v>462</v>
      </c>
      <c r="O1562">
        <v>3</v>
      </c>
      <c r="P1562">
        <v>462</v>
      </c>
      <c r="Q1562">
        <v>83</v>
      </c>
      <c r="R1562">
        <v>108</v>
      </c>
      <c r="S1562">
        <v>4</v>
      </c>
      <c r="T1562">
        <v>0</v>
      </c>
      <c r="U1562">
        <v>4</v>
      </c>
      <c r="V1562">
        <v>2</v>
      </c>
      <c r="X1562">
        <v>57</v>
      </c>
      <c r="Y1562">
        <v>130</v>
      </c>
      <c r="Z1562">
        <v>22</v>
      </c>
      <c r="AA1562">
        <v>15</v>
      </c>
      <c r="AC1562">
        <v>0</v>
      </c>
      <c r="AD1562">
        <v>2</v>
      </c>
      <c r="AE1562">
        <v>1</v>
      </c>
      <c r="AF1562">
        <v>0</v>
      </c>
      <c r="AK1562">
        <v>9</v>
      </c>
      <c r="AL1562">
        <v>1</v>
      </c>
      <c r="AM1562">
        <v>1</v>
      </c>
      <c r="AN1562">
        <v>3</v>
      </c>
      <c r="AT1562">
        <v>0</v>
      </c>
      <c r="BC1562">
        <v>0</v>
      </c>
      <c r="BD1562">
        <v>20</v>
      </c>
      <c r="BE1562">
        <v>462</v>
      </c>
      <c r="BF1562">
        <v>462</v>
      </c>
      <c r="BG1562">
        <v>567</v>
      </c>
      <c r="BJ1562">
        <v>1</v>
      </c>
      <c r="BL1562" t="s">
        <v>3274</v>
      </c>
      <c r="BM1562" s="4">
        <v>43283.114768518521</v>
      </c>
      <c r="BN1562" s="4">
        <v>43283.136817129627</v>
      </c>
      <c r="BO1562" s="4">
        <v>43283.136817129627</v>
      </c>
      <c r="BP1562" t="s">
        <v>92</v>
      </c>
      <c r="BQ1562" t="s">
        <v>93</v>
      </c>
      <c r="BR1562" t="s">
        <v>94</v>
      </c>
    </row>
    <row r="1563" spans="1:70" x14ac:dyDescent="0.3">
      <c r="A1563" t="str">
        <f>"200944E0100"</f>
        <v>200944E0100</v>
      </c>
      <c r="B1563" s="2" t="s">
        <v>3275</v>
      </c>
      <c r="C1563">
        <v>20</v>
      </c>
      <c r="D1563" t="s">
        <v>88</v>
      </c>
      <c r="E1563">
        <v>164</v>
      </c>
      <c r="F1563" t="s">
        <v>3265</v>
      </c>
      <c r="G1563">
        <v>944</v>
      </c>
      <c r="H1563">
        <v>1</v>
      </c>
      <c r="I1563" t="s">
        <v>156</v>
      </c>
      <c r="J1563">
        <v>0</v>
      </c>
      <c r="K1563">
        <v>2</v>
      </c>
      <c r="L1563">
        <v>5</v>
      </c>
      <c r="M1563">
        <v>140</v>
      </c>
      <c r="N1563">
        <v>428</v>
      </c>
      <c r="O1563">
        <v>2</v>
      </c>
      <c r="P1563">
        <v>428</v>
      </c>
      <c r="Q1563">
        <v>68</v>
      </c>
      <c r="R1563">
        <v>107</v>
      </c>
      <c r="S1563">
        <v>2</v>
      </c>
      <c r="T1563">
        <v>0</v>
      </c>
      <c r="U1563">
        <v>6</v>
      </c>
      <c r="V1563">
        <v>1</v>
      </c>
      <c r="X1563">
        <v>33</v>
      </c>
      <c r="Y1563">
        <v>152</v>
      </c>
      <c r="Z1563">
        <v>9</v>
      </c>
      <c r="AA1563">
        <v>21</v>
      </c>
      <c r="AC1563">
        <v>0</v>
      </c>
      <c r="AD1563">
        <v>0</v>
      </c>
      <c r="AE1563">
        <v>0</v>
      </c>
      <c r="AF1563">
        <v>0</v>
      </c>
      <c r="AK1563">
        <v>5</v>
      </c>
      <c r="AL1563">
        <v>1</v>
      </c>
      <c r="AM1563">
        <v>0</v>
      </c>
      <c r="AN1563">
        <v>3</v>
      </c>
      <c r="AT1563">
        <v>1</v>
      </c>
      <c r="BC1563">
        <v>1</v>
      </c>
      <c r="BD1563">
        <v>18</v>
      </c>
      <c r="BE1563" t="s">
        <v>105</v>
      </c>
      <c r="BF1563">
        <v>428</v>
      </c>
      <c r="BG1563">
        <v>546</v>
      </c>
      <c r="BJ1563">
        <v>1</v>
      </c>
      <c r="BL1563" t="s">
        <v>3276</v>
      </c>
      <c r="BM1563" s="4">
        <v>43283.010879629626</v>
      </c>
      <c r="BN1563" s="4">
        <v>43283.018368055556</v>
      </c>
      <c r="BO1563" s="4">
        <v>43283.018368055556</v>
      </c>
      <c r="BP1563" t="s">
        <v>92</v>
      </c>
      <c r="BQ1563" t="s">
        <v>93</v>
      </c>
      <c r="BR1563" t="s">
        <v>94</v>
      </c>
    </row>
    <row r="1564" spans="1:70" x14ac:dyDescent="0.3">
      <c r="A1564" t="str">
        <f>"200945B0100"</f>
        <v>200945B0100</v>
      </c>
      <c r="B1564" t="s">
        <v>3277</v>
      </c>
      <c r="C1564">
        <v>20</v>
      </c>
      <c r="D1564" t="s">
        <v>88</v>
      </c>
      <c r="E1564">
        <v>164</v>
      </c>
      <c r="F1564" t="s">
        <v>3265</v>
      </c>
      <c r="G1564">
        <v>945</v>
      </c>
      <c r="H1564">
        <v>1</v>
      </c>
      <c r="I1564" t="s">
        <v>90</v>
      </c>
      <c r="J1564">
        <v>0</v>
      </c>
      <c r="K1564">
        <v>2</v>
      </c>
      <c r="L1564">
        <v>5</v>
      </c>
      <c r="M1564">
        <v>141</v>
      </c>
      <c r="N1564">
        <v>492</v>
      </c>
      <c r="O1564">
        <v>2</v>
      </c>
      <c r="P1564">
        <v>492</v>
      </c>
      <c r="Q1564">
        <v>48</v>
      </c>
      <c r="R1564">
        <v>75</v>
      </c>
      <c r="S1564">
        <v>1</v>
      </c>
      <c r="T1564">
        <v>2</v>
      </c>
      <c r="U1564">
        <v>6</v>
      </c>
      <c r="V1564">
        <v>6</v>
      </c>
      <c r="X1564">
        <v>18</v>
      </c>
      <c r="Y1564">
        <v>110</v>
      </c>
      <c r="Z1564">
        <v>15</v>
      </c>
      <c r="AA1564">
        <v>126</v>
      </c>
      <c r="AC1564">
        <v>3</v>
      </c>
      <c r="AD1564">
        <v>3</v>
      </c>
      <c r="AE1564">
        <v>0</v>
      </c>
      <c r="AF1564">
        <v>0</v>
      </c>
      <c r="AK1564">
        <v>17</v>
      </c>
      <c r="AL1564">
        <v>0</v>
      </c>
      <c r="AM1564">
        <v>0</v>
      </c>
      <c r="AN1564">
        <v>4</v>
      </c>
      <c r="AT1564">
        <v>0</v>
      </c>
      <c r="BC1564">
        <v>0</v>
      </c>
      <c r="BD1564">
        <v>18</v>
      </c>
      <c r="BE1564">
        <v>402</v>
      </c>
      <c r="BF1564">
        <v>452</v>
      </c>
      <c r="BG1564">
        <v>611</v>
      </c>
      <c r="BJ1564">
        <v>1</v>
      </c>
      <c r="BL1564" t="s">
        <v>3278</v>
      </c>
      <c r="BM1564" s="4">
        <v>43283.274745370371</v>
      </c>
      <c r="BN1564" s="4">
        <v>43283.313923611109</v>
      </c>
      <c r="BO1564" s="4">
        <v>43283.313923611109</v>
      </c>
      <c r="BP1564" t="s">
        <v>92</v>
      </c>
      <c r="BQ1564" t="s">
        <v>93</v>
      </c>
      <c r="BR1564" t="s">
        <v>94</v>
      </c>
    </row>
    <row r="1565" spans="1:70" x14ac:dyDescent="0.3">
      <c r="A1565" t="str">
        <f>"200946B0100"</f>
        <v>200946B0100</v>
      </c>
      <c r="B1565" t="s">
        <v>3279</v>
      </c>
      <c r="C1565">
        <v>20</v>
      </c>
      <c r="D1565" t="s">
        <v>88</v>
      </c>
      <c r="E1565">
        <v>164</v>
      </c>
      <c r="F1565" t="s">
        <v>3265</v>
      </c>
      <c r="G1565">
        <v>946</v>
      </c>
      <c r="H1565">
        <v>1</v>
      </c>
      <c r="I1565" t="s">
        <v>90</v>
      </c>
      <c r="J1565">
        <v>0</v>
      </c>
      <c r="K1565">
        <v>2</v>
      </c>
      <c r="L1565">
        <v>5</v>
      </c>
      <c r="M1565">
        <v>159</v>
      </c>
      <c r="N1565">
        <v>478</v>
      </c>
      <c r="O1565">
        <v>1</v>
      </c>
      <c r="P1565">
        <v>478</v>
      </c>
      <c r="Q1565">
        <v>67</v>
      </c>
      <c r="R1565">
        <v>58</v>
      </c>
      <c r="S1565">
        <v>6</v>
      </c>
      <c r="T1565">
        <v>4</v>
      </c>
      <c r="U1565">
        <v>6</v>
      </c>
      <c r="V1565">
        <v>2</v>
      </c>
      <c r="X1565">
        <v>25</v>
      </c>
      <c r="Y1565">
        <v>128</v>
      </c>
      <c r="Z1565">
        <v>12</v>
      </c>
      <c r="AA1565">
        <v>121</v>
      </c>
      <c r="AC1565">
        <v>1</v>
      </c>
      <c r="AD1565">
        <v>0</v>
      </c>
      <c r="AE1565">
        <v>0</v>
      </c>
      <c r="AF1565">
        <v>0</v>
      </c>
      <c r="AK1565">
        <v>15</v>
      </c>
      <c r="AL1565">
        <v>2</v>
      </c>
      <c r="AM1565">
        <v>1</v>
      </c>
      <c r="AN1565">
        <v>1</v>
      </c>
      <c r="AT1565">
        <v>1</v>
      </c>
      <c r="BC1565">
        <v>0</v>
      </c>
      <c r="BD1565">
        <v>28</v>
      </c>
      <c r="BE1565">
        <v>478</v>
      </c>
      <c r="BF1565">
        <v>478</v>
      </c>
      <c r="BG1565">
        <v>615</v>
      </c>
      <c r="BJ1565">
        <v>1</v>
      </c>
      <c r="BL1565" t="s">
        <v>3280</v>
      </c>
      <c r="BM1565" s="4">
        <v>43283.199236111112</v>
      </c>
      <c r="BN1565" s="4">
        <v>43283.214513888888</v>
      </c>
      <c r="BO1565" s="4">
        <v>43283.214513888888</v>
      </c>
      <c r="BP1565" t="s">
        <v>92</v>
      </c>
      <c r="BQ1565" t="s">
        <v>93</v>
      </c>
      <c r="BR1565" t="s">
        <v>94</v>
      </c>
    </row>
    <row r="1566" spans="1:70" x14ac:dyDescent="0.3">
      <c r="A1566" t="str">
        <f>"200946C0100"</f>
        <v>200946C0100</v>
      </c>
      <c r="B1566" t="s">
        <v>3281</v>
      </c>
      <c r="C1566">
        <v>20</v>
      </c>
      <c r="D1566" t="s">
        <v>88</v>
      </c>
      <c r="E1566">
        <v>164</v>
      </c>
      <c r="F1566" t="s">
        <v>3265</v>
      </c>
      <c r="G1566">
        <v>946</v>
      </c>
      <c r="H1566">
        <v>1</v>
      </c>
      <c r="I1566" t="s">
        <v>98</v>
      </c>
      <c r="J1566">
        <v>0</v>
      </c>
      <c r="K1566">
        <v>2</v>
      </c>
      <c r="L1566">
        <v>5</v>
      </c>
      <c r="M1566">
        <v>181</v>
      </c>
      <c r="N1566">
        <v>455</v>
      </c>
      <c r="O1566">
        <v>1</v>
      </c>
      <c r="P1566">
        <v>455</v>
      </c>
      <c r="Q1566">
        <v>61</v>
      </c>
      <c r="R1566">
        <v>58</v>
      </c>
      <c r="S1566">
        <v>3</v>
      </c>
      <c r="T1566">
        <v>5</v>
      </c>
      <c r="U1566">
        <v>9</v>
      </c>
      <c r="V1566">
        <v>5</v>
      </c>
      <c r="X1566">
        <v>26</v>
      </c>
      <c r="Y1566">
        <v>96</v>
      </c>
      <c r="Z1566">
        <v>16</v>
      </c>
      <c r="AA1566">
        <v>139</v>
      </c>
      <c r="AC1566">
        <v>2</v>
      </c>
      <c r="AD1566">
        <v>1</v>
      </c>
      <c r="AE1566">
        <v>0</v>
      </c>
      <c r="AF1566">
        <v>2</v>
      </c>
      <c r="AK1566">
        <v>3</v>
      </c>
      <c r="AL1566">
        <v>1</v>
      </c>
      <c r="AM1566">
        <v>0</v>
      </c>
      <c r="AN1566">
        <v>4</v>
      </c>
      <c r="AT1566">
        <v>0</v>
      </c>
      <c r="BC1566">
        <v>0</v>
      </c>
      <c r="BD1566">
        <v>25</v>
      </c>
      <c r="BE1566">
        <v>455</v>
      </c>
      <c r="BF1566">
        <v>456</v>
      </c>
      <c r="BG1566">
        <v>614</v>
      </c>
      <c r="BJ1566">
        <v>1</v>
      </c>
      <c r="BL1566" t="s">
        <v>3282</v>
      </c>
      <c r="BM1566" s="4">
        <v>43283.200775462959</v>
      </c>
      <c r="BN1566" s="4">
        <v>43283.215509259258</v>
      </c>
      <c r="BO1566" s="4">
        <v>43283.215509259258</v>
      </c>
      <c r="BP1566" t="s">
        <v>92</v>
      </c>
      <c r="BQ1566" t="s">
        <v>93</v>
      </c>
      <c r="BR1566" t="s">
        <v>94</v>
      </c>
    </row>
    <row r="1567" spans="1:70" x14ac:dyDescent="0.3">
      <c r="A1567" t="str">
        <f>"200946E0100"</f>
        <v>200946E0100</v>
      </c>
      <c r="B1567" s="2" t="s">
        <v>3283</v>
      </c>
      <c r="C1567">
        <v>20</v>
      </c>
      <c r="D1567" t="s">
        <v>88</v>
      </c>
      <c r="E1567">
        <v>164</v>
      </c>
      <c r="F1567" t="s">
        <v>3265</v>
      </c>
      <c r="G1567">
        <v>946</v>
      </c>
      <c r="H1567">
        <v>1</v>
      </c>
      <c r="I1567" t="s">
        <v>156</v>
      </c>
      <c r="J1567">
        <v>0</v>
      </c>
      <c r="K1567">
        <v>2</v>
      </c>
      <c r="L1567">
        <v>5</v>
      </c>
      <c r="M1567">
        <v>63</v>
      </c>
      <c r="N1567">
        <v>364</v>
      </c>
      <c r="O1567">
        <v>5</v>
      </c>
      <c r="P1567">
        <v>364</v>
      </c>
      <c r="Q1567">
        <v>31</v>
      </c>
      <c r="R1567">
        <v>77</v>
      </c>
      <c r="S1567">
        <v>5</v>
      </c>
      <c r="T1567">
        <v>0</v>
      </c>
      <c r="U1567">
        <v>2</v>
      </c>
      <c r="V1567">
        <v>1</v>
      </c>
      <c r="X1567">
        <v>11</v>
      </c>
      <c r="Y1567">
        <v>125</v>
      </c>
      <c r="Z1567">
        <v>7</v>
      </c>
      <c r="AA1567">
        <v>85</v>
      </c>
      <c r="AC1567">
        <v>0</v>
      </c>
      <c r="AD1567">
        <v>0</v>
      </c>
      <c r="AE1567">
        <v>0</v>
      </c>
      <c r="AF1567">
        <v>0</v>
      </c>
      <c r="AK1567">
        <v>7</v>
      </c>
      <c r="AL1567">
        <v>0</v>
      </c>
      <c r="AM1567">
        <v>0</v>
      </c>
      <c r="AN1567">
        <v>3</v>
      </c>
      <c r="AT1567">
        <v>1</v>
      </c>
      <c r="BC1567">
        <v>0</v>
      </c>
      <c r="BD1567">
        <v>9</v>
      </c>
      <c r="BE1567">
        <v>364</v>
      </c>
      <c r="BF1567">
        <v>364</v>
      </c>
      <c r="BG1567">
        <v>405</v>
      </c>
      <c r="BJ1567">
        <v>1</v>
      </c>
      <c r="BL1567" t="s">
        <v>3284</v>
      </c>
      <c r="BM1567" s="4">
        <v>43283.248611111114</v>
      </c>
      <c r="BN1567" s="4">
        <v>43283.271261574075</v>
      </c>
      <c r="BO1567" s="4">
        <v>43283.271261574075</v>
      </c>
      <c r="BP1567" t="s">
        <v>92</v>
      </c>
      <c r="BQ1567" t="s">
        <v>93</v>
      </c>
      <c r="BR1567" t="s">
        <v>94</v>
      </c>
    </row>
    <row r="1568" spans="1:70" x14ac:dyDescent="0.3">
      <c r="A1568" t="str">
        <f>"200947B0100"</f>
        <v>200947B0100</v>
      </c>
      <c r="B1568" t="s">
        <v>3285</v>
      </c>
      <c r="C1568">
        <v>20</v>
      </c>
      <c r="D1568" t="s">
        <v>88</v>
      </c>
      <c r="E1568">
        <v>164</v>
      </c>
      <c r="F1568" t="s">
        <v>3265</v>
      </c>
      <c r="G1568">
        <v>947</v>
      </c>
      <c r="H1568">
        <v>1</v>
      </c>
      <c r="I1568" t="s">
        <v>90</v>
      </c>
      <c r="J1568">
        <v>0</v>
      </c>
      <c r="K1568">
        <v>2</v>
      </c>
      <c r="L1568">
        <v>5</v>
      </c>
      <c r="M1568">
        <v>122</v>
      </c>
      <c r="N1568">
        <v>640</v>
      </c>
      <c r="O1568">
        <v>0</v>
      </c>
      <c r="P1568">
        <v>0</v>
      </c>
      <c r="Q1568">
        <v>109</v>
      </c>
      <c r="R1568">
        <v>118</v>
      </c>
      <c r="S1568">
        <v>3</v>
      </c>
      <c r="T1568">
        <v>1</v>
      </c>
      <c r="U1568">
        <v>18</v>
      </c>
      <c r="V1568">
        <v>3</v>
      </c>
      <c r="X1568">
        <v>10</v>
      </c>
      <c r="Y1568">
        <v>220</v>
      </c>
      <c r="Z1568">
        <v>6</v>
      </c>
      <c r="AA1568">
        <v>12</v>
      </c>
      <c r="AC1568">
        <v>1</v>
      </c>
      <c r="AD1568">
        <v>0</v>
      </c>
      <c r="AE1568">
        <v>0</v>
      </c>
      <c r="AF1568">
        <v>0</v>
      </c>
      <c r="AK1568">
        <v>3</v>
      </c>
      <c r="AL1568">
        <v>2</v>
      </c>
      <c r="AM1568">
        <v>0</v>
      </c>
      <c r="AN1568">
        <v>0</v>
      </c>
      <c r="AT1568">
        <v>0</v>
      </c>
      <c r="BC1568">
        <v>0</v>
      </c>
      <c r="BD1568">
        <v>12</v>
      </c>
      <c r="BE1568">
        <v>518</v>
      </c>
      <c r="BF1568">
        <v>518</v>
      </c>
      <c r="BG1568">
        <v>618</v>
      </c>
      <c r="BJ1568">
        <v>1</v>
      </c>
      <c r="BL1568" t="s">
        <v>3286</v>
      </c>
      <c r="BM1568" s="4">
        <v>43283.225185185183</v>
      </c>
      <c r="BN1568" s="4">
        <v>43283.247372685182</v>
      </c>
      <c r="BO1568" s="4">
        <v>43283.247372685182</v>
      </c>
      <c r="BP1568" t="s">
        <v>92</v>
      </c>
      <c r="BQ1568" t="s">
        <v>93</v>
      </c>
      <c r="BR1568" t="s">
        <v>94</v>
      </c>
    </row>
    <row r="1569" spans="1:70" x14ac:dyDescent="0.3">
      <c r="A1569" t="str">
        <f>"200947C0100"</f>
        <v>200947C0100</v>
      </c>
      <c r="B1569" t="s">
        <v>3287</v>
      </c>
      <c r="C1569">
        <v>20</v>
      </c>
      <c r="D1569" t="s">
        <v>88</v>
      </c>
      <c r="E1569">
        <v>164</v>
      </c>
      <c r="F1569" t="s">
        <v>3265</v>
      </c>
      <c r="G1569">
        <v>947</v>
      </c>
      <c r="H1569">
        <v>1</v>
      </c>
      <c r="I1569" t="s">
        <v>98</v>
      </c>
      <c r="J1569">
        <v>0</v>
      </c>
      <c r="K1569">
        <v>2</v>
      </c>
      <c r="L1569">
        <v>5</v>
      </c>
      <c r="M1569">
        <v>140</v>
      </c>
      <c r="N1569">
        <v>639</v>
      </c>
      <c r="O1569">
        <v>0</v>
      </c>
      <c r="P1569">
        <v>499</v>
      </c>
      <c r="Q1569">
        <v>119</v>
      </c>
      <c r="R1569">
        <v>103</v>
      </c>
      <c r="S1569">
        <v>1</v>
      </c>
      <c r="T1569">
        <v>7</v>
      </c>
      <c r="U1569">
        <v>8</v>
      </c>
      <c r="V1569">
        <v>2</v>
      </c>
      <c r="X1569">
        <v>18</v>
      </c>
      <c r="Y1569">
        <v>167</v>
      </c>
      <c r="Z1569">
        <v>7</v>
      </c>
      <c r="AA1569">
        <v>30</v>
      </c>
      <c r="AC1569">
        <v>3</v>
      </c>
      <c r="AD1569">
        <v>0</v>
      </c>
      <c r="AE1569">
        <v>0</v>
      </c>
      <c r="AF1569">
        <v>0</v>
      </c>
      <c r="AK1569">
        <v>11</v>
      </c>
      <c r="AL1569">
        <v>4</v>
      </c>
      <c r="AM1569">
        <v>1</v>
      </c>
      <c r="AN1569">
        <v>0</v>
      </c>
      <c r="AT1569">
        <v>2</v>
      </c>
      <c r="BC1569">
        <v>0</v>
      </c>
      <c r="BD1569">
        <v>16</v>
      </c>
      <c r="BE1569">
        <v>499</v>
      </c>
      <c r="BF1569">
        <v>499</v>
      </c>
      <c r="BG1569">
        <v>617</v>
      </c>
      <c r="BJ1569">
        <v>1</v>
      </c>
      <c r="BL1569" t="s">
        <v>3288</v>
      </c>
      <c r="BM1569" s="4">
        <v>43283.230925925927</v>
      </c>
      <c r="BN1569" s="4">
        <v>43283.252916666665</v>
      </c>
      <c r="BO1569" s="4">
        <v>43283.252916666665</v>
      </c>
      <c r="BP1569" t="s">
        <v>92</v>
      </c>
      <c r="BQ1569" t="s">
        <v>93</v>
      </c>
      <c r="BR1569" t="s">
        <v>94</v>
      </c>
    </row>
    <row r="1570" spans="1:70" x14ac:dyDescent="0.3">
      <c r="A1570" t="str">
        <f>"200948B0100"</f>
        <v>200948B0100</v>
      </c>
      <c r="B1570" t="s">
        <v>3289</v>
      </c>
      <c r="C1570">
        <v>20</v>
      </c>
      <c r="D1570" t="s">
        <v>88</v>
      </c>
      <c r="E1570">
        <v>164</v>
      </c>
      <c r="F1570" t="s">
        <v>3265</v>
      </c>
      <c r="G1570">
        <v>948</v>
      </c>
      <c r="H1570">
        <v>1</v>
      </c>
      <c r="I1570" t="s">
        <v>90</v>
      </c>
      <c r="J1570">
        <v>0</v>
      </c>
      <c r="K1570">
        <v>1</v>
      </c>
      <c r="L1570">
        <v>5</v>
      </c>
      <c r="M1570">
        <v>128</v>
      </c>
      <c r="N1570">
        <v>526</v>
      </c>
      <c r="O1570">
        <v>4</v>
      </c>
      <c r="P1570">
        <v>526</v>
      </c>
      <c r="Q1570">
        <v>94</v>
      </c>
      <c r="R1570">
        <v>149</v>
      </c>
      <c r="S1570">
        <v>2</v>
      </c>
      <c r="T1570">
        <v>3</v>
      </c>
      <c r="U1570">
        <v>4</v>
      </c>
      <c r="V1570">
        <v>4</v>
      </c>
      <c r="X1570">
        <v>65</v>
      </c>
      <c r="Y1570">
        <v>133</v>
      </c>
      <c r="Z1570">
        <v>18</v>
      </c>
      <c r="AA1570">
        <v>27</v>
      </c>
      <c r="AC1570">
        <v>0</v>
      </c>
      <c r="AD1570">
        <v>1</v>
      </c>
      <c r="AE1570">
        <v>1</v>
      </c>
      <c r="AF1570">
        <v>1</v>
      </c>
      <c r="AK1570">
        <v>9</v>
      </c>
      <c r="AL1570">
        <v>0</v>
      </c>
      <c r="AM1570">
        <v>0</v>
      </c>
      <c r="AN1570">
        <v>1</v>
      </c>
      <c r="AT1570">
        <v>3</v>
      </c>
      <c r="BC1570">
        <v>0</v>
      </c>
      <c r="BD1570">
        <v>11</v>
      </c>
      <c r="BE1570">
        <v>526</v>
      </c>
      <c r="BF1570">
        <v>526</v>
      </c>
      <c r="BG1570">
        <v>632</v>
      </c>
      <c r="BJ1570">
        <v>1</v>
      </c>
      <c r="BL1570" t="s">
        <v>3290</v>
      </c>
      <c r="BM1570" s="4">
        <v>43283.080289351848</v>
      </c>
      <c r="BN1570" s="4">
        <v>43283.083807870367</v>
      </c>
      <c r="BO1570" s="4">
        <v>43283.083807870367</v>
      </c>
      <c r="BP1570" t="s">
        <v>92</v>
      </c>
      <c r="BQ1570" t="s">
        <v>93</v>
      </c>
      <c r="BR1570" t="s">
        <v>94</v>
      </c>
    </row>
    <row r="1571" spans="1:70" x14ac:dyDescent="0.3">
      <c r="A1571" t="str">
        <f>"200948C0100"</f>
        <v>200948C0100</v>
      </c>
      <c r="B1571" t="s">
        <v>3291</v>
      </c>
      <c r="C1571">
        <v>20</v>
      </c>
      <c r="D1571" t="s">
        <v>88</v>
      </c>
      <c r="E1571">
        <v>164</v>
      </c>
      <c r="F1571" t="s">
        <v>3265</v>
      </c>
      <c r="G1571">
        <v>948</v>
      </c>
      <c r="H1571">
        <v>1</v>
      </c>
      <c r="I1571" t="s">
        <v>98</v>
      </c>
      <c r="J1571">
        <v>0</v>
      </c>
      <c r="K1571">
        <v>1</v>
      </c>
      <c r="L1571">
        <v>5</v>
      </c>
      <c r="M1571">
        <v>110</v>
      </c>
      <c r="N1571">
        <v>543</v>
      </c>
      <c r="O1571">
        <v>4</v>
      </c>
      <c r="P1571">
        <v>543</v>
      </c>
      <c r="Q1571">
        <v>104</v>
      </c>
      <c r="R1571">
        <v>158</v>
      </c>
      <c r="S1571">
        <v>0</v>
      </c>
      <c r="T1571">
        <v>2</v>
      </c>
      <c r="U1571">
        <v>7</v>
      </c>
      <c r="V1571">
        <v>2</v>
      </c>
      <c r="X1571">
        <v>76</v>
      </c>
      <c r="Y1571">
        <v>122</v>
      </c>
      <c r="Z1571">
        <v>21</v>
      </c>
      <c r="AA1571">
        <v>33</v>
      </c>
      <c r="AC1571">
        <v>1</v>
      </c>
      <c r="AD1571">
        <v>0</v>
      </c>
      <c r="AE1571">
        <v>0</v>
      </c>
      <c r="AF1571">
        <v>0</v>
      </c>
      <c r="AK1571">
        <v>6</v>
      </c>
      <c r="AL1571">
        <v>0</v>
      </c>
      <c r="AM1571">
        <v>0</v>
      </c>
      <c r="AN1571">
        <v>3</v>
      </c>
      <c r="AT1571">
        <v>1</v>
      </c>
      <c r="BC1571">
        <v>0</v>
      </c>
      <c r="BD1571">
        <v>7</v>
      </c>
      <c r="BE1571">
        <v>543</v>
      </c>
      <c r="BF1571">
        <v>543</v>
      </c>
      <c r="BG1571">
        <v>631</v>
      </c>
      <c r="BJ1571">
        <v>1</v>
      </c>
      <c r="BL1571" t="s">
        <v>3292</v>
      </c>
      <c r="BM1571" s="4">
        <v>43283.075509259259</v>
      </c>
      <c r="BN1571" s="4">
        <v>43283.078842592593</v>
      </c>
      <c r="BO1571" s="4">
        <v>43283.078842592593</v>
      </c>
      <c r="BP1571" t="s">
        <v>92</v>
      </c>
      <c r="BQ1571" t="s">
        <v>93</v>
      </c>
      <c r="BR1571" t="s">
        <v>94</v>
      </c>
    </row>
    <row r="1572" spans="1:70" x14ac:dyDescent="0.3">
      <c r="A1572" t="str">
        <f>"200951B0100"</f>
        <v>200951B0100</v>
      </c>
      <c r="B1572" t="s">
        <v>3293</v>
      </c>
      <c r="C1572">
        <v>20</v>
      </c>
      <c r="D1572" t="s">
        <v>88</v>
      </c>
      <c r="E1572">
        <v>166</v>
      </c>
      <c r="F1572" t="s">
        <v>3294</v>
      </c>
      <c r="G1572">
        <v>951</v>
      </c>
      <c r="H1572">
        <v>1</v>
      </c>
      <c r="I1572" t="s">
        <v>90</v>
      </c>
      <c r="J1572">
        <v>0</v>
      </c>
      <c r="K1572">
        <v>2</v>
      </c>
      <c r="L1572">
        <v>5</v>
      </c>
      <c r="M1572">
        <v>162</v>
      </c>
      <c r="N1572">
        <v>604</v>
      </c>
      <c r="O1572">
        <v>0</v>
      </c>
      <c r="P1572">
        <v>600</v>
      </c>
      <c r="Q1572">
        <v>1</v>
      </c>
      <c r="R1572">
        <v>305</v>
      </c>
      <c r="S1572">
        <v>1</v>
      </c>
      <c r="V1572">
        <v>1</v>
      </c>
      <c r="X1572">
        <v>0</v>
      </c>
      <c r="AA1572">
        <v>284</v>
      </c>
      <c r="AC1572">
        <v>0</v>
      </c>
      <c r="AD1572">
        <v>0</v>
      </c>
      <c r="AE1572">
        <v>0</v>
      </c>
      <c r="AF1572">
        <v>0</v>
      </c>
      <c r="BC1572">
        <v>0</v>
      </c>
      <c r="BD1572">
        <v>8</v>
      </c>
      <c r="BE1572">
        <v>600</v>
      </c>
      <c r="BF1572">
        <v>600</v>
      </c>
      <c r="BG1572">
        <v>749</v>
      </c>
      <c r="BJ1572">
        <v>1</v>
      </c>
      <c r="BL1572" t="s">
        <v>3295</v>
      </c>
      <c r="BM1572" s="4">
        <v>43283.224999999999</v>
      </c>
      <c r="BN1572" s="4">
        <v>43283.260648148149</v>
      </c>
      <c r="BO1572" s="4">
        <v>43283.260648148149</v>
      </c>
      <c r="BP1572" t="s">
        <v>92</v>
      </c>
      <c r="BQ1572" t="s">
        <v>93</v>
      </c>
      <c r="BR1572" t="s">
        <v>94</v>
      </c>
    </row>
    <row r="1573" spans="1:70" x14ac:dyDescent="0.3">
      <c r="A1573" t="str">
        <f>"200952B0100"</f>
        <v>200952B0100</v>
      </c>
      <c r="B1573" t="s">
        <v>3296</v>
      </c>
      <c r="C1573">
        <v>20</v>
      </c>
      <c r="D1573" t="s">
        <v>88</v>
      </c>
      <c r="E1573">
        <v>167</v>
      </c>
      <c r="F1573" t="s">
        <v>3297</v>
      </c>
      <c r="G1573">
        <v>952</v>
      </c>
      <c r="H1573">
        <v>1</v>
      </c>
      <c r="I1573" t="s">
        <v>90</v>
      </c>
      <c r="J1573">
        <v>0</v>
      </c>
      <c r="K1573">
        <v>2</v>
      </c>
      <c r="L1573">
        <v>5</v>
      </c>
      <c r="M1573">
        <v>109</v>
      </c>
      <c r="N1573">
        <v>435</v>
      </c>
      <c r="O1573">
        <v>4</v>
      </c>
      <c r="P1573">
        <v>435</v>
      </c>
      <c r="Q1573">
        <v>4</v>
      </c>
      <c r="R1573">
        <v>210</v>
      </c>
      <c r="S1573">
        <v>196</v>
      </c>
      <c r="T1573">
        <v>1</v>
      </c>
      <c r="U1573">
        <v>2</v>
      </c>
      <c r="V1573">
        <v>0</v>
      </c>
      <c r="X1573">
        <v>0</v>
      </c>
      <c r="Y1573">
        <v>11</v>
      </c>
      <c r="Z1573">
        <v>3</v>
      </c>
      <c r="AC1573">
        <v>0</v>
      </c>
      <c r="AD1573">
        <v>0</v>
      </c>
      <c r="AE1573">
        <v>0</v>
      </c>
      <c r="AF1573">
        <v>0</v>
      </c>
      <c r="AG1573">
        <v>0</v>
      </c>
      <c r="AH1573">
        <v>2</v>
      </c>
      <c r="AI1573">
        <v>0</v>
      </c>
      <c r="AJ1573">
        <v>0</v>
      </c>
      <c r="AK1573">
        <v>0</v>
      </c>
      <c r="AL1573">
        <v>0</v>
      </c>
      <c r="AM1573">
        <v>0</v>
      </c>
      <c r="AN1573">
        <v>0</v>
      </c>
      <c r="BC1573" t="s">
        <v>105</v>
      </c>
      <c r="BD1573">
        <v>6</v>
      </c>
      <c r="BE1573">
        <v>435</v>
      </c>
      <c r="BF1573">
        <v>435</v>
      </c>
      <c r="BG1573">
        <v>522</v>
      </c>
      <c r="BI1573" t="s">
        <v>106</v>
      </c>
      <c r="BJ1573">
        <v>1</v>
      </c>
      <c r="BL1573" t="s">
        <v>3298</v>
      </c>
      <c r="BM1573" s="4">
        <v>43283.449305555558</v>
      </c>
      <c r="BN1573" s="4">
        <v>43283.458275462966</v>
      </c>
      <c r="BO1573" s="4">
        <v>43283.458275462966</v>
      </c>
      <c r="BP1573" t="s">
        <v>92</v>
      </c>
      <c r="BQ1573" t="s">
        <v>93</v>
      </c>
      <c r="BR1573" t="s">
        <v>94</v>
      </c>
    </row>
    <row r="1574" spans="1:70" x14ac:dyDescent="0.3">
      <c r="A1574" t="str">
        <f>"200952C0100"</f>
        <v>200952C0100</v>
      </c>
      <c r="B1574" t="s">
        <v>3299</v>
      </c>
      <c r="C1574">
        <v>20</v>
      </c>
      <c r="D1574" t="s">
        <v>88</v>
      </c>
      <c r="E1574">
        <v>167</v>
      </c>
      <c r="F1574" t="s">
        <v>3297</v>
      </c>
      <c r="G1574">
        <v>952</v>
      </c>
      <c r="H1574">
        <v>1</v>
      </c>
      <c r="I1574" t="s">
        <v>98</v>
      </c>
      <c r="J1574">
        <v>0</v>
      </c>
      <c r="K1574">
        <v>2</v>
      </c>
      <c r="L1574">
        <v>5</v>
      </c>
      <c r="M1574">
        <v>114</v>
      </c>
      <c r="N1574">
        <v>429</v>
      </c>
      <c r="O1574">
        <v>3</v>
      </c>
      <c r="P1574">
        <v>429</v>
      </c>
      <c r="Q1574">
        <v>0</v>
      </c>
      <c r="R1574">
        <v>237</v>
      </c>
      <c r="S1574">
        <v>161</v>
      </c>
      <c r="T1574">
        <v>0</v>
      </c>
      <c r="U1574">
        <v>3</v>
      </c>
      <c r="V1574">
        <v>0</v>
      </c>
      <c r="X1574">
        <v>0</v>
      </c>
      <c r="Y1574">
        <v>18</v>
      </c>
      <c r="Z1574">
        <v>0</v>
      </c>
      <c r="AC1574">
        <v>2</v>
      </c>
      <c r="AD1574">
        <v>0</v>
      </c>
      <c r="AE1574">
        <v>0</v>
      </c>
      <c r="AF1574">
        <v>0</v>
      </c>
      <c r="AG1574">
        <v>0</v>
      </c>
      <c r="AH1574">
        <v>2</v>
      </c>
      <c r="AI1574">
        <v>0</v>
      </c>
      <c r="AJ1574">
        <v>0</v>
      </c>
      <c r="AK1574">
        <v>0</v>
      </c>
      <c r="AL1574">
        <v>0</v>
      </c>
      <c r="AM1574">
        <v>0</v>
      </c>
      <c r="AN1574">
        <v>0</v>
      </c>
      <c r="BC1574">
        <v>0</v>
      </c>
      <c r="BD1574">
        <v>7</v>
      </c>
      <c r="BE1574">
        <v>430</v>
      </c>
      <c r="BF1574">
        <v>430</v>
      </c>
      <c r="BG1574">
        <v>521</v>
      </c>
      <c r="BJ1574">
        <v>1</v>
      </c>
      <c r="BL1574" t="s">
        <v>3300</v>
      </c>
      <c r="BM1574" s="4">
        <v>43283.450694444444</v>
      </c>
      <c r="BN1574" s="4">
        <v>43283.456446759257</v>
      </c>
      <c r="BO1574" s="4">
        <v>43283.456446759257</v>
      </c>
      <c r="BP1574" t="s">
        <v>92</v>
      </c>
      <c r="BQ1574" t="s">
        <v>93</v>
      </c>
      <c r="BR1574" t="s">
        <v>94</v>
      </c>
    </row>
    <row r="1575" spans="1:70" x14ac:dyDescent="0.3">
      <c r="A1575" t="str">
        <f>"200952E0100"</f>
        <v>200952E0100</v>
      </c>
      <c r="B1575" s="2" t="s">
        <v>3301</v>
      </c>
      <c r="C1575">
        <v>20</v>
      </c>
      <c r="D1575" t="s">
        <v>88</v>
      </c>
      <c r="E1575">
        <v>167</v>
      </c>
      <c r="F1575" t="s">
        <v>3297</v>
      </c>
      <c r="G1575">
        <v>952</v>
      </c>
      <c r="H1575">
        <v>1</v>
      </c>
      <c r="I1575" t="s">
        <v>156</v>
      </c>
      <c r="J1575">
        <v>0</v>
      </c>
      <c r="K1575">
        <v>2</v>
      </c>
      <c r="L1575">
        <v>5</v>
      </c>
      <c r="BG1575">
        <v>453</v>
      </c>
      <c r="BI1575" t="s">
        <v>122</v>
      </c>
      <c r="BJ1575">
        <v>0</v>
      </c>
      <c r="BL1575" t="s">
        <v>3302</v>
      </c>
      <c r="BM1575" s="4">
        <v>43283.574999999997</v>
      </c>
      <c r="BN1575" s="4">
        <v>43283.577870370369</v>
      </c>
      <c r="BO1575" s="4">
        <v>43283.577870370369</v>
      </c>
      <c r="BP1575" t="s">
        <v>92</v>
      </c>
      <c r="BQ1575" t="s">
        <v>93</v>
      </c>
      <c r="BR1575" t="s">
        <v>94</v>
      </c>
    </row>
    <row r="1576" spans="1:70" x14ac:dyDescent="0.3">
      <c r="A1576" t="str">
        <f>"200952E0101"</f>
        <v>200952E0101</v>
      </c>
      <c r="B1576" s="2" t="s">
        <v>3303</v>
      </c>
      <c r="C1576">
        <v>20</v>
      </c>
      <c r="D1576" t="s">
        <v>88</v>
      </c>
      <c r="E1576">
        <v>167</v>
      </c>
      <c r="F1576" t="s">
        <v>3297</v>
      </c>
      <c r="G1576">
        <v>952</v>
      </c>
      <c r="H1576">
        <v>1</v>
      </c>
      <c r="I1576" t="s">
        <v>156</v>
      </c>
      <c r="J1576">
        <v>1</v>
      </c>
      <c r="K1576">
        <v>2</v>
      </c>
      <c r="L1576">
        <v>5</v>
      </c>
      <c r="M1576">
        <v>126</v>
      </c>
      <c r="N1576">
        <v>349</v>
      </c>
      <c r="O1576">
        <v>5</v>
      </c>
      <c r="P1576">
        <v>349</v>
      </c>
      <c r="Q1576">
        <v>9</v>
      </c>
      <c r="R1576">
        <v>145</v>
      </c>
      <c r="S1576">
        <v>172</v>
      </c>
      <c r="T1576">
        <v>0</v>
      </c>
      <c r="U1576">
        <v>0</v>
      </c>
      <c r="V1576">
        <v>1</v>
      </c>
      <c r="X1576">
        <v>0</v>
      </c>
      <c r="Y1576">
        <v>7</v>
      </c>
      <c r="Z1576">
        <v>0</v>
      </c>
      <c r="AC1576">
        <v>1</v>
      </c>
      <c r="AD1576">
        <v>0</v>
      </c>
      <c r="AE1576">
        <v>0</v>
      </c>
      <c r="AF1576">
        <v>0</v>
      </c>
      <c r="AG1576">
        <v>0</v>
      </c>
      <c r="AH1576">
        <v>2</v>
      </c>
      <c r="AI1576">
        <v>0</v>
      </c>
      <c r="AJ1576">
        <v>0</v>
      </c>
      <c r="AK1576">
        <v>1</v>
      </c>
      <c r="AL1576">
        <v>0</v>
      </c>
      <c r="AM1576">
        <v>0</v>
      </c>
      <c r="AN1576">
        <v>0</v>
      </c>
      <c r="BC1576">
        <v>0</v>
      </c>
      <c r="BD1576">
        <v>11</v>
      </c>
      <c r="BE1576">
        <v>349</v>
      </c>
      <c r="BF1576">
        <v>349</v>
      </c>
      <c r="BG1576">
        <v>453</v>
      </c>
      <c r="BJ1576">
        <v>1</v>
      </c>
      <c r="BL1576" t="s">
        <v>3304</v>
      </c>
      <c r="BM1576" s="4">
        <v>43283.452777777777</v>
      </c>
      <c r="BN1576" s="4">
        <v>43283.456967592596</v>
      </c>
      <c r="BO1576" s="4">
        <v>43283.456967592596</v>
      </c>
      <c r="BP1576" t="s">
        <v>92</v>
      </c>
      <c r="BQ1576" t="s">
        <v>93</v>
      </c>
      <c r="BR1576" t="s">
        <v>94</v>
      </c>
    </row>
    <row r="1577" spans="1:70" x14ac:dyDescent="0.3">
      <c r="A1577" t="str">
        <f>"200953B0100"</f>
        <v>200953B0100</v>
      </c>
      <c r="B1577" t="s">
        <v>3305</v>
      </c>
      <c r="C1577">
        <v>20</v>
      </c>
      <c r="D1577" t="s">
        <v>88</v>
      </c>
      <c r="E1577">
        <v>167</v>
      </c>
      <c r="F1577" t="s">
        <v>3297</v>
      </c>
      <c r="G1577">
        <v>953</v>
      </c>
      <c r="H1577">
        <v>1</v>
      </c>
      <c r="I1577" t="s">
        <v>90</v>
      </c>
      <c r="J1577">
        <v>0</v>
      </c>
      <c r="K1577">
        <v>2</v>
      </c>
      <c r="L1577">
        <v>5</v>
      </c>
      <c r="M1577">
        <v>129</v>
      </c>
      <c r="N1577">
        <v>455</v>
      </c>
      <c r="O1577">
        <v>1</v>
      </c>
      <c r="P1577" t="s">
        <v>105</v>
      </c>
      <c r="Q1577">
        <v>2</v>
      </c>
      <c r="R1577">
        <v>212</v>
      </c>
      <c r="S1577">
        <v>224</v>
      </c>
      <c r="T1577">
        <v>2</v>
      </c>
      <c r="U1577">
        <v>2</v>
      </c>
      <c r="V1577">
        <v>0</v>
      </c>
      <c r="X1577">
        <v>1</v>
      </c>
      <c r="Y1577">
        <v>5</v>
      </c>
      <c r="Z1577">
        <v>0</v>
      </c>
      <c r="AC1577">
        <v>2</v>
      </c>
      <c r="AD1577">
        <v>0</v>
      </c>
      <c r="AE1577">
        <v>0</v>
      </c>
      <c r="AF1577">
        <v>0</v>
      </c>
      <c r="AG1577">
        <v>0</v>
      </c>
      <c r="AH1577">
        <v>1</v>
      </c>
      <c r="AI1577">
        <v>0</v>
      </c>
      <c r="AJ1577">
        <v>0</v>
      </c>
      <c r="AK1577">
        <v>0</v>
      </c>
      <c r="AL1577">
        <v>0</v>
      </c>
      <c r="AM1577">
        <v>0</v>
      </c>
      <c r="AN1577">
        <v>0</v>
      </c>
      <c r="BC1577">
        <v>0</v>
      </c>
      <c r="BD1577">
        <v>4</v>
      </c>
      <c r="BE1577">
        <v>455</v>
      </c>
      <c r="BF1577">
        <v>455</v>
      </c>
      <c r="BG1577">
        <v>562</v>
      </c>
      <c r="BJ1577">
        <v>1</v>
      </c>
      <c r="BL1577" t="s">
        <v>3306</v>
      </c>
      <c r="BM1577" s="4">
        <v>43283.45208333333</v>
      </c>
      <c r="BN1577" s="4">
        <v>43283.457361111112</v>
      </c>
      <c r="BO1577" s="4">
        <v>43283.457361111112</v>
      </c>
      <c r="BP1577" t="s">
        <v>92</v>
      </c>
      <c r="BQ1577" t="s">
        <v>93</v>
      </c>
      <c r="BR1577" t="s">
        <v>94</v>
      </c>
    </row>
    <row r="1578" spans="1:70" x14ac:dyDescent="0.3">
      <c r="A1578" t="str">
        <f>"200954B0100"</f>
        <v>200954B0100</v>
      </c>
      <c r="B1578" t="s">
        <v>3307</v>
      </c>
      <c r="C1578">
        <v>20</v>
      </c>
      <c r="D1578" t="s">
        <v>88</v>
      </c>
      <c r="E1578">
        <v>167</v>
      </c>
      <c r="F1578" t="s">
        <v>3297</v>
      </c>
      <c r="G1578">
        <v>954</v>
      </c>
      <c r="H1578">
        <v>1</v>
      </c>
      <c r="I1578" t="s">
        <v>90</v>
      </c>
      <c r="J1578">
        <v>0</v>
      </c>
      <c r="K1578">
        <v>2</v>
      </c>
      <c r="L1578">
        <v>5</v>
      </c>
      <c r="BG1578">
        <v>731</v>
      </c>
      <c r="BI1578" t="s">
        <v>122</v>
      </c>
      <c r="BJ1578">
        <v>0</v>
      </c>
      <c r="BL1578" t="s">
        <v>3308</v>
      </c>
      <c r="BM1578" s="4">
        <v>43283.574999999997</v>
      </c>
      <c r="BN1578" s="4">
        <v>43283.577673611115</v>
      </c>
      <c r="BO1578" s="4">
        <v>43283.577673611115</v>
      </c>
      <c r="BP1578" t="s">
        <v>92</v>
      </c>
      <c r="BQ1578" t="s">
        <v>93</v>
      </c>
      <c r="BR1578" t="s">
        <v>94</v>
      </c>
    </row>
    <row r="1579" spans="1:70" x14ac:dyDescent="0.3">
      <c r="A1579" t="str">
        <f>"200962B0100"</f>
        <v>200962B0100</v>
      </c>
      <c r="B1579" t="s">
        <v>3309</v>
      </c>
      <c r="C1579">
        <v>20</v>
      </c>
      <c r="D1579" t="s">
        <v>88</v>
      </c>
      <c r="E1579">
        <v>170</v>
      </c>
      <c r="F1579" t="s">
        <v>3310</v>
      </c>
      <c r="G1579">
        <v>962</v>
      </c>
      <c r="H1579">
        <v>1</v>
      </c>
      <c r="I1579" t="s">
        <v>90</v>
      </c>
      <c r="J1579">
        <v>0</v>
      </c>
      <c r="K1579">
        <v>2</v>
      </c>
      <c r="L1579">
        <v>5</v>
      </c>
      <c r="M1579">
        <v>133</v>
      </c>
      <c r="N1579">
        <v>602</v>
      </c>
      <c r="O1579" t="s">
        <v>105</v>
      </c>
      <c r="P1579">
        <v>604</v>
      </c>
      <c r="Q1579">
        <v>4</v>
      </c>
      <c r="R1579">
        <v>171</v>
      </c>
      <c r="S1579">
        <v>5</v>
      </c>
      <c r="U1579">
        <v>174</v>
      </c>
      <c r="V1579">
        <v>123</v>
      </c>
      <c r="W1579">
        <v>0</v>
      </c>
      <c r="X1579">
        <v>26</v>
      </c>
      <c r="Y1579">
        <v>65</v>
      </c>
      <c r="Z1579">
        <v>2</v>
      </c>
      <c r="AC1579">
        <v>0</v>
      </c>
      <c r="AD1579">
        <v>0</v>
      </c>
      <c r="AE1579">
        <v>1</v>
      </c>
      <c r="AF1579">
        <v>2</v>
      </c>
      <c r="AK1579">
        <v>3</v>
      </c>
      <c r="AL1579">
        <v>6</v>
      </c>
      <c r="AM1579">
        <v>0</v>
      </c>
      <c r="AN1579">
        <v>0</v>
      </c>
      <c r="AU1579">
        <v>4</v>
      </c>
      <c r="BC1579" t="s">
        <v>105</v>
      </c>
      <c r="BD1579">
        <v>18</v>
      </c>
      <c r="BE1579">
        <v>604</v>
      </c>
      <c r="BF1579">
        <v>604</v>
      </c>
      <c r="BG1579">
        <v>713</v>
      </c>
      <c r="BI1579" t="s">
        <v>106</v>
      </c>
      <c r="BJ1579">
        <v>1</v>
      </c>
      <c r="BL1579" t="s">
        <v>3311</v>
      </c>
      <c r="BM1579" s="4">
        <v>43283.082870370374</v>
      </c>
      <c r="BN1579" s="4">
        <v>43283.087106481478</v>
      </c>
      <c r="BO1579" s="4">
        <v>43283.087106481478</v>
      </c>
      <c r="BP1579" t="s">
        <v>92</v>
      </c>
      <c r="BQ1579" t="s">
        <v>93</v>
      </c>
      <c r="BR1579" t="s">
        <v>94</v>
      </c>
    </row>
    <row r="1580" spans="1:70" x14ac:dyDescent="0.3">
      <c r="A1580" t="str">
        <f>"200962C0100"</f>
        <v>200962C0100</v>
      </c>
      <c r="B1580" t="s">
        <v>3312</v>
      </c>
      <c r="C1580">
        <v>20</v>
      </c>
      <c r="D1580" t="s">
        <v>88</v>
      </c>
      <c r="E1580">
        <v>170</v>
      </c>
      <c r="F1580" t="s">
        <v>3310</v>
      </c>
      <c r="G1580">
        <v>962</v>
      </c>
      <c r="H1580">
        <v>1</v>
      </c>
      <c r="I1580" t="s">
        <v>98</v>
      </c>
      <c r="J1580">
        <v>0</v>
      </c>
      <c r="K1580">
        <v>2</v>
      </c>
      <c r="L1580">
        <v>5</v>
      </c>
      <c r="M1580">
        <v>170</v>
      </c>
      <c r="N1580">
        <v>564</v>
      </c>
      <c r="O1580">
        <v>0</v>
      </c>
      <c r="P1580">
        <v>560</v>
      </c>
      <c r="Q1580">
        <v>9</v>
      </c>
      <c r="R1580">
        <v>112</v>
      </c>
      <c r="S1580">
        <v>9</v>
      </c>
      <c r="U1580">
        <v>165</v>
      </c>
      <c r="V1580">
        <v>143</v>
      </c>
      <c r="W1580">
        <v>1</v>
      </c>
      <c r="X1580">
        <v>17</v>
      </c>
      <c r="Y1580">
        <v>60</v>
      </c>
      <c r="Z1580">
        <v>3</v>
      </c>
      <c r="AC1580">
        <v>2</v>
      </c>
      <c r="AD1580">
        <v>0</v>
      </c>
      <c r="AE1580">
        <v>1</v>
      </c>
      <c r="AF1580">
        <v>0</v>
      </c>
      <c r="AK1580">
        <v>4</v>
      </c>
      <c r="AL1580">
        <v>7</v>
      </c>
      <c r="AM1580">
        <v>0</v>
      </c>
      <c r="AN1580">
        <v>0</v>
      </c>
      <c r="AU1580">
        <v>1</v>
      </c>
      <c r="BC1580">
        <v>0</v>
      </c>
      <c r="BD1580">
        <v>26</v>
      </c>
      <c r="BE1580">
        <v>560</v>
      </c>
      <c r="BF1580">
        <v>560</v>
      </c>
      <c r="BG1580">
        <v>712</v>
      </c>
      <c r="BJ1580">
        <v>1</v>
      </c>
      <c r="BL1580" t="s">
        <v>3313</v>
      </c>
      <c r="BM1580" s="4">
        <v>43283.170601851853</v>
      </c>
      <c r="BN1580" s="4">
        <v>43283.185173611113</v>
      </c>
      <c r="BO1580" s="4">
        <v>43283.185173611113</v>
      </c>
      <c r="BP1580" t="s">
        <v>92</v>
      </c>
      <c r="BQ1580" t="s">
        <v>93</v>
      </c>
      <c r="BR1580" t="s">
        <v>94</v>
      </c>
    </row>
    <row r="1581" spans="1:70" x14ac:dyDescent="0.3">
      <c r="A1581" t="str">
        <f>"200962C0200"</f>
        <v>200962C0200</v>
      </c>
      <c r="B1581" t="s">
        <v>3314</v>
      </c>
      <c r="C1581">
        <v>20</v>
      </c>
      <c r="D1581" t="s">
        <v>88</v>
      </c>
      <c r="E1581">
        <v>170</v>
      </c>
      <c r="F1581" t="s">
        <v>3310</v>
      </c>
      <c r="G1581">
        <v>962</v>
      </c>
      <c r="H1581">
        <v>2</v>
      </c>
      <c r="I1581" t="s">
        <v>98</v>
      </c>
      <c r="J1581">
        <v>0</v>
      </c>
      <c r="K1581">
        <v>2</v>
      </c>
      <c r="L1581">
        <v>5</v>
      </c>
      <c r="BG1581">
        <v>712</v>
      </c>
      <c r="BI1581" t="s">
        <v>122</v>
      </c>
      <c r="BJ1581">
        <v>0</v>
      </c>
      <c r="BL1581" t="s">
        <v>3315</v>
      </c>
      <c r="BM1581" s="4">
        <v>43283.479097222225</v>
      </c>
      <c r="BN1581" s="4">
        <v>43283.489074074074</v>
      </c>
      <c r="BO1581" s="4">
        <v>43283.489074074074</v>
      </c>
      <c r="BP1581" t="s">
        <v>92</v>
      </c>
      <c r="BQ1581" t="s">
        <v>93</v>
      </c>
      <c r="BR1581" t="s">
        <v>94</v>
      </c>
    </row>
    <row r="1582" spans="1:70" x14ac:dyDescent="0.3">
      <c r="A1582" t="str">
        <f>"200963B0100"</f>
        <v>200963B0100</v>
      </c>
      <c r="B1582" t="s">
        <v>3316</v>
      </c>
      <c r="C1582">
        <v>20</v>
      </c>
      <c r="D1582" t="s">
        <v>88</v>
      </c>
      <c r="E1582">
        <v>170</v>
      </c>
      <c r="F1582" t="s">
        <v>3310</v>
      </c>
      <c r="G1582">
        <v>963</v>
      </c>
      <c r="H1582">
        <v>1</v>
      </c>
      <c r="I1582" t="s">
        <v>90</v>
      </c>
      <c r="J1582">
        <v>0</v>
      </c>
      <c r="K1582">
        <v>2</v>
      </c>
      <c r="L1582">
        <v>5</v>
      </c>
      <c r="M1582">
        <v>149</v>
      </c>
      <c r="N1582">
        <v>351</v>
      </c>
      <c r="O1582">
        <v>1</v>
      </c>
      <c r="P1582">
        <v>351</v>
      </c>
      <c r="Q1582">
        <v>6</v>
      </c>
      <c r="R1582">
        <v>100</v>
      </c>
      <c r="S1582">
        <v>22</v>
      </c>
      <c r="U1582">
        <v>147</v>
      </c>
      <c r="V1582">
        <v>35</v>
      </c>
      <c r="W1582">
        <v>1</v>
      </c>
      <c r="X1582">
        <v>8</v>
      </c>
      <c r="Y1582">
        <v>8</v>
      </c>
      <c r="Z1582">
        <v>1</v>
      </c>
      <c r="AC1582">
        <v>0</v>
      </c>
      <c r="AD1582">
        <v>0</v>
      </c>
      <c r="AE1582">
        <v>0</v>
      </c>
      <c r="AF1582">
        <v>0</v>
      </c>
      <c r="AK1582">
        <v>1</v>
      </c>
      <c r="AL1582">
        <v>5</v>
      </c>
      <c r="AM1582">
        <v>1</v>
      </c>
      <c r="AN1582">
        <v>1</v>
      </c>
      <c r="AU1582">
        <v>2</v>
      </c>
      <c r="BC1582">
        <v>0</v>
      </c>
      <c r="BD1582">
        <v>17</v>
      </c>
      <c r="BE1582">
        <v>351</v>
      </c>
      <c r="BF1582">
        <v>355</v>
      </c>
      <c r="BG1582">
        <v>478</v>
      </c>
      <c r="BJ1582">
        <v>1</v>
      </c>
      <c r="BL1582" t="s">
        <v>3317</v>
      </c>
      <c r="BM1582" s="4">
        <v>43283.361261574071</v>
      </c>
      <c r="BN1582" s="4">
        <v>43283.371840277781</v>
      </c>
      <c r="BO1582" s="4">
        <v>43283.371840277781</v>
      </c>
      <c r="BP1582" t="s">
        <v>92</v>
      </c>
      <c r="BQ1582" t="s">
        <v>93</v>
      </c>
      <c r="BR1582" t="s">
        <v>94</v>
      </c>
    </row>
    <row r="1583" spans="1:70" x14ac:dyDescent="0.3">
      <c r="A1583" t="str">
        <f>"200964B0100"</f>
        <v>200964B0100</v>
      </c>
      <c r="B1583" t="s">
        <v>3318</v>
      </c>
      <c r="C1583">
        <v>20</v>
      </c>
      <c r="D1583" t="s">
        <v>88</v>
      </c>
      <c r="E1583">
        <v>170</v>
      </c>
      <c r="F1583" t="s">
        <v>3310</v>
      </c>
      <c r="G1583">
        <v>964</v>
      </c>
      <c r="H1583">
        <v>1</v>
      </c>
      <c r="I1583" t="s">
        <v>90</v>
      </c>
      <c r="J1583">
        <v>0</v>
      </c>
      <c r="K1583">
        <v>2</v>
      </c>
      <c r="L1583">
        <v>5</v>
      </c>
      <c r="M1583">
        <v>76</v>
      </c>
      <c r="N1583">
        <v>278</v>
      </c>
      <c r="O1583">
        <v>3</v>
      </c>
      <c r="P1583" t="s">
        <v>105</v>
      </c>
      <c r="Q1583">
        <v>4</v>
      </c>
      <c r="R1583">
        <v>55</v>
      </c>
      <c r="S1583">
        <v>1</v>
      </c>
      <c r="U1583">
        <v>48</v>
      </c>
      <c r="V1583">
        <v>143</v>
      </c>
      <c r="W1583">
        <v>2</v>
      </c>
      <c r="X1583">
        <v>1</v>
      </c>
      <c r="Y1583">
        <v>3</v>
      </c>
      <c r="Z1583">
        <v>1</v>
      </c>
      <c r="AC1583">
        <v>1</v>
      </c>
      <c r="AD1583">
        <v>0</v>
      </c>
      <c r="AE1583">
        <v>0</v>
      </c>
      <c r="AF1583">
        <v>3</v>
      </c>
      <c r="AK1583">
        <v>2</v>
      </c>
      <c r="AL1583">
        <v>4</v>
      </c>
      <c r="AM1583">
        <v>1</v>
      </c>
      <c r="AN1583">
        <v>0</v>
      </c>
      <c r="AU1583">
        <v>0</v>
      </c>
      <c r="BC1583">
        <v>0</v>
      </c>
      <c r="BD1583">
        <v>9</v>
      </c>
      <c r="BE1583">
        <v>278</v>
      </c>
      <c r="BF1583">
        <v>278</v>
      </c>
      <c r="BG1583">
        <v>332</v>
      </c>
      <c r="BJ1583">
        <v>1</v>
      </c>
      <c r="BL1583" t="s">
        <v>3319</v>
      </c>
      <c r="BM1583" s="4">
        <v>43283.365405092591</v>
      </c>
      <c r="BN1583" s="4">
        <v>43283.374120370368</v>
      </c>
      <c r="BO1583" s="4">
        <v>43283.374120370368</v>
      </c>
      <c r="BP1583" t="s">
        <v>92</v>
      </c>
      <c r="BQ1583" t="s">
        <v>93</v>
      </c>
      <c r="BR1583" t="s">
        <v>94</v>
      </c>
    </row>
    <row r="1584" spans="1:70" x14ac:dyDescent="0.3">
      <c r="A1584" t="str">
        <f>"200965B0100"</f>
        <v>200965B0100</v>
      </c>
      <c r="B1584" t="s">
        <v>3320</v>
      </c>
      <c r="C1584">
        <v>20</v>
      </c>
      <c r="D1584" t="s">
        <v>88</v>
      </c>
      <c r="E1584">
        <v>170</v>
      </c>
      <c r="F1584" t="s">
        <v>3310</v>
      </c>
      <c r="G1584">
        <v>965</v>
      </c>
      <c r="H1584">
        <v>1</v>
      </c>
      <c r="I1584" t="s">
        <v>90</v>
      </c>
      <c r="J1584">
        <v>0</v>
      </c>
      <c r="K1584">
        <v>2</v>
      </c>
      <c r="L1584">
        <v>5</v>
      </c>
      <c r="M1584">
        <v>144</v>
      </c>
      <c r="N1584">
        <v>405</v>
      </c>
      <c r="O1584">
        <v>2</v>
      </c>
      <c r="P1584">
        <v>405</v>
      </c>
      <c r="Q1584">
        <v>0</v>
      </c>
      <c r="R1584">
        <v>137</v>
      </c>
      <c r="S1584">
        <v>11</v>
      </c>
      <c r="U1584">
        <v>137</v>
      </c>
      <c r="V1584">
        <v>58</v>
      </c>
      <c r="W1584">
        <v>0</v>
      </c>
      <c r="X1584">
        <v>11</v>
      </c>
      <c r="Y1584">
        <v>16</v>
      </c>
      <c r="Z1584">
        <v>24</v>
      </c>
      <c r="AC1584">
        <v>0</v>
      </c>
      <c r="AD1584">
        <v>0</v>
      </c>
      <c r="AE1584">
        <v>0</v>
      </c>
      <c r="AF1584">
        <v>1</v>
      </c>
      <c r="AK1584">
        <v>1</v>
      </c>
      <c r="AL1584">
        <v>1</v>
      </c>
      <c r="AM1584">
        <v>1</v>
      </c>
      <c r="AN1584">
        <v>0</v>
      </c>
      <c r="AU1584">
        <v>1</v>
      </c>
      <c r="BC1584">
        <v>0</v>
      </c>
      <c r="BD1584">
        <v>6</v>
      </c>
      <c r="BE1584">
        <v>405</v>
      </c>
      <c r="BF1584">
        <v>405</v>
      </c>
      <c r="BG1584">
        <v>527</v>
      </c>
      <c r="BJ1584">
        <v>1</v>
      </c>
      <c r="BL1584" t="s">
        <v>3321</v>
      </c>
      <c r="BM1584" s="4">
        <v>43283.395937499998</v>
      </c>
      <c r="BN1584" s="4">
        <v>43283.399108796293</v>
      </c>
      <c r="BO1584" s="4">
        <v>43283.399108796293</v>
      </c>
      <c r="BP1584" t="s">
        <v>92</v>
      </c>
      <c r="BQ1584" t="s">
        <v>93</v>
      </c>
      <c r="BR1584" t="s">
        <v>94</v>
      </c>
    </row>
    <row r="1585" spans="1:70" x14ac:dyDescent="0.3">
      <c r="A1585" t="str">
        <f>"200966B0100"</f>
        <v>200966B0100</v>
      </c>
      <c r="B1585" t="s">
        <v>3322</v>
      </c>
      <c r="C1585">
        <v>20</v>
      </c>
      <c r="D1585" t="s">
        <v>88</v>
      </c>
      <c r="E1585">
        <v>170</v>
      </c>
      <c r="F1585" t="s">
        <v>3310</v>
      </c>
      <c r="G1585">
        <v>966</v>
      </c>
      <c r="H1585">
        <v>1</v>
      </c>
      <c r="I1585" t="s">
        <v>90</v>
      </c>
      <c r="J1585">
        <v>0</v>
      </c>
      <c r="K1585">
        <v>2</v>
      </c>
      <c r="L1585">
        <v>5</v>
      </c>
      <c r="M1585">
        <v>114</v>
      </c>
      <c r="N1585">
        <v>386</v>
      </c>
      <c r="O1585">
        <v>0</v>
      </c>
      <c r="P1585">
        <v>386</v>
      </c>
      <c r="Q1585">
        <v>0</v>
      </c>
      <c r="R1585">
        <v>200</v>
      </c>
      <c r="S1585">
        <v>1</v>
      </c>
      <c r="U1585">
        <v>60</v>
      </c>
      <c r="V1585">
        <v>58</v>
      </c>
      <c r="W1585">
        <v>3</v>
      </c>
      <c r="X1585">
        <v>9</v>
      </c>
      <c r="Y1585">
        <v>25</v>
      </c>
      <c r="Z1585">
        <v>0</v>
      </c>
      <c r="AC1585">
        <v>0</v>
      </c>
      <c r="AD1585">
        <v>0</v>
      </c>
      <c r="AE1585">
        <v>0</v>
      </c>
      <c r="AF1585">
        <v>0</v>
      </c>
      <c r="AK1585">
        <v>5</v>
      </c>
      <c r="AL1585">
        <v>5</v>
      </c>
      <c r="AM1585">
        <v>0</v>
      </c>
      <c r="AN1585">
        <v>0</v>
      </c>
      <c r="AU1585">
        <v>2</v>
      </c>
      <c r="BC1585">
        <v>0</v>
      </c>
      <c r="BD1585">
        <v>18</v>
      </c>
      <c r="BE1585">
        <v>386</v>
      </c>
      <c r="BF1585">
        <v>386</v>
      </c>
      <c r="BG1585">
        <v>478</v>
      </c>
      <c r="BJ1585">
        <v>1</v>
      </c>
      <c r="BL1585" t="s">
        <v>3323</v>
      </c>
      <c r="BM1585" s="4">
        <v>43283.183854166666</v>
      </c>
      <c r="BN1585" s="4">
        <v>43283.200196759259</v>
      </c>
      <c r="BO1585" s="4">
        <v>43283.200196759259</v>
      </c>
      <c r="BP1585" t="s">
        <v>92</v>
      </c>
      <c r="BQ1585" t="s">
        <v>93</v>
      </c>
      <c r="BR1585" t="s">
        <v>94</v>
      </c>
    </row>
    <row r="1586" spans="1:70" x14ac:dyDescent="0.3">
      <c r="A1586" t="str">
        <f>"200966E0100"</f>
        <v>200966E0100</v>
      </c>
      <c r="B1586" s="2" t="s">
        <v>3324</v>
      </c>
      <c r="C1586">
        <v>20</v>
      </c>
      <c r="D1586" t="s">
        <v>88</v>
      </c>
      <c r="E1586">
        <v>170</v>
      </c>
      <c r="F1586" t="s">
        <v>3310</v>
      </c>
      <c r="G1586">
        <v>966</v>
      </c>
      <c r="H1586">
        <v>1</v>
      </c>
      <c r="I1586" t="s">
        <v>156</v>
      </c>
      <c r="J1586">
        <v>0</v>
      </c>
      <c r="K1586">
        <v>2</v>
      </c>
      <c r="L1586">
        <v>5</v>
      </c>
      <c r="M1586">
        <v>93</v>
      </c>
      <c r="N1586">
        <v>298</v>
      </c>
      <c r="O1586">
        <v>0</v>
      </c>
      <c r="P1586">
        <v>298</v>
      </c>
      <c r="Q1586">
        <v>12</v>
      </c>
      <c r="R1586">
        <v>102</v>
      </c>
      <c r="S1586">
        <v>24</v>
      </c>
      <c r="U1586">
        <v>62</v>
      </c>
      <c r="V1586">
        <v>53</v>
      </c>
      <c r="W1586">
        <v>1</v>
      </c>
      <c r="X1586">
        <v>4</v>
      </c>
      <c r="Y1586">
        <v>27</v>
      </c>
      <c r="Z1586">
        <v>0</v>
      </c>
      <c r="AC1586">
        <v>1</v>
      </c>
      <c r="AD1586">
        <v>0</v>
      </c>
      <c r="AE1586">
        <v>1</v>
      </c>
      <c r="AF1586">
        <v>0</v>
      </c>
      <c r="AK1586">
        <v>0</v>
      </c>
      <c r="AL1586">
        <v>0</v>
      </c>
      <c r="AM1586">
        <v>0</v>
      </c>
      <c r="AN1586">
        <v>0</v>
      </c>
      <c r="AU1586">
        <v>1</v>
      </c>
      <c r="BC1586">
        <v>0</v>
      </c>
      <c r="BD1586">
        <v>10</v>
      </c>
      <c r="BE1586">
        <v>298</v>
      </c>
      <c r="BF1586">
        <v>298</v>
      </c>
      <c r="BG1586">
        <v>369</v>
      </c>
      <c r="BJ1586">
        <v>1</v>
      </c>
      <c r="BL1586" t="s">
        <v>3325</v>
      </c>
      <c r="BM1586" s="4">
        <v>43283.187245370369</v>
      </c>
      <c r="BN1586" s="4">
        <v>43283.211712962962</v>
      </c>
      <c r="BO1586" s="4">
        <v>43283.211712962962</v>
      </c>
      <c r="BP1586" t="s">
        <v>92</v>
      </c>
      <c r="BQ1586" t="s">
        <v>93</v>
      </c>
      <c r="BR1586" t="s">
        <v>94</v>
      </c>
    </row>
    <row r="1587" spans="1:70" x14ac:dyDescent="0.3">
      <c r="A1587" t="str">
        <f>"200967B0100"</f>
        <v>200967B0100</v>
      </c>
      <c r="B1587" t="s">
        <v>3326</v>
      </c>
      <c r="C1587">
        <v>20</v>
      </c>
      <c r="D1587" t="s">
        <v>88</v>
      </c>
      <c r="E1587">
        <v>170</v>
      </c>
      <c r="F1587" t="s">
        <v>3310</v>
      </c>
      <c r="G1587">
        <v>967</v>
      </c>
      <c r="H1587">
        <v>1</v>
      </c>
      <c r="I1587" t="s">
        <v>90</v>
      </c>
      <c r="J1587">
        <v>0</v>
      </c>
      <c r="K1587">
        <v>2</v>
      </c>
      <c r="L1587">
        <v>5</v>
      </c>
      <c r="M1587">
        <v>142</v>
      </c>
      <c r="N1587">
        <v>483</v>
      </c>
      <c r="O1587">
        <v>2</v>
      </c>
      <c r="P1587">
        <v>483</v>
      </c>
      <c r="Q1587">
        <v>1</v>
      </c>
      <c r="R1587">
        <v>126</v>
      </c>
      <c r="S1587">
        <v>4</v>
      </c>
      <c r="U1587">
        <v>166</v>
      </c>
      <c r="V1587">
        <v>107</v>
      </c>
      <c r="W1587">
        <v>1</v>
      </c>
      <c r="X1587">
        <v>39</v>
      </c>
      <c r="Y1587">
        <v>19</v>
      </c>
      <c r="Z1587">
        <v>1</v>
      </c>
      <c r="AC1587">
        <v>0</v>
      </c>
      <c r="AD1587">
        <v>1</v>
      </c>
      <c r="AE1587">
        <v>0</v>
      </c>
      <c r="AF1587">
        <v>0</v>
      </c>
      <c r="AK1587">
        <v>0</v>
      </c>
      <c r="AL1587">
        <v>2</v>
      </c>
      <c r="AM1587">
        <v>0</v>
      </c>
      <c r="AN1587">
        <v>0</v>
      </c>
      <c r="AU1587">
        <v>0</v>
      </c>
      <c r="BC1587">
        <v>0</v>
      </c>
      <c r="BD1587">
        <v>16</v>
      </c>
      <c r="BE1587">
        <v>483</v>
      </c>
      <c r="BF1587">
        <v>483</v>
      </c>
      <c r="BG1587">
        <v>601</v>
      </c>
      <c r="BJ1587">
        <v>1</v>
      </c>
      <c r="BL1587" t="s">
        <v>3327</v>
      </c>
      <c r="BM1587" s="4">
        <v>43283.110949074071</v>
      </c>
      <c r="BN1587" s="4">
        <v>43283.11451388889</v>
      </c>
      <c r="BO1587" s="4">
        <v>43283.11451388889</v>
      </c>
      <c r="BP1587" t="s">
        <v>92</v>
      </c>
      <c r="BQ1587" t="s">
        <v>93</v>
      </c>
      <c r="BR1587" t="s">
        <v>94</v>
      </c>
    </row>
    <row r="1588" spans="1:70" x14ac:dyDescent="0.3">
      <c r="A1588" t="str">
        <f>"200968B0100"</f>
        <v>200968B0100</v>
      </c>
      <c r="B1588" t="s">
        <v>3328</v>
      </c>
      <c r="C1588">
        <v>20</v>
      </c>
      <c r="D1588" t="s">
        <v>88</v>
      </c>
      <c r="E1588">
        <v>170</v>
      </c>
      <c r="F1588" t="s">
        <v>3310</v>
      </c>
      <c r="G1588">
        <v>968</v>
      </c>
      <c r="H1588">
        <v>1</v>
      </c>
      <c r="I1588" t="s">
        <v>90</v>
      </c>
      <c r="J1588">
        <v>0</v>
      </c>
      <c r="K1588">
        <v>2</v>
      </c>
      <c r="L1588">
        <v>5</v>
      </c>
      <c r="M1588">
        <v>101</v>
      </c>
      <c r="N1588">
        <v>226</v>
      </c>
      <c r="O1588">
        <v>0</v>
      </c>
      <c r="P1588">
        <v>226</v>
      </c>
      <c r="Q1588">
        <v>3</v>
      </c>
      <c r="R1588">
        <v>71</v>
      </c>
      <c r="S1588">
        <v>6</v>
      </c>
      <c r="U1588">
        <v>72</v>
      </c>
      <c r="V1588">
        <v>40</v>
      </c>
      <c r="W1588">
        <v>1</v>
      </c>
      <c r="X1588">
        <v>5</v>
      </c>
      <c r="Y1588">
        <v>24</v>
      </c>
      <c r="Z1588">
        <v>0</v>
      </c>
      <c r="AC1588">
        <v>0</v>
      </c>
      <c r="AD1588">
        <v>0</v>
      </c>
      <c r="AE1588">
        <v>0</v>
      </c>
      <c r="AF1588">
        <v>0</v>
      </c>
      <c r="AK1588">
        <v>0</v>
      </c>
      <c r="AL1588">
        <v>0</v>
      </c>
      <c r="AM1588">
        <v>0</v>
      </c>
      <c r="AN1588">
        <v>0</v>
      </c>
      <c r="AU1588">
        <v>0</v>
      </c>
      <c r="BC1588">
        <v>0</v>
      </c>
      <c r="BD1588">
        <v>3</v>
      </c>
      <c r="BE1588">
        <v>226</v>
      </c>
      <c r="BF1588">
        <v>225</v>
      </c>
      <c r="BG1588">
        <v>305</v>
      </c>
      <c r="BJ1588">
        <v>1</v>
      </c>
      <c r="BL1588" t="s">
        <v>3329</v>
      </c>
      <c r="BM1588" s="4">
        <v>43283.113125000003</v>
      </c>
      <c r="BN1588" s="4">
        <v>43283.118472222224</v>
      </c>
      <c r="BO1588" s="4">
        <v>43283.118472222224</v>
      </c>
      <c r="BP1588" t="s">
        <v>92</v>
      </c>
      <c r="BQ1588" t="s">
        <v>93</v>
      </c>
      <c r="BR1588" t="s">
        <v>94</v>
      </c>
    </row>
    <row r="1589" spans="1:70" x14ac:dyDescent="0.3">
      <c r="A1589" t="str">
        <f>"200969B0100"</f>
        <v>200969B0100</v>
      </c>
      <c r="B1589" t="s">
        <v>3330</v>
      </c>
      <c r="C1589">
        <v>20</v>
      </c>
      <c r="D1589" t="s">
        <v>88</v>
      </c>
      <c r="E1589">
        <v>170</v>
      </c>
      <c r="F1589" t="s">
        <v>3310</v>
      </c>
      <c r="G1589">
        <v>969</v>
      </c>
      <c r="H1589">
        <v>1</v>
      </c>
      <c r="I1589" t="s">
        <v>90</v>
      </c>
      <c r="J1589">
        <v>0</v>
      </c>
      <c r="K1589">
        <v>2</v>
      </c>
      <c r="L1589">
        <v>5</v>
      </c>
      <c r="BG1589">
        <v>649</v>
      </c>
      <c r="BI1589" t="s">
        <v>122</v>
      </c>
      <c r="BJ1589">
        <v>0</v>
      </c>
      <c r="BL1589" t="s">
        <v>3331</v>
      </c>
      <c r="BM1589" s="4">
        <v>43283.479687500003</v>
      </c>
      <c r="BN1589" s="4">
        <v>43283.488020833334</v>
      </c>
      <c r="BO1589" s="4">
        <v>43283.488020833334</v>
      </c>
      <c r="BP1589" t="s">
        <v>92</v>
      </c>
      <c r="BQ1589" t="s">
        <v>93</v>
      </c>
      <c r="BR1589" t="s">
        <v>94</v>
      </c>
    </row>
    <row r="1590" spans="1:70" x14ac:dyDescent="0.3">
      <c r="A1590" t="str">
        <f>"200970B0100"</f>
        <v>200970B0100</v>
      </c>
      <c r="B1590" t="s">
        <v>3332</v>
      </c>
      <c r="C1590">
        <v>20</v>
      </c>
      <c r="D1590" t="s">
        <v>88</v>
      </c>
      <c r="E1590">
        <v>170</v>
      </c>
      <c r="F1590" t="s">
        <v>3310</v>
      </c>
      <c r="G1590">
        <v>970</v>
      </c>
      <c r="H1590">
        <v>1</v>
      </c>
      <c r="I1590" t="s">
        <v>90</v>
      </c>
      <c r="J1590">
        <v>0</v>
      </c>
      <c r="K1590">
        <v>2</v>
      </c>
      <c r="L1590">
        <v>5</v>
      </c>
      <c r="M1590">
        <v>125</v>
      </c>
      <c r="N1590">
        <v>520</v>
      </c>
      <c r="O1590">
        <v>0</v>
      </c>
      <c r="P1590">
        <v>520</v>
      </c>
      <c r="Q1590">
        <v>0</v>
      </c>
      <c r="R1590">
        <v>105</v>
      </c>
      <c r="S1590">
        <v>4</v>
      </c>
      <c r="U1590">
        <v>159</v>
      </c>
      <c r="V1590">
        <v>66</v>
      </c>
      <c r="W1590">
        <v>0</v>
      </c>
      <c r="X1590">
        <v>10</v>
      </c>
      <c r="Y1590">
        <v>16</v>
      </c>
      <c r="Z1590">
        <v>17</v>
      </c>
      <c r="AC1590">
        <v>2</v>
      </c>
      <c r="AD1590">
        <v>0</v>
      </c>
      <c r="AE1590">
        <v>0</v>
      </c>
      <c r="AF1590">
        <v>1</v>
      </c>
      <c r="AK1590">
        <v>0</v>
      </c>
      <c r="AL1590">
        <v>1</v>
      </c>
      <c r="AM1590">
        <v>0</v>
      </c>
      <c r="AN1590">
        <v>0</v>
      </c>
      <c r="AU1590">
        <v>0</v>
      </c>
      <c r="BC1590">
        <v>0</v>
      </c>
      <c r="BD1590">
        <v>14</v>
      </c>
      <c r="BE1590">
        <v>395</v>
      </c>
      <c r="BF1590">
        <v>395</v>
      </c>
      <c r="BG1590">
        <v>498</v>
      </c>
      <c r="BJ1590">
        <v>1</v>
      </c>
      <c r="BL1590" t="s">
        <v>3333</v>
      </c>
      <c r="BM1590" s="4">
        <v>43283.126851851855</v>
      </c>
      <c r="BN1590" s="4">
        <v>43283.131192129629</v>
      </c>
      <c r="BO1590" s="4">
        <v>43283.131192129629</v>
      </c>
      <c r="BP1590" t="s">
        <v>92</v>
      </c>
      <c r="BQ1590" t="s">
        <v>93</v>
      </c>
      <c r="BR1590" t="s">
        <v>94</v>
      </c>
    </row>
    <row r="1591" spans="1:70" x14ac:dyDescent="0.3">
      <c r="A1591" t="str">
        <f>"200970E0100"</f>
        <v>200970E0100</v>
      </c>
      <c r="B1591" s="2" t="s">
        <v>3334</v>
      </c>
      <c r="C1591">
        <v>20</v>
      </c>
      <c r="D1591" t="s">
        <v>88</v>
      </c>
      <c r="E1591">
        <v>170</v>
      </c>
      <c r="F1591" t="s">
        <v>3310</v>
      </c>
      <c r="G1591">
        <v>970</v>
      </c>
      <c r="H1591">
        <v>1</v>
      </c>
      <c r="I1591" t="s">
        <v>156</v>
      </c>
      <c r="J1591">
        <v>0</v>
      </c>
      <c r="K1591">
        <v>2</v>
      </c>
      <c r="L1591">
        <v>5</v>
      </c>
      <c r="M1591">
        <v>136</v>
      </c>
      <c r="N1591">
        <v>528</v>
      </c>
      <c r="O1591">
        <v>0</v>
      </c>
      <c r="P1591">
        <v>527</v>
      </c>
      <c r="Q1591">
        <v>4</v>
      </c>
      <c r="R1591">
        <v>161</v>
      </c>
      <c r="S1591">
        <v>10</v>
      </c>
      <c r="U1591">
        <v>210</v>
      </c>
      <c r="V1591">
        <v>83</v>
      </c>
      <c r="W1591">
        <v>1</v>
      </c>
      <c r="X1591">
        <v>6</v>
      </c>
      <c r="Y1591">
        <v>20</v>
      </c>
      <c r="Z1591">
        <v>1</v>
      </c>
      <c r="AC1591">
        <v>1</v>
      </c>
      <c r="AD1591">
        <v>0</v>
      </c>
      <c r="AE1591">
        <v>1</v>
      </c>
      <c r="AF1591">
        <v>0</v>
      </c>
      <c r="AK1591">
        <v>1</v>
      </c>
      <c r="AL1591">
        <v>9</v>
      </c>
      <c r="AM1591">
        <v>0</v>
      </c>
      <c r="AN1591">
        <v>0</v>
      </c>
      <c r="AU1591">
        <v>0</v>
      </c>
      <c r="BC1591">
        <v>0</v>
      </c>
      <c r="BD1591">
        <v>19</v>
      </c>
      <c r="BE1591">
        <v>527</v>
      </c>
      <c r="BF1591">
        <v>527</v>
      </c>
      <c r="BG1591">
        <v>641</v>
      </c>
      <c r="BJ1591">
        <v>1</v>
      </c>
      <c r="BL1591" t="s">
        <v>3335</v>
      </c>
      <c r="BM1591" s="4">
        <v>43283.189930555556</v>
      </c>
      <c r="BN1591" s="4">
        <v>43283.206446759257</v>
      </c>
      <c r="BO1591" s="4">
        <v>43283.206446759257</v>
      </c>
      <c r="BP1591" t="s">
        <v>92</v>
      </c>
      <c r="BQ1591" t="s">
        <v>93</v>
      </c>
      <c r="BR1591" t="s">
        <v>94</v>
      </c>
    </row>
    <row r="1592" spans="1:70" x14ac:dyDescent="0.3">
      <c r="A1592" t="str">
        <f>"200971B0100"</f>
        <v>200971B0100</v>
      </c>
      <c r="B1592" t="s">
        <v>3336</v>
      </c>
      <c r="C1592">
        <v>20</v>
      </c>
      <c r="D1592" t="s">
        <v>88</v>
      </c>
      <c r="E1592">
        <v>170</v>
      </c>
      <c r="F1592" t="s">
        <v>3310</v>
      </c>
      <c r="G1592">
        <v>971</v>
      </c>
      <c r="H1592">
        <v>1</v>
      </c>
      <c r="I1592" t="s">
        <v>90</v>
      </c>
      <c r="J1592">
        <v>0</v>
      </c>
      <c r="K1592">
        <v>2</v>
      </c>
      <c r="L1592">
        <v>5</v>
      </c>
      <c r="BG1592">
        <v>233</v>
      </c>
      <c r="BI1592" t="s">
        <v>365</v>
      </c>
      <c r="BJ1592">
        <v>0</v>
      </c>
      <c r="BL1592" t="s">
        <v>3337</v>
      </c>
      <c r="BM1592" s="4">
        <v>43283.47865740741</v>
      </c>
      <c r="BN1592" s="4">
        <v>43283.487743055557</v>
      </c>
      <c r="BO1592" s="4">
        <v>43283.487743055557</v>
      </c>
      <c r="BP1592" t="s">
        <v>92</v>
      </c>
      <c r="BQ1592" t="s">
        <v>93</v>
      </c>
      <c r="BR1592" t="s">
        <v>94</v>
      </c>
    </row>
    <row r="1593" spans="1:70" x14ac:dyDescent="0.3">
      <c r="A1593" t="str">
        <f>"200972B0100"</f>
        <v>200972B0100</v>
      </c>
      <c r="B1593" t="s">
        <v>3338</v>
      </c>
      <c r="C1593">
        <v>20</v>
      </c>
      <c r="D1593" t="s">
        <v>88</v>
      </c>
      <c r="E1593">
        <v>170</v>
      </c>
      <c r="F1593" t="s">
        <v>3310</v>
      </c>
      <c r="G1593">
        <v>972</v>
      </c>
      <c r="H1593">
        <v>1</v>
      </c>
      <c r="I1593" t="s">
        <v>90</v>
      </c>
      <c r="J1593">
        <v>0</v>
      </c>
      <c r="K1593">
        <v>2</v>
      </c>
      <c r="L1593">
        <v>5</v>
      </c>
      <c r="BG1593">
        <v>578</v>
      </c>
      <c r="BI1593" t="s">
        <v>407</v>
      </c>
      <c r="BJ1593">
        <v>0</v>
      </c>
      <c r="BL1593" t="s">
        <v>3339</v>
      </c>
      <c r="BM1593" s="4">
        <v>43283.263275462959</v>
      </c>
      <c r="BN1593" s="4">
        <v>43283.292615740742</v>
      </c>
      <c r="BO1593" s="4">
        <v>43283.292615740742</v>
      </c>
      <c r="BP1593" t="s">
        <v>92</v>
      </c>
      <c r="BQ1593" t="s">
        <v>93</v>
      </c>
      <c r="BR1593" t="s">
        <v>94</v>
      </c>
    </row>
    <row r="1594" spans="1:70" x14ac:dyDescent="0.3">
      <c r="A1594" t="str">
        <f>"200972C0100"</f>
        <v>200972C0100</v>
      </c>
      <c r="B1594" t="s">
        <v>3340</v>
      </c>
      <c r="C1594">
        <v>20</v>
      </c>
      <c r="D1594" t="s">
        <v>88</v>
      </c>
      <c r="E1594">
        <v>170</v>
      </c>
      <c r="F1594" t="s">
        <v>3310</v>
      </c>
      <c r="G1594">
        <v>972</v>
      </c>
      <c r="H1594">
        <v>1</v>
      </c>
      <c r="I1594" t="s">
        <v>98</v>
      </c>
      <c r="J1594">
        <v>0</v>
      </c>
      <c r="K1594">
        <v>2</v>
      </c>
      <c r="L1594">
        <v>5</v>
      </c>
      <c r="M1594">
        <v>132</v>
      </c>
      <c r="N1594">
        <v>467</v>
      </c>
      <c r="O1594">
        <v>0</v>
      </c>
      <c r="P1594">
        <v>467</v>
      </c>
      <c r="Q1594">
        <v>1</v>
      </c>
      <c r="R1594">
        <v>152</v>
      </c>
      <c r="S1594">
        <v>5</v>
      </c>
      <c r="U1594">
        <v>104</v>
      </c>
      <c r="V1594">
        <v>148</v>
      </c>
      <c r="W1594">
        <v>1</v>
      </c>
      <c r="X1594">
        <v>9</v>
      </c>
      <c r="Y1594">
        <v>32</v>
      </c>
      <c r="Z1594">
        <v>4</v>
      </c>
      <c r="AC1594">
        <v>4</v>
      </c>
      <c r="AD1594">
        <v>1</v>
      </c>
      <c r="AE1594">
        <v>0</v>
      </c>
      <c r="AF1594">
        <v>1</v>
      </c>
      <c r="AK1594">
        <v>2</v>
      </c>
      <c r="AL1594">
        <v>0</v>
      </c>
      <c r="AM1594">
        <v>0</v>
      </c>
      <c r="AN1594">
        <v>1</v>
      </c>
      <c r="AU1594">
        <v>0</v>
      </c>
      <c r="BC1594">
        <v>0</v>
      </c>
      <c r="BD1594">
        <v>2</v>
      </c>
      <c r="BE1594">
        <v>467</v>
      </c>
      <c r="BF1594">
        <v>467</v>
      </c>
      <c r="BG1594">
        <v>577</v>
      </c>
      <c r="BJ1594">
        <v>1</v>
      </c>
      <c r="BL1594" t="s">
        <v>3341</v>
      </c>
      <c r="BM1594" s="4">
        <v>43283.267199074071</v>
      </c>
      <c r="BN1594" s="4">
        <v>43283.303472222222</v>
      </c>
      <c r="BO1594" s="4">
        <v>43283.303472222222</v>
      </c>
      <c r="BP1594" t="s">
        <v>92</v>
      </c>
      <c r="BQ1594" t="s">
        <v>93</v>
      </c>
      <c r="BR1594" t="s">
        <v>94</v>
      </c>
    </row>
    <row r="1595" spans="1:70" x14ac:dyDescent="0.3">
      <c r="A1595" t="str">
        <f>"200972E0100"</f>
        <v>200972E0100</v>
      </c>
      <c r="B1595" s="2" t="s">
        <v>3342</v>
      </c>
      <c r="C1595">
        <v>20</v>
      </c>
      <c r="D1595" t="s">
        <v>88</v>
      </c>
      <c r="E1595">
        <v>170</v>
      </c>
      <c r="F1595" t="s">
        <v>3310</v>
      </c>
      <c r="G1595">
        <v>972</v>
      </c>
      <c r="H1595">
        <v>1</v>
      </c>
      <c r="I1595" t="s">
        <v>156</v>
      </c>
      <c r="J1595">
        <v>0</v>
      </c>
      <c r="K1595">
        <v>2</v>
      </c>
      <c r="L1595">
        <v>5</v>
      </c>
      <c r="M1595">
        <v>104</v>
      </c>
      <c r="N1595">
        <v>366</v>
      </c>
      <c r="O1595">
        <v>2</v>
      </c>
      <c r="P1595">
        <v>366</v>
      </c>
      <c r="Q1595">
        <v>2</v>
      </c>
      <c r="R1595">
        <v>49</v>
      </c>
      <c r="S1595">
        <v>2</v>
      </c>
      <c r="U1595">
        <v>94</v>
      </c>
      <c r="V1595">
        <v>43</v>
      </c>
      <c r="W1595">
        <v>1</v>
      </c>
      <c r="X1595">
        <v>86</v>
      </c>
      <c r="Y1595">
        <v>31</v>
      </c>
      <c r="Z1595">
        <v>35</v>
      </c>
      <c r="AC1595">
        <v>0</v>
      </c>
      <c r="AD1595">
        <v>1</v>
      </c>
      <c r="AE1595">
        <v>1</v>
      </c>
      <c r="AF1595">
        <v>1</v>
      </c>
      <c r="AK1595">
        <v>1</v>
      </c>
      <c r="AL1595">
        <v>4</v>
      </c>
      <c r="AM1595">
        <v>1</v>
      </c>
      <c r="AN1595">
        <v>0</v>
      </c>
      <c r="AU1595">
        <v>1</v>
      </c>
      <c r="BC1595">
        <v>0</v>
      </c>
      <c r="BD1595">
        <v>13</v>
      </c>
      <c r="BE1595">
        <v>366</v>
      </c>
      <c r="BF1595">
        <v>366</v>
      </c>
      <c r="BG1595">
        <v>448</v>
      </c>
      <c r="BJ1595">
        <v>1</v>
      </c>
      <c r="BL1595" t="s">
        <v>3343</v>
      </c>
      <c r="BM1595" s="4">
        <v>43283.10496527778</v>
      </c>
      <c r="BN1595" s="4">
        <v>43283.107592592591</v>
      </c>
      <c r="BO1595" s="4">
        <v>43283.107592592591</v>
      </c>
      <c r="BP1595" t="s">
        <v>92</v>
      </c>
      <c r="BQ1595" t="s">
        <v>93</v>
      </c>
      <c r="BR1595" t="s">
        <v>94</v>
      </c>
    </row>
    <row r="1596" spans="1:70" x14ac:dyDescent="0.3">
      <c r="A1596" t="str">
        <f>"200973B0100"</f>
        <v>200973B0100</v>
      </c>
      <c r="B1596" t="s">
        <v>3344</v>
      </c>
      <c r="C1596">
        <v>20</v>
      </c>
      <c r="D1596" t="s">
        <v>88</v>
      </c>
      <c r="E1596">
        <v>170</v>
      </c>
      <c r="F1596" t="s">
        <v>3310</v>
      </c>
      <c r="G1596">
        <v>973</v>
      </c>
      <c r="H1596">
        <v>1</v>
      </c>
      <c r="I1596" t="s">
        <v>90</v>
      </c>
      <c r="J1596">
        <v>0</v>
      </c>
      <c r="K1596">
        <v>2</v>
      </c>
      <c r="L1596">
        <v>5</v>
      </c>
      <c r="M1596">
        <v>90</v>
      </c>
      <c r="N1596">
        <v>227</v>
      </c>
      <c r="O1596">
        <v>0</v>
      </c>
      <c r="P1596">
        <v>232</v>
      </c>
      <c r="Q1596">
        <v>1</v>
      </c>
      <c r="R1596">
        <v>123</v>
      </c>
      <c r="S1596">
        <v>0</v>
      </c>
      <c r="U1596">
        <v>39</v>
      </c>
      <c r="V1596">
        <v>20</v>
      </c>
      <c r="W1596">
        <v>2</v>
      </c>
      <c r="X1596">
        <v>10</v>
      </c>
      <c r="Y1596">
        <v>27</v>
      </c>
      <c r="Z1596">
        <v>0</v>
      </c>
      <c r="AC1596">
        <v>0</v>
      </c>
      <c r="AD1596">
        <v>0</v>
      </c>
      <c r="AE1596">
        <v>0</v>
      </c>
      <c r="AF1596">
        <v>0</v>
      </c>
      <c r="AK1596">
        <v>0</v>
      </c>
      <c r="AL1596">
        <v>4</v>
      </c>
      <c r="AM1596">
        <v>0</v>
      </c>
      <c r="AN1596">
        <v>0</v>
      </c>
      <c r="AU1596">
        <v>0</v>
      </c>
      <c r="BC1596">
        <v>0</v>
      </c>
      <c r="BD1596">
        <v>6</v>
      </c>
      <c r="BE1596">
        <v>232</v>
      </c>
      <c r="BF1596">
        <v>232</v>
      </c>
      <c r="BG1596">
        <v>295</v>
      </c>
      <c r="BJ1596">
        <v>1</v>
      </c>
      <c r="BL1596" t="s">
        <v>3345</v>
      </c>
      <c r="BM1596" s="4">
        <v>43283.143425925926</v>
      </c>
      <c r="BN1596" s="4">
        <v>43283.147291666668</v>
      </c>
      <c r="BO1596" s="4">
        <v>43283.147291666668</v>
      </c>
      <c r="BP1596" t="s">
        <v>92</v>
      </c>
      <c r="BQ1596" t="s">
        <v>93</v>
      </c>
      <c r="BR1596" t="s">
        <v>94</v>
      </c>
    </row>
    <row r="1597" spans="1:70" x14ac:dyDescent="0.3">
      <c r="A1597" t="str">
        <f>"200974B0100"</f>
        <v>200974B0100</v>
      </c>
      <c r="B1597" t="s">
        <v>3346</v>
      </c>
      <c r="C1597">
        <v>20</v>
      </c>
      <c r="D1597" t="s">
        <v>88</v>
      </c>
      <c r="E1597">
        <v>170</v>
      </c>
      <c r="F1597" t="s">
        <v>3310</v>
      </c>
      <c r="G1597">
        <v>974</v>
      </c>
      <c r="H1597">
        <v>1</v>
      </c>
      <c r="I1597" t="s">
        <v>90</v>
      </c>
      <c r="J1597">
        <v>0</v>
      </c>
      <c r="K1597">
        <v>2</v>
      </c>
      <c r="L1597">
        <v>5</v>
      </c>
      <c r="M1597">
        <v>60</v>
      </c>
      <c r="N1597">
        <v>174</v>
      </c>
      <c r="O1597">
        <v>0</v>
      </c>
      <c r="P1597">
        <v>174</v>
      </c>
      <c r="Q1597">
        <v>0</v>
      </c>
      <c r="R1597">
        <v>66</v>
      </c>
      <c r="S1597">
        <v>1</v>
      </c>
      <c r="U1597">
        <v>39</v>
      </c>
      <c r="V1597">
        <v>28</v>
      </c>
      <c r="W1597">
        <v>0</v>
      </c>
      <c r="X1597">
        <v>2</v>
      </c>
      <c r="Y1597">
        <v>32</v>
      </c>
      <c r="Z1597">
        <v>0</v>
      </c>
      <c r="AC1597">
        <v>0</v>
      </c>
      <c r="AD1597">
        <v>0</v>
      </c>
      <c r="AE1597">
        <v>0</v>
      </c>
      <c r="AF1597">
        <v>0</v>
      </c>
      <c r="AK1597">
        <v>0</v>
      </c>
      <c r="AL1597">
        <v>1</v>
      </c>
      <c r="AM1597">
        <v>0</v>
      </c>
      <c r="AN1597">
        <v>0</v>
      </c>
      <c r="AU1597">
        <v>1</v>
      </c>
      <c r="BC1597">
        <v>0</v>
      </c>
      <c r="BD1597">
        <v>4</v>
      </c>
      <c r="BE1597">
        <v>174</v>
      </c>
      <c r="BF1597">
        <v>174</v>
      </c>
      <c r="BG1597">
        <v>212</v>
      </c>
      <c r="BJ1597">
        <v>1</v>
      </c>
      <c r="BL1597" t="s">
        <v>3347</v>
      </c>
      <c r="BM1597" s="4">
        <v>43282.951527777775</v>
      </c>
      <c r="BN1597" s="4">
        <v>43282.95585648148</v>
      </c>
      <c r="BO1597" s="4">
        <v>43282.95585648148</v>
      </c>
      <c r="BP1597" t="s">
        <v>92</v>
      </c>
      <c r="BQ1597" t="s">
        <v>93</v>
      </c>
      <c r="BR1597" t="s">
        <v>94</v>
      </c>
    </row>
    <row r="1598" spans="1:70" x14ac:dyDescent="0.3">
      <c r="A1598" t="str">
        <f>"200974E0100"</f>
        <v>200974E0100</v>
      </c>
      <c r="B1598" s="2" t="s">
        <v>3348</v>
      </c>
      <c r="C1598">
        <v>20</v>
      </c>
      <c r="D1598" t="s">
        <v>88</v>
      </c>
      <c r="E1598">
        <v>170</v>
      </c>
      <c r="F1598" t="s">
        <v>3310</v>
      </c>
      <c r="G1598">
        <v>974</v>
      </c>
      <c r="H1598">
        <v>1</v>
      </c>
      <c r="I1598" t="s">
        <v>156</v>
      </c>
      <c r="J1598">
        <v>0</v>
      </c>
      <c r="K1598">
        <v>2</v>
      </c>
      <c r="L1598">
        <v>5</v>
      </c>
      <c r="BG1598">
        <v>332</v>
      </c>
      <c r="BI1598" t="s">
        <v>122</v>
      </c>
      <c r="BJ1598">
        <v>0</v>
      </c>
      <c r="BL1598" t="s">
        <v>3349</v>
      </c>
      <c r="BM1598" s="4">
        <v>43283.480046296296</v>
      </c>
      <c r="BN1598" s="4">
        <v>43283.488344907404</v>
      </c>
      <c r="BO1598" s="4">
        <v>43283.488344907404</v>
      </c>
      <c r="BP1598" t="s">
        <v>92</v>
      </c>
      <c r="BQ1598" t="s">
        <v>93</v>
      </c>
      <c r="BR1598" t="s">
        <v>94</v>
      </c>
    </row>
    <row r="1599" spans="1:70" x14ac:dyDescent="0.3">
      <c r="A1599" t="str">
        <f>"200975B0100"</f>
        <v>200975B0100</v>
      </c>
      <c r="B1599" t="s">
        <v>3350</v>
      </c>
      <c r="C1599">
        <v>20</v>
      </c>
      <c r="D1599" t="s">
        <v>88</v>
      </c>
      <c r="E1599">
        <v>170</v>
      </c>
      <c r="F1599" t="s">
        <v>3310</v>
      </c>
      <c r="G1599">
        <v>975</v>
      </c>
      <c r="H1599">
        <v>1</v>
      </c>
      <c r="I1599" t="s">
        <v>90</v>
      </c>
      <c r="J1599">
        <v>0</v>
      </c>
      <c r="K1599">
        <v>2</v>
      </c>
      <c r="L1599">
        <v>5</v>
      </c>
      <c r="M1599">
        <v>138</v>
      </c>
      <c r="N1599">
        <v>493</v>
      </c>
      <c r="O1599">
        <v>0</v>
      </c>
      <c r="P1599" t="s">
        <v>105</v>
      </c>
      <c r="Q1599">
        <v>3</v>
      </c>
      <c r="R1599">
        <v>134</v>
      </c>
      <c r="S1599">
        <v>4</v>
      </c>
      <c r="U1599">
        <v>69</v>
      </c>
      <c r="V1599">
        <v>46</v>
      </c>
      <c r="W1599">
        <v>1</v>
      </c>
      <c r="X1599">
        <v>71</v>
      </c>
      <c r="Y1599">
        <v>17</v>
      </c>
      <c r="Z1599">
        <v>2</v>
      </c>
      <c r="AC1599">
        <v>0</v>
      </c>
      <c r="AD1599">
        <v>0</v>
      </c>
      <c r="AE1599">
        <v>0</v>
      </c>
      <c r="AF1599">
        <v>0</v>
      </c>
      <c r="AK1599">
        <v>0</v>
      </c>
      <c r="AL1599">
        <v>2</v>
      </c>
      <c r="AM1599">
        <v>0</v>
      </c>
      <c r="AN1599">
        <v>0</v>
      </c>
      <c r="AU1599">
        <v>0</v>
      </c>
      <c r="BC1599">
        <v>0</v>
      </c>
      <c r="BD1599">
        <v>16</v>
      </c>
      <c r="BE1599" t="s">
        <v>105</v>
      </c>
      <c r="BF1599">
        <v>365</v>
      </c>
      <c r="BG1599">
        <v>482</v>
      </c>
      <c r="BJ1599">
        <v>1</v>
      </c>
      <c r="BL1599" t="s">
        <v>3351</v>
      </c>
      <c r="BM1599" s="4">
        <v>43283.259837962964</v>
      </c>
      <c r="BN1599" s="4">
        <v>43283.287141203706</v>
      </c>
      <c r="BO1599" s="4">
        <v>43283.287141203706</v>
      </c>
      <c r="BP1599" t="s">
        <v>92</v>
      </c>
      <c r="BQ1599" t="s">
        <v>93</v>
      </c>
      <c r="BR1599" t="s">
        <v>94</v>
      </c>
    </row>
    <row r="1600" spans="1:70" x14ac:dyDescent="0.3">
      <c r="A1600" t="str">
        <f>"200975E0100"</f>
        <v>200975E0100</v>
      </c>
      <c r="B1600" s="2" t="s">
        <v>3352</v>
      </c>
      <c r="C1600">
        <v>20</v>
      </c>
      <c r="D1600" t="s">
        <v>88</v>
      </c>
      <c r="E1600">
        <v>170</v>
      </c>
      <c r="F1600" t="s">
        <v>3310</v>
      </c>
      <c r="G1600">
        <v>975</v>
      </c>
      <c r="H1600">
        <v>1</v>
      </c>
      <c r="I1600" t="s">
        <v>156</v>
      </c>
      <c r="J1600">
        <v>0</v>
      </c>
      <c r="K1600">
        <v>2</v>
      </c>
      <c r="L1600">
        <v>5</v>
      </c>
      <c r="M1600">
        <v>33</v>
      </c>
      <c r="N1600">
        <v>91</v>
      </c>
      <c r="O1600">
        <v>3</v>
      </c>
      <c r="P1600">
        <v>91</v>
      </c>
      <c r="Q1600">
        <v>0</v>
      </c>
      <c r="R1600">
        <v>30</v>
      </c>
      <c r="S1600">
        <v>1</v>
      </c>
      <c r="U1600">
        <v>31</v>
      </c>
      <c r="V1600">
        <v>16</v>
      </c>
      <c r="W1600">
        <v>0</v>
      </c>
      <c r="X1600">
        <v>0</v>
      </c>
      <c r="Y1600">
        <v>12</v>
      </c>
      <c r="Z1600">
        <v>0</v>
      </c>
      <c r="AC1600">
        <v>0</v>
      </c>
      <c r="AD1600">
        <v>0</v>
      </c>
      <c r="AE1600">
        <v>0</v>
      </c>
      <c r="AF1600">
        <v>0</v>
      </c>
      <c r="AK1600">
        <v>0</v>
      </c>
      <c r="AL1600">
        <v>0</v>
      </c>
      <c r="AM1600">
        <v>0</v>
      </c>
      <c r="AN1600">
        <v>0</v>
      </c>
      <c r="AU1600">
        <v>0</v>
      </c>
      <c r="BC1600">
        <v>0</v>
      </c>
      <c r="BD1600">
        <v>1</v>
      </c>
      <c r="BE1600">
        <v>91</v>
      </c>
      <c r="BF1600">
        <v>91</v>
      </c>
      <c r="BG1600">
        <v>102</v>
      </c>
      <c r="BJ1600">
        <v>1</v>
      </c>
      <c r="BL1600" t="s">
        <v>3353</v>
      </c>
      <c r="BM1600" s="4">
        <v>43283.139479166668</v>
      </c>
      <c r="BN1600" s="4">
        <v>43283.142592592594</v>
      </c>
      <c r="BO1600" s="4">
        <v>43283.142592592594</v>
      </c>
      <c r="BP1600" t="s">
        <v>92</v>
      </c>
      <c r="BQ1600" t="s">
        <v>93</v>
      </c>
      <c r="BR1600" t="s">
        <v>94</v>
      </c>
    </row>
    <row r="1601" spans="1:70" x14ac:dyDescent="0.3">
      <c r="A1601" t="str">
        <f>"200976B0100"</f>
        <v>200976B0100</v>
      </c>
      <c r="B1601" t="s">
        <v>3354</v>
      </c>
      <c r="C1601">
        <v>20</v>
      </c>
      <c r="D1601" t="s">
        <v>88</v>
      </c>
      <c r="E1601">
        <v>170</v>
      </c>
      <c r="F1601" t="s">
        <v>3310</v>
      </c>
      <c r="G1601">
        <v>976</v>
      </c>
      <c r="H1601">
        <v>1</v>
      </c>
      <c r="I1601" t="s">
        <v>90</v>
      </c>
      <c r="J1601">
        <v>0</v>
      </c>
      <c r="K1601">
        <v>2</v>
      </c>
      <c r="L1601">
        <v>5</v>
      </c>
      <c r="M1601">
        <v>112</v>
      </c>
      <c r="N1601">
        <v>298</v>
      </c>
      <c r="O1601">
        <v>0</v>
      </c>
      <c r="P1601">
        <v>298</v>
      </c>
      <c r="Q1601">
        <v>8</v>
      </c>
      <c r="R1601">
        <v>111</v>
      </c>
      <c r="S1601">
        <v>7</v>
      </c>
      <c r="U1601">
        <v>48</v>
      </c>
      <c r="V1601">
        <v>50</v>
      </c>
      <c r="W1601">
        <v>0</v>
      </c>
      <c r="X1601">
        <v>7</v>
      </c>
      <c r="Y1601">
        <v>14</v>
      </c>
      <c r="Z1601">
        <v>23</v>
      </c>
      <c r="AC1601">
        <v>1</v>
      </c>
      <c r="AD1601">
        <v>0</v>
      </c>
      <c r="AE1601">
        <v>0</v>
      </c>
      <c r="AF1601">
        <v>0</v>
      </c>
      <c r="AK1601">
        <v>4</v>
      </c>
      <c r="AL1601">
        <v>4</v>
      </c>
      <c r="AM1601">
        <v>1</v>
      </c>
      <c r="AN1601">
        <v>1</v>
      </c>
      <c r="AU1601">
        <v>0</v>
      </c>
      <c r="BC1601">
        <v>0</v>
      </c>
      <c r="BD1601">
        <v>19</v>
      </c>
      <c r="BE1601">
        <v>298</v>
      </c>
      <c r="BF1601">
        <v>298</v>
      </c>
      <c r="BG1601">
        <v>388</v>
      </c>
      <c r="BJ1601">
        <v>1</v>
      </c>
      <c r="BL1601" t="s">
        <v>3355</v>
      </c>
      <c r="BM1601" s="4">
        <v>43283.350497685184</v>
      </c>
      <c r="BN1601" s="4">
        <v>43283.36173611111</v>
      </c>
      <c r="BO1601" s="4">
        <v>43283.36173611111</v>
      </c>
      <c r="BP1601" t="s">
        <v>92</v>
      </c>
      <c r="BQ1601" t="s">
        <v>93</v>
      </c>
      <c r="BR1601" t="s">
        <v>94</v>
      </c>
    </row>
    <row r="1602" spans="1:70" x14ac:dyDescent="0.3">
      <c r="A1602" t="str">
        <f>"200976C0100"</f>
        <v>200976C0100</v>
      </c>
      <c r="B1602" t="s">
        <v>3356</v>
      </c>
      <c r="C1602">
        <v>20</v>
      </c>
      <c r="D1602" t="s">
        <v>88</v>
      </c>
      <c r="E1602">
        <v>170</v>
      </c>
      <c r="F1602" t="s">
        <v>3310</v>
      </c>
      <c r="G1602">
        <v>976</v>
      </c>
      <c r="H1602">
        <v>1</v>
      </c>
      <c r="I1602" t="s">
        <v>98</v>
      </c>
      <c r="J1602">
        <v>0</v>
      </c>
      <c r="K1602">
        <v>2</v>
      </c>
      <c r="L1602">
        <v>5</v>
      </c>
      <c r="M1602">
        <v>106</v>
      </c>
      <c r="N1602">
        <v>306</v>
      </c>
      <c r="O1602">
        <v>2</v>
      </c>
      <c r="P1602">
        <v>304</v>
      </c>
      <c r="Q1602">
        <v>5</v>
      </c>
      <c r="R1602">
        <v>104</v>
      </c>
      <c r="S1602">
        <v>8</v>
      </c>
      <c r="U1602">
        <v>57</v>
      </c>
      <c r="V1602">
        <v>76</v>
      </c>
      <c r="W1602">
        <v>0</v>
      </c>
      <c r="X1602">
        <v>6</v>
      </c>
      <c r="Y1602">
        <v>15</v>
      </c>
      <c r="Z1602">
        <v>11</v>
      </c>
      <c r="AC1602">
        <v>0</v>
      </c>
      <c r="AD1602">
        <v>1</v>
      </c>
      <c r="AE1602">
        <v>0</v>
      </c>
      <c r="AF1602">
        <v>0</v>
      </c>
      <c r="AK1602">
        <v>2</v>
      </c>
      <c r="AL1602">
        <v>7</v>
      </c>
      <c r="AM1602">
        <v>0</v>
      </c>
      <c r="AN1602">
        <v>0</v>
      </c>
      <c r="AU1602">
        <v>1</v>
      </c>
      <c r="BC1602">
        <v>0</v>
      </c>
      <c r="BD1602">
        <v>11</v>
      </c>
      <c r="BE1602">
        <v>304</v>
      </c>
      <c r="BF1602">
        <v>304</v>
      </c>
      <c r="BG1602">
        <v>388</v>
      </c>
      <c r="BJ1602">
        <v>1</v>
      </c>
      <c r="BL1602" t="s">
        <v>3357</v>
      </c>
      <c r="BM1602" s="4">
        <v>43283.348067129627</v>
      </c>
      <c r="BN1602" s="4">
        <v>43283.361886574072</v>
      </c>
      <c r="BO1602" s="4">
        <v>43283.361886574072</v>
      </c>
      <c r="BP1602" t="s">
        <v>92</v>
      </c>
      <c r="BQ1602" t="s">
        <v>93</v>
      </c>
      <c r="BR1602" t="s">
        <v>94</v>
      </c>
    </row>
    <row r="1603" spans="1:70" x14ac:dyDescent="0.3">
      <c r="A1603" t="str">
        <f>"200977B0100"</f>
        <v>200977B0100</v>
      </c>
      <c r="B1603" t="s">
        <v>3358</v>
      </c>
      <c r="C1603">
        <v>20</v>
      </c>
      <c r="D1603" t="s">
        <v>88</v>
      </c>
      <c r="E1603">
        <v>170</v>
      </c>
      <c r="F1603" t="s">
        <v>3310</v>
      </c>
      <c r="G1603">
        <v>977</v>
      </c>
      <c r="H1603">
        <v>1</v>
      </c>
      <c r="I1603" t="s">
        <v>90</v>
      </c>
      <c r="J1603">
        <v>0</v>
      </c>
      <c r="K1603">
        <v>2</v>
      </c>
      <c r="L1603">
        <v>5</v>
      </c>
      <c r="M1603">
        <v>76</v>
      </c>
      <c r="N1603">
        <v>174</v>
      </c>
      <c r="O1603">
        <v>1</v>
      </c>
      <c r="P1603">
        <v>174</v>
      </c>
      <c r="Q1603">
        <v>1</v>
      </c>
      <c r="R1603">
        <v>36</v>
      </c>
      <c r="S1603">
        <v>6</v>
      </c>
      <c r="U1603">
        <v>25</v>
      </c>
      <c r="V1603">
        <v>75</v>
      </c>
      <c r="W1603">
        <v>1</v>
      </c>
      <c r="X1603">
        <v>8</v>
      </c>
      <c r="Y1603">
        <v>4</v>
      </c>
      <c r="Z1603">
        <v>1</v>
      </c>
      <c r="AC1603">
        <v>1</v>
      </c>
      <c r="AD1603">
        <v>0</v>
      </c>
      <c r="AE1603">
        <v>1</v>
      </c>
      <c r="AF1603">
        <v>0</v>
      </c>
      <c r="AK1603">
        <v>1</v>
      </c>
      <c r="AL1603">
        <v>2</v>
      </c>
      <c r="AM1603">
        <v>0</v>
      </c>
      <c r="AN1603">
        <v>0</v>
      </c>
      <c r="AU1603">
        <v>1</v>
      </c>
      <c r="BC1603">
        <v>0</v>
      </c>
      <c r="BD1603">
        <v>11</v>
      </c>
      <c r="BE1603">
        <v>174</v>
      </c>
      <c r="BF1603">
        <v>174</v>
      </c>
      <c r="BG1603">
        <v>228</v>
      </c>
      <c r="BJ1603">
        <v>1</v>
      </c>
      <c r="BL1603" t="s">
        <v>3359</v>
      </c>
      <c r="BM1603" s="4">
        <v>43283.353796296295</v>
      </c>
      <c r="BN1603" s="4">
        <v>43283.365497685183</v>
      </c>
      <c r="BO1603" s="4">
        <v>43283.365497685183</v>
      </c>
      <c r="BP1603" t="s">
        <v>92</v>
      </c>
      <c r="BQ1603" t="s">
        <v>93</v>
      </c>
      <c r="BR1603" t="s">
        <v>94</v>
      </c>
    </row>
    <row r="1604" spans="1:70" x14ac:dyDescent="0.3">
      <c r="A1604" t="str">
        <f>"200977E0100"</f>
        <v>200977E0100</v>
      </c>
      <c r="B1604" s="2" t="s">
        <v>3360</v>
      </c>
      <c r="C1604">
        <v>20</v>
      </c>
      <c r="D1604" t="s">
        <v>88</v>
      </c>
      <c r="E1604">
        <v>170</v>
      </c>
      <c r="F1604" t="s">
        <v>3310</v>
      </c>
      <c r="G1604">
        <v>977</v>
      </c>
      <c r="H1604">
        <v>1</v>
      </c>
      <c r="I1604" t="s">
        <v>156</v>
      </c>
      <c r="J1604">
        <v>0</v>
      </c>
      <c r="K1604">
        <v>2</v>
      </c>
      <c r="L1604">
        <v>5</v>
      </c>
      <c r="M1604">
        <v>115</v>
      </c>
      <c r="N1604">
        <v>237</v>
      </c>
      <c r="O1604">
        <v>0</v>
      </c>
      <c r="P1604">
        <v>237</v>
      </c>
      <c r="Q1604">
        <v>2</v>
      </c>
      <c r="R1604">
        <v>99</v>
      </c>
      <c r="S1604">
        <v>8</v>
      </c>
      <c r="U1604">
        <v>11</v>
      </c>
      <c r="V1604">
        <v>56</v>
      </c>
      <c r="W1604">
        <v>1</v>
      </c>
      <c r="X1604">
        <v>8</v>
      </c>
      <c r="Y1604">
        <v>31</v>
      </c>
      <c r="Z1604">
        <v>2</v>
      </c>
      <c r="AC1604">
        <v>0</v>
      </c>
      <c r="AD1604">
        <v>0</v>
      </c>
      <c r="AE1604">
        <v>0</v>
      </c>
      <c r="AF1604">
        <v>2</v>
      </c>
      <c r="AK1604">
        <v>0</v>
      </c>
      <c r="AL1604">
        <v>0</v>
      </c>
      <c r="AM1604">
        <v>0</v>
      </c>
      <c r="AN1604">
        <v>0</v>
      </c>
      <c r="AU1604">
        <v>0</v>
      </c>
      <c r="BC1604">
        <v>1</v>
      </c>
      <c r="BD1604">
        <v>16</v>
      </c>
      <c r="BE1604">
        <v>237</v>
      </c>
      <c r="BF1604">
        <v>237</v>
      </c>
      <c r="BG1604">
        <v>330</v>
      </c>
      <c r="BJ1604">
        <v>1</v>
      </c>
      <c r="BL1604" t="s">
        <v>3361</v>
      </c>
      <c r="BM1604" s="4">
        <v>43283.357534722221</v>
      </c>
      <c r="BN1604" s="4">
        <v>43283.369525462964</v>
      </c>
      <c r="BO1604" s="4">
        <v>43283.369525462964</v>
      </c>
      <c r="BP1604" t="s">
        <v>92</v>
      </c>
      <c r="BQ1604" t="s">
        <v>93</v>
      </c>
      <c r="BR1604" t="s">
        <v>94</v>
      </c>
    </row>
    <row r="1605" spans="1:70" x14ac:dyDescent="0.3">
      <c r="A1605" t="str">
        <f>"200986B0100"</f>
        <v>200986B0100</v>
      </c>
      <c r="B1605" t="s">
        <v>3362</v>
      </c>
      <c r="C1605">
        <v>20</v>
      </c>
      <c r="D1605" t="s">
        <v>88</v>
      </c>
      <c r="E1605">
        <v>175</v>
      </c>
      <c r="F1605" t="s">
        <v>3363</v>
      </c>
      <c r="G1605">
        <v>986</v>
      </c>
      <c r="H1605">
        <v>1</v>
      </c>
      <c r="I1605" t="s">
        <v>90</v>
      </c>
      <c r="J1605">
        <v>0</v>
      </c>
      <c r="K1605">
        <v>1</v>
      </c>
      <c r="L1605">
        <v>5</v>
      </c>
      <c r="M1605">
        <v>161</v>
      </c>
      <c r="N1605">
        <v>442</v>
      </c>
      <c r="O1605">
        <v>3</v>
      </c>
      <c r="P1605">
        <v>444</v>
      </c>
      <c r="Q1605">
        <v>122</v>
      </c>
      <c r="R1605">
        <v>120</v>
      </c>
      <c r="S1605">
        <v>9</v>
      </c>
      <c r="T1605">
        <v>4</v>
      </c>
      <c r="U1605">
        <v>2</v>
      </c>
      <c r="V1605">
        <v>1</v>
      </c>
      <c r="W1605">
        <v>4</v>
      </c>
      <c r="X1605">
        <v>9</v>
      </c>
      <c r="Y1605">
        <v>88</v>
      </c>
      <c r="Z1605">
        <v>3</v>
      </c>
      <c r="AA1605">
        <v>53</v>
      </c>
      <c r="AC1605">
        <v>0</v>
      </c>
      <c r="AD1605">
        <v>2</v>
      </c>
      <c r="AE1605">
        <v>0</v>
      </c>
      <c r="AF1605">
        <v>0</v>
      </c>
      <c r="AK1605">
        <v>0</v>
      </c>
      <c r="AL1605">
        <v>1</v>
      </c>
      <c r="AM1605">
        <v>0</v>
      </c>
      <c r="AN1605">
        <v>1</v>
      </c>
      <c r="AS1605">
        <v>3</v>
      </c>
      <c r="AT1605">
        <v>1</v>
      </c>
      <c r="AU1605">
        <v>0</v>
      </c>
      <c r="AV1605">
        <v>0</v>
      </c>
      <c r="BC1605">
        <v>0</v>
      </c>
      <c r="BD1605">
        <v>21</v>
      </c>
      <c r="BE1605">
        <v>444</v>
      </c>
      <c r="BF1605">
        <v>444</v>
      </c>
      <c r="BG1605">
        <v>581</v>
      </c>
      <c r="BJ1605">
        <v>1</v>
      </c>
      <c r="BL1605" t="s">
        <v>3364</v>
      </c>
      <c r="BM1605" s="4">
        <v>43283.270833333336</v>
      </c>
      <c r="BN1605" s="4">
        <v>43283.301736111112</v>
      </c>
      <c r="BO1605" s="4">
        <v>43283.301736111112</v>
      </c>
      <c r="BP1605" t="s">
        <v>92</v>
      </c>
      <c r="BQ1605" t="s">
        <v>93</v>
      </c>
      <c r="BR1605" t="s">
        <v>94</v>
      </c>
    </row>
    <row r="1606" spans="1:70" x14ac:dyDescent="0.3">
      <c r="A1606" t="str">
        <f>"200986C0100"</f>
        <v>200986C0100</v>
      </c>
      <c r="B1606" t="s">
        <v>3365</v>
      </c>
      <c r="C1606">
        <v>20</v>
      </c>
      <c r="D1606" t="s">
        <v>88</v>
      </c>
      <c r="E1606">
        <v>175</v>
      </c>
      <c r="F1606" t="s">
        <v>3363</v>
      </c>
      <c r="G1606">
        <v>986</v>
      </c>
      <c r="H1606">
        <v>1</v>
      </c>
      <c r="I1606" t="s">
        <v>98</v>
      </c>
      <c r="J1606">
        <v>0</v>
      </c>
      <c r="K1606">
        <v>2</v>
      </c>
      <c r="L1606">
        <v>5</v>
      </c>
      <c r="M1606">
        <v>157</v>
      </c>
      <c r="N1606" t="s">
        <v>105</v>
      </c>
      <c r="O1606" t="s">
        <v>105</v>
      </c>
      <c r="P1606" t="s">
        <v>105</v>
      </c>
      <c r="Q1606">
        <v>129</v>
      </c>
      <c r="R1606">
        <v>110</v>
      </c>
      <c r="S1606">
        <v>3</v>
      </c>
      <c r="T1606">
        <v>3</v>
      </c>
      <c r="U1606">
        <v>1</v>
      </c>
      <c r="V1606">
        <v>1</v>
      </c>
      <c r="W1606">
        <v>5</v>
      </c>
      <c r="X1606">
        <v>14</v>
      </c>
      <c r="Y1606">
        <v>92</v>
      </c>
      <c r="Z1606">
        <v>1</v>
      </c>
      <c r="AA1606">
        <v>55</v>
      </c>
      <c r="AC1606">
        <v>1</v>
      </c>
      <c r="AD1606">
        <v>0</v>
      </c>
      <c r="AE1606">
        <v>1</v>
      </c>
      <c r="AF1606">
        <v>0</v>
      </c>
      <c r="AK1606">
        <v>2</v>
      </c>
      <c r="AL1606">
        <v>0</v>
      </c>
      <c r="AM1606">
        <v>0</v>
      </c>
      <c r="AN1606">
        <v>0</v>
      </c>
      <c r="AS1606">
        <v>5</v>
      </c>
      <c r="AT1606">
        <v>3</v>
      </c>
      <c r="AU1606">
        <v>1</v>
      </c>
      <c r="AV1606">
        <v>0</v>
      </c>
      <c r="BC1606">
        <v>0</v>
      </c>
      <c r="BD1606">
        <v>16</v>
      </c>
      <c r="BE1606">
        <v>443</v>
      </c>
      <c r="BF1606">
        <v>443</v>
      </c>
      <c r="BG1606">
        <v>580</v>
      </c>
      <c r="BJ1606">
        <v>1</v>
      </c>
      <c r="BL1606" t="s">
        <v>3366</v>
      </c>
      <c r="BM1606" s="4">
        <v>43283.276388888888</v>
      </c>
      <c r="BN1606" s="4">
        <v>43283.305706018517</v>
      </c>
      <c r="BO1606" s="4">
        <v>43283.305706018517</v>
      </c>
      <c r="BP1606" t="s">
        <v>92</v>
      </c>
      <c r="BQ1606" t="s">
        <v>93</v>
      </c>
      <c r="BR1606" t="s">
        <v>94</v>
      </c>
    </row>
    <row r="1607" spans="1:70" x14ac:dyDescent="0.3">
      <c r="A1607" t="str">
        <f>"200987B0100"</f>
        <v>200987B0100</v>
      </c>
      <c r="B1607" t="s">
        <v>3367</v>
      </c>
      <c r="C1607">
        <v>20</v>
      </c>
      <c r="D1607" t="s">
        <v>88</v>
      </c>
      <c r="E1607">
        <v>175</v>
      </c>
      <c r="F1607" t="s">
        <v>3363</v>
      </c>
      <c r="G1607">
        <v>987</v>
      </c>
      <c r="H1607">
        <v>1</v>
      </c>
      <c r="I1607" t="s">
        <v>90</v>
      </c>
      <c r="J1607">
        <v>0</v>
      </c>
      <c r="K1607">
        <v>1</v>
      </c>
      <c r="L1607">
        <v>5</v>
      </c>
      <c r="M1607">
        <v>149</v>
      </c>
      <c r="N1607">
        <v>387</v>
      </c>
      <c r="O1607">
        <v>1</v>
      </c>
      <c r="P1607">
        <v>387</v>
      </c>
      <c r="Q1607">
        <v>90</v>
      </c>
      <c r="R1607">
        <v>105</v>
      </c>
      <c r="S1607">
        <v>5</v>
      </c>
      <c r="T1607">
        <v>5</v>
      </c>
      <c r="U1607">
        <v>3</v>
      </c>
      <c r="V1607">
        <v>1</v>
      </c>
      <c r="W1607">
        <v>1</v>
      </c>
      <c r="X1607">
        <v>15</v>
      </c>
      <c r="Y1607">
        <v>101</v>
      </c>
      <c r="Z1607">
        <v>5</v>
      </c>
      <c r="AA1607">
        <v>34</v>
      </c>
      <c r="AC1607">
        <v>0</v>
      </c>
      <c r="AD1607">
        <v>2</v>
      </c>
      <c r="AE1607">
        <v>1</v>
      </c>
      <c r="AF1607">
        <v>0</v>
      </c>
      <c r="AK1607">
        <v>5</v>
      </c>
      <c r="AL1607">
        <v>1</v>
      </c>
      <c r="AM1607">
        <v>0</v>
      </c>
      <c r="AN1607">
        <v>0</v>
      </c>
      <c r="AS1607">
        <v>3</v>
      </c>
      <c r="AT1607">
        <v>1</v>
      </c>
      <c r="AU1607">
        <v>1</v>
      </c>
      <c r="AV1607">
        <v>0</v>
      </c>
      <c r="BC1607">
        <v>0</v>
      </c>
      <c r="BD1607">
        <v>8</v>
      </c>
      <c r="BE1607">
        <v>387</v>
      </c>
      <c r="BF1607">
        <v>387</v>
      </c>
      <c r="BG1607">
        <v>514</v>
      </c>
      <c r="BJ1607">
        <v>1</v>
      </c>
      <c r="BL1607" t="s">
        <v>3368</v>
      </c>
      <c r="BM1607" s="4">
        <v>43283.149305555555</v>
      </c>
      <c r="BN1607" s="4">
        <v>43283.161319444444</v>
      </c>
      <c r="BO1607" s="4">
        <v>43283.161319444444</v>
      </c>
      <c r="BP1607" t="s">
        <v>92</v>
      </c>
      <c r="BQ1607" t="s">
        <v>93</v>
      </c>
      <c r="BR1607" t="s">
        <v>254</v>
      </c>
    </row>
    <row r="1608" spans="1:70" x14ac:dyDescent="0.3">
      <c r="A1608" t="str">
        <f>"200987C0100"</f>
        <v>200987C0100</v>
      </c>
      <c r="B1608" t="s">
        <v>3369</v>
      </c>
      <c r="C1608">
        <v>20</v>
      </c>
      <c r="D1608" t="s">
        <v>88</v>
      </c>
      <c r="E1608">
        <v>175</v>
      </c>
      <c r="F1608" t="s">
        <v>3363</v>
      </c>
      <c r="G1608">
        <v>987</v>
      </c>
      <c r="H1608">
        <v>1</v>
      </c>
      <c r="I1608" t="s">
        <v>98</v>
      </c>
      <c r="J1608">
        <v>0</v>
      </c>
      <c r="K1608">
        <v>2</v>
      </c>
      <c r="L1608">
        <v>5</v>
      </c>
      <c r="M1608">
        <v>146</v>
      </c>
      <c r="N1608">
        <v>388</v>
      </c>
      <c r="O1608">
        <v>0</v>
      </c>
      <c r="P1608">
        <v>388</v>
      </c>
      <c r="Q1608">
        <v>91</v>
      </c>
      <c r="R1608">
        <v>111</v>
      </c>
      <c r="S1608">
        <v>8</v>
      </c>
      <c r="T1608">
        <v>3</v>
      </c>
      <c r="U1608">
        <v>4</v>
      </c>
      <c r="V1608">
        <v>2</v>
      </c>
      <c r="W1608">
        <v>1</v>
      </c>
      <c r="X1608">
        <v>18</v>
      </c>
      <c r="Y1608">
        <v>95</v>
      </c>
      <c r="Z1608">
        <v>2</v>
      </c>
      <c r="AA1608">
        <v>18</v>
      </c>
      <c r="AC1608">
        <v>5</v>
      </c>
      <c r="AD1608">
        <v>3</v>
      </c>
      <c r="AE1608">
        <v>0</v>
      </c>
      <c r="AF1608">
        <v>0</v>
      </c>
      <c r="AK1608">
        <v>1</v>
      </c>
      <c r="AL1608">
        <v>1</v>
      </c>
      <c r="AM1608">
        <v>0</v>
      </c>
      <c r="AN1608">
        <v>0</v>
      </c>
      <c r="AS1608">
        <v>6</v>
      </c>
      <c r="AT1608">
        <v>0</v>
      </c>
      <c r="AU1608">
        <v>1</v>
      </c>
      <c r="AV1608">
        <v>1</v>
      </c>
      <c r="BC1608">
        <v>0</v>
      </c>
      <c r="BD1608">
        <v>17</v>
      </c>
      <c r="BE1608">
        <v>388</v>
      </c>
      <c r="BF1608">
        <v>388</v>
      </c>
      <c r="BG1608">
        <v>513</v>
      </c>
      <c r="BJ1608">
        <v>1</v>
      </c>
      <c r="BL1608" t="s">
        <v>3370</v>
      </c>
      <c r="BM1608" s="4">
        <v>43283.289583333331</v>
      </c>
      <c r="BN1608" s="4">
        <v>43283.332025462965</v>
      </c>
      <c r="BO1608" s="4">
        <v>43283.332025462965</v>
      </c>
      <c r="BP1608" t="s">
        <v>92</v>
      </c>
      <c r="BQ1608" t="s">
        <v>93</v>
      </c>
      <c r="BR1608" t="s">
        <v>94</v>
      </c>
    </row>
    <row r="1609" spans="1:70" x14ac:dyDescent="0.3">
      <c r="A1609" t="str">
        <f>"200987C0200"</f>
        <v>200987C0200</v>
      </c>
      <c r="B1609" t="s">
        <v>3371</v>
      </c>
      <c r="C1609">
        <v>20</v>
      </c>
      <c r="D1609" t="s">
        <v>88</v>
      </c>
      <c r="E1609">
        <v>175</v>
      </c>
      <c r="F1609" t="s">
        <v>3363</v>
      </c>
      <c r="G1609">
        <v>987</v>
      </c>
      <c r="H1609">
        <v>2</v>
      </c>
      <c r="I1609" t="s">
        <v>98</v>
      </c>
      <c r="J1609">
        <v>0</v>
      </c>
      <c r="K1609">
        <v>2</v>
      </c>
      <c r="L1609">
        <v>5</v>
      </c>
      <c r="M1609">
        <v>129</v>
      </c>
      <c r="N1609">
        <v>406</v>
      </c>
      <c r="O1609">
        <v>5</v>
      </c>
      <c r="P1609">
        <v>406</v>
      </c>
      <c r="Q1609">
        <v>104</v>
      </c>
      <c r="R1609">
        <v>110</v>
      </c>
      <c r="S1609">
        <v>8</v>
      </c>
      <c r="T1609">
        <v>13</v>
      </c>
      <c r="U1609">
        <v>7</v>
      </c>
      <c r="V1609">
        <v>1</v>
      </c>
      <c r="W1609">
        <v>2</v>
      </c>
      <c r="X1609">
        <v>20</v>
      </c>
      <c r="Y1609">
        <v>86</v>
      </c>
      <c r="Z1609">
        <v>0</v>
      </c>
      <c r="AA1609">
        <v>16</v>
      </c>
      <c r="AC1609">
        <v>2</v>
      </c>
      <c r="AD1609">
        <v>0</v>
      </c>
      <c r="AE1609">
        <v>0</v>
      </c>
      <c r="AF1609">
        <v>0</v>
      </c>
      <c r="AK1609">
        <v>2</v>
      </c>
      <c r="AL1609">
        <v>0</v>
      </c>
      <c r="AM1609">
        <v>3</v>
      </c>
      <c r="AN1609">
        <v>0</v>
      </c>
      <c r="AS1609">
        <v>8</v>
      </c>
      <c r="AT1609">
        <v>2</v>
      </c>
      <c r="AU1609">
        <v>1</v>
      </c>
      <c r="AV1609">
        <v>1</v>
      </c>
      <c r="BC1609">
        <v>0</v>
      </c>
      <c r="BD1609">
        <v>20</v>
      </c>
      <c r="BE1609">
        <v>406</v>
      </c>
      <c r="BF1609">
        <v>406</v>
      </c>
      <c r="BG1609">
        <v>513</v>
      </c>
      <c r="BJ1609">
        <v>1</v>
      </c>
      <c r="BL1609" t="s">
        <v>3372</v>
      </c>
      <c r="BM1609" s="4">
        <v>43283.177083333336</v>
      </c>
      <c r="BN1609" s="4">
        <v>43283.196273148147</v>
      </c>
      <c r="BO1609" s="4">
        <v>43283.196273148147</v>
      </c>
      <c r="BP1609" t="s">
        <v>92</v>
      </c>
      <c r="BQ1609" t="s">
        <v>93</v>
      </c>
      <c r="BR1609" t="s">
        <v>94</v>
      </c>
    </row>
    <row r="1610" spans="1:70" x14ac:dyDescent="0.3">
      <c r="A1610" t="str">
        <f>"200988B0100"</f>
        <v>200988B0100</v>
      </c>
      <c r="B1610" t="s">
        <v>3373</v>
      </c>
      <c r="C1610">
        <v>20</v>
      </c>
      <c r="D1610" t="s">
        <v>88</v>
      </c>
      <c r="E1610">
        <v>175</v>
      </c>
      <c r="F1610" t="s">
        <v>3363</v>
      </c>
      <c r="G1610">
        <v>988</v>
      </c>
      <c r="H1610">
        <v>1</v>
      </c>
      <c r="I1610" t="s">
        <v>90</v>
      </c>
      <c r="J1610">
        <v>0</v>
      </c>
      <c r="K1610">
        <v>1</v>
      </c>
      <c r="L1610">
        <v>5</v>
      </c>
      <c r="M1610">
        <v>148</v>
      </c>
      <c r="N1610">
        <v>343</v>
      </c>
      <c r="O1610">
        <v>4</v>
      </c>
      <c r="P1610">
        <v>343</v>
      </c>
      <c r="Q1610">
        <v>99</v>
      </c>
      <c r="R1610">
        <v>78</v>
      </c>
      <c r="S1610">
        <v>5</v>
      </c>
      <c r="T1610">
        <v>7</v>
      </c>
      <c r="U1610">
        <v>8</v>
      </c>
      <c r="V1610">
        <v>1</v>
      </c>
      <c r="W1610">
        <v>1</v>
      </c>
      <c r="X1610">
        <v>6</v>
      </c>
      <c r="Y1610">
        <v>46</v>
      </c>
      <c r="Z1610">
        <v>0</v>
      </c>
      <c r="AA1610">
        <v>29</v>
      </c>
      <c r="AC1610">
        <v>0</v>
      </c>
      <c r="AD1610">
        <v>3</v>
      </c>
      <c r="AE1610">
        <v>0</v>
      </c>
      <c r="AF1610">
        <v>0</v>
      </c>
      <c r="AK1610">
        <v>2</v>
      </c>
      <c r="AL1610">
        <v>0</v>
      </c>
      <c r="AM1610">
        <v>0</v>
      </c>
      <c r="AN1610">
        <v>0</v>
      </c>
      <c r="AS1610">
        <v>6</v>
      </c>
      <c r="AT1610">
        <v>2</v>
      </c>
      <c r="AU1610">
        <v>1</v>
      </c>
      <c r="AV1610">
        <v>0</v>
      </c>
      <c r="BC1610">
        <v>0</v>
      </c>
      <c r="BD1610">
        <v>0</v>
      </c>
      <c r="BE1610" t="s">
        <v>127</v>
      </c>
      <c r="BF1610">
        <v>294</v>
      </c>
      <c r="BG1610">
        <v>469</v>
      </c>
      <c r="BJ1610">
        <v>1</v>
      </c>
      <c r="BL1610" t="s">
        <v>3374</v>
      </c>
      <c r="BM1610" s="4">
        <v>43283.269444444442</v>
      </c>
      <c r="BN1610" s="4">
        <v>43283.308912037035</v>
      </c>
      <c r="BO1610" s="4">
        <v>43283.308912037035</v>
      </c>
      <c r="BP1610" t="s">
        <v>92</v>
      </c>
      <c r="BQ1610" t="s">
        <v>93</v>
      </c>
      <c r="BR1610" t="s">
        <v>94</v>
      </c>
    </row>
    <row r="1611" spans="1:70" x14ac:dyDescent="0.3">
      <c r="A1611" t="str">
        <f>"200988C0100"</f>
        <v>200988C0100</v>
      </c>
      <c r="B1611" t="s">
        <v>3375</v>
      </c>
      <c r="C1611">
        <v>20</v>
      </c>
      <c r="D1611" t="s">
        <v>88</v>
      </c>
      <c r="E1611">
        <v>175</v>
      </c>
      <c r="F1611" t="s">
        <v>3363</v>
      </c>
      <c r="G1611">
        <v>988</v>
      </c>
      <c r="H1611">
        <v>1</v>
      </c>
      <c r="I1611" t="s">
        <v>98</v>
      </c>
      <c r="J1611">
        <v>0</v>
      </c>
      <c r="K1611">
        <v>2</v>
      </c>
      <c r="L1611">
        <v>5</v>
      </c>
      <c r="M1611">
        <v>139</v>
      </c>
      <c r="N1611">
        <v>353</v>
      </c>
      <c r="O1611">
        <v>6</v>
      </c>
      <c r="P1611">
        <v>353</v>
      </c>
      <c r="Q1611">
        <v>106</v>
      </c>
      <c r="R1611">
        <v>96</v>
      </c>
      <c r="S1611">
        <v>7</v>
      </c>
      <c r="T1611">
        <v>2</v>
      </c>
      <c r="U1611">
        <v>6</v>
      </c>
      <c r="V1611">
        <v>1</v>
      </c>
      <c r="W1611">
        <v>1</v>
      </c>
      <c r="X1611">
        <v>6</v>
      </c>
      <c r="Y1611">
        <v>73</v>
      </c>
      <c r="Z1611">
        <v>0</v>
      </c>
      <c r="AA1611">
        <v>33</v>
      </c>
      <c r="AC1611">
        <v>2</v>
      </c>
      <c r="AD1611">
        <v>2</v>
      </c>
      <c r="AE1611">
        <v>0</v>
      </c>
      <c r="AF1611">
        <v>0</v>
      </c>
      <c r="AK1611">
        <v>3</v>
      </c>
      <c r="AL1611">
        <v>0</v>
      </c>
      <c r="AM1611">
        <v>0</v>
      </c>
      <c r="AN1611">
        <v>0</v>
      </c>
      <c r="AS1611">
        <v>6</v>
      </c>
      <c r="AT1611">
        <v>1</v>
      </c>
      <c r="AU1611">
        <v>0</v>
      </c>
      <c r="AV1611">
        <v>0</v>
      </c>
      <c r="BC1611">
        <v>0</v>
      </c>
      <c r="BD1611">
        <v>8</v>
      </c>
      <c r="BE1611">
        <v>353</v>
      </c>
      <c r="BF1611">
        <v>353</v>
      </c>
      <c r="BG1611">
        <v>469</v>
      </c>
      <c r="BJ1611">
        <v>1</v>
      </c>
      <c r="BL1611" t="s">
        <v>3376</v>
      </c>
      <c r="BM1611" s="4">
        <v>43283.133333333331</v>
      </c>
      <c r="BN1611" s="4">
        <v>43283.146331018521</v>
      </c>
      <c r="BO1611" s="4">
        <v>43283.146331018521</v>
      </c>
      <c r="BP1611" t="s">
        <v>92</v>
      </c>
      <c r="BQ1611" t="s">
        <v>93</v>
      </c>
      <c r="BR1611" t="s">
        <v>94</v>
      </c>
    </row>
    <row r="1612" spans="1:70" x14ac:dyDescent="0.3">
      <c r="A1612" t="str">
        <f>"200988S0100"</f>
        <v>200988S0100</v>
      </c>
      <c r="B1612" t="s">
        <v>3377</v>
      </c>
      <c r="C1612">
        <v>20</v>
      </c>
      <c r="D1612" t="s">
        <v>88</v>
      </c>
      <c r="E1612">
        <v>175</v>
      </c>
      <c r="F1612" t="s">
        <v>3363</v>
      </c>
      <c r="G1612">
        <v>988</v>
      </c>
      <c r="H1612">
        <v>1</v>
      </c>
      <c r="I1612" t="s">
        <v>113</v>
      </c>
      <c r="J1612">
        <v>0</v>
      </c>
      <c r="K1612">
        <v>1</v>
      </c>
      <c r="L1612">
        <v>6</v>
      </c>
      <c r="M1612">
        <v>739</v>
      </c>
      <c r="N1612">
        <v>33</v>
      </c>
      <c r="O1612">
        <v>0</v>
      </c>
      <c r="P1612" t="s">
        <v>105</v>
      </c>
      <c r="Q1612">
        <v>7</v>
      </c>
      <c r="R1612">
        <v>8</v>
      </c>
      <c r="S1612">
        <v>1</v>
      </c>
      <c r="T1612">
        <v>1</v>
      </c>
      <c r="U1612">
        <v>2</v>
      </c>
      <c r="V1612">
        <v>0</v>
      </c>
      <c r="W1612">
        <v>0</v>
      </c>
      <c r="X1612">
        <v>0</v>
      </c>
      <c r="Y1612">
        <v>9</v>
      </c>
      <c r="Z1612">
        <v>0</v>
      </c>
      <c r="AA1612">
        <v>1</v>
      </c>
      <c r="AC1612">
        <v>0</v>
      </c>
      <c r="AD1612">
        <v>0</v>
      </c>
      <c r="AE1612">
        <v>0</v>
      </c>
      <c r="AF1612">
        <v>0</v>
      </c>
      <c r="AK1612">
        <v>0</v>
      </c>
      <c r="AL1612">
        <v>0</v>
      </c>
      <c r="AM1612">
        <v>0</v>
      </c>
      <c r="AN1612">
        <v>0</v>
      </c>
      <c r="AS1612">
        <v>2</v>
      </c>
      <c r="AT1612">
        <v>0</v>
      </c>
      <c r="AU1612">
        <v>0</v>
      </c>
      <c r="AV1612">
        <v>0</v>
      </c>
      <c r="BC1612">
        <v>0</v>
      </c>
      <c r="BD1612">
        <v>1</v>
      </c>
      <c r="BE1612">
        <v>32</v>
      </c>
      <c r="BF1612">
        <v>32</v>
      </c>
      <c r="BG1612">
        <v>0</v>
      </c>
      <c r="BJ1612">
        <v>1</v>
      </c>
      <c r="BL1612" t="s">
        <v>3378</v>
      </c>
      <c r="BM1612" s="4">
        <v>43283.265972222223</v>
      </c>
      <c r="BN1612" s="4">
        <v>43283.291724537034</v>
      </c>
      <c r="BO1612" s="4">
        <v>43283.291724537034</v>
      </c>
      <c r="BP1612" t="s">
        <v>92</v>
      </c>
      <c r="BQ1612" t="s">
        <v>93</v>
      </c>
      <c r="BR1612" t="s">
        <v>94</v>
      </c>
    </row>
    <row r="1613" spans="1:70" x14ac:dyDescent="0.3">
      <c r="A1613" t="str">
        <f>"200989B0100"</f>
        <v>200989B0100</v>
      </c>
      <c r="B1613" t="s">
        <v>3379</v>
      </c>
      <c r="C1613">
        <v>20</v>
      </c>
      <c r="D1613" t="s">
        <v>88</v>
      </c>
      <c r="E1613">
        <v>175</v>
      </c>
      <c r="F1613" t="s">
        <v>3363</v>
      </c>
      <c r="G1613">
        <v>989</v>
      </c>
      <c r="H1613">
        <v>1</v>
      </c>
      <c r="I1613" t="s">
        <v>90</v>
      </c>
      <c r="J1613">
        <v>0</v>
      </c>
      <c r="K1613">
        <v>2</v>
      </c>
      <c r="L1613">
        <v>5</v>
      </c>
      <c r="M1613">
        <v>143</v>
      </c>
      <c r="N1613">
        <v>332</v>
      </c>
      <c r="O1613">
        <v>0</v>
      </c>
      <c r="P1613">
        <v>332</v>
      </c>
      <c r="Q1613">
        <v>103</v>
      </c>
      <c r="R1613">
        <v>148</v>
      </c>
      <c r="S1613">
        <v>4</v>
      </c>
      <c r="T1613">
        <v>0</v>
      </c>
      <c r="U1613">
        <v>0</v>
      </c>
      <c r="V1613">
        <v>3</v>
      </c>
      <c r="W1613">
        <v>2</v>
      </c>
      <c r="X1613">
        <v>9</v>
      </c>
      <c r="Y1613">
        <v>31</v>
      </c>
      <c r="Z1613">
        <v>2</v>
      </c>
      <c r="AA1613">
        <v>7</v>
      </c>
      <c r="AC1613">
        <v>4</v>
      </c>
      <c r="AD1613">
        <v>2</v>
      </c>
      <c r="AE1613">
        <v>1</v>
      </c>
      <c r="AF1613">
        <v>0</v>
      </c>
      <c r="AK1613">
        <v>0</v>
      </c>
      <c r="AL1613">
        <v>0</v>
      </c>
      <c r="AM1613">
        <v>0</v>
      </c>
      <c r="AN1613">
        <v>0</v>
      </c>
      <c r="AS1613">
        <v>4</v>
      </c>
      <c r="AT1613">
        <v>0</v>
      </c>
      <c r="AU1613">
        <v>0</v>
      </c>
      <c r="AV1613">
        <v>0</v>
      </c>
      <c r="BC1613">
        <v>0</v>
      </c>
      <c r="BD1613">
        <v>13</v>
      </c>
      <c r="BE1613">
        <v>332</v>
      </c>
      <c r="BF1613">
        <v>333</v>
      </c>
      <c r="BG1613">
        <v>454</v>
      </c>
      <c r="BJ1613">
        <v>1</v>
      </c>
      <c r="BL1613" t="s">
        <v>3380</v>
      </c>
      <c r="BM1613" s="4">
        <v>43283.106944444444</v>
      </c>
      <c r="BN1613" s="4">
        <v>43283.122673611113</v>
      </c>
      <c r="BO1613" s="4">
        <v>43283.122673611113</v>
      </c>
      <c r="BP1613" t="s">
        <v>92</v>
      </c>
      <c r="BQ1613" t="s">
        <v>93</v>
      </c>
      <c r="BR1613" t="s">
        <v>94</v>
      </c>
    </row>
    <row r="1614" spans="1:70" x14ac:dyDescent="0.3">
      <c r="A1614" t="str">
        <f>"200990B0100"</f>
        <v>200990B0100</v>
      </c>
      <c r="B1614" t="s">
        <v>3381</v>
      </c>
      <c r="C1614">
        <v>20</v>
      </c>
      <c r="D1614" t="s">
        <v>88</v>
      </c>
      <c r="E1614">
        <v>175</v>
      </c>
      <c r="F1614" t="s">
        <v>3363</v>
      </c>
      <c r="G1614">
        <v>990</v>
      </c>
      <c r="H1614">
        <v>1</v>
      </c>
      <c r="I1614" t="s">
        <v>90</v>
      </c>
      <c r="J1614">
        <v>0</v>
      </c>
      <c r="K1614">
        <v>2</v>
      </c>
      <c r="L1614">
        <v>5</v>
      </c>
      <c r="M1614">
        <v>57</v>
      </c>
      <c r="N1614">
        <v>189</v>
      </c>
      <c r="O1614">
        <v>1</v>
      </c>
      <c r="P1614">
        <v>189</v>
      </c>
      <c r="Q1614">
        <v>44</v>
      </c>
      <c r="R1614">
        <v>102</v>
      </c>
      <c r="S1614">
        <v>0</v>
      </c>
      <c r="T1614">
        <v>0</v>
      </c>
      <c r="U1614">
        <v>0</v>
      </c>
      <c r="V1614">
        <v>1</v>
      </c>
      <c r="W1614">
        <v>0</v>
      </c>
      <c r="X1614">
        <v>12</v>
      </c>
      <c r="Y1614">
        <v>6</v>
      </c>
      <c r="Z1614">
        <v>0</v>
      </c>
      <c r="AA1614">
        <v>13</v>
      </c>
      <c r="AC1614">
        <v>0</v>
      </c>
      <c r="AD1614">
        <v>0</v>
      </c>
      <c r="AE1614">
        <v>0</v>
      </c>
      <c r="AF1614">
        <v>0</v>
      </c>
      <c r="AK1614">
        <v>0</v>
      </c>
      <c r="AL1614">
        <v>0</v>
      </c>
      <c r="AM1614">
        <v>0</v>
      </c>
      <c r="AN1614">
        <v>0</v>
      </c>
      <c r="AS1614">
        <v>0</v>
      </c>
      <c r="AT1614" t="s">
        <v>105</v>
      </c>
      <c r="AU1614" t="s">
        <v>105</v>
      </c>
      <c r="AV1614" t="s">
        <v>105</v>
      </c>
      <c r="BC1614" t="s">
        <v>105</v>
      </c>
      <c r="BD1614">
        <v>11</v>
      </c>
      <c r="BE1614">
        <v>189</v>
      </c>
      <c r="BF1614">
        <v>189</v>
      </c>
      <c r="BG1614">
        <v>224</v>
      </c>
      <c r="BI1614" t="s">
        <v>106</v>
      </c>
      <c r="BJ1614">
        <v>1</v>
      </c>
      <c r="BL1614" t="s">
        <v>3382</v>
      </c>
      <c r="BM1614" s="4">
        <v>43283.109027777777</v>
      </c>
      <c r="BN1614" s="4">
        <v>43283.126759259256</v>
      </c>
      <c r="BO1614" s="4">
        <v>43283.126759259256</v>
      </c>
      <c r="BP1614" t="s">
        <v>92</v>
      </c>
      <c r="BQ1614" t="s">
        <v>93</v>
      </c>
      <c r="BR1614" t="s">
        <v>94</v>
      </c>
    </row>
    <row r="1615" spans="1:70" x14ac:dyDescent="0.3">
      <c r="A1615" t="str">
        <f>"200991B0100"</f>
        <v>200991B0100</v>
      </c>
      <c r="B1615" t="s">
        <v>3383</v>
      </c>
      <c r="C1615">
        <v>20</v>
      </c>
      <c r="D1615" t="s">
        <v>88</v>
      </c>
      <c r="E1615">
        <v>175</v>
      </c>
      <c r="F1615" t="s">
        <v>3363</v>
      </c>
      <c r="G1615">
        <v>991</v>
      </c>
      <c r="H1615">
        <v>1</v>
      </c>
      <c r="I1615" t="s">
        <v>90</v>
      </c>
      <c r="J1615">
        <v>0</v>
      </c>
      <c r="K1615">
        <v>2</v>
      </c>
      <c r="L1615">
        <v>5</v>
      </c>
      <c r="M1615">
        <v>60</v>
      </c>
      <c r="N1615">
        <v>140</v>
      </c>
      <c r="O1615">
        <v>0</v>
      </c>
      <c r="P1615">
        <v>140</v>
      </c>
      <c r="Q1615">
        <v>52</v>
      </c>
      <c r="R1615">
        <v>45</v>
      </c>
      <c r="S1615">
        <v>7</v>
      </c>
      <c r="T1615">
        <v>6</v>
      </c>
      <c r="U1615">
        <v>2</v>
      </c>
      <c r="V1615">
        <v>2</v>
      </c>
      <c r="W1615">
        <v>0</v>
      </c>
      <c r="X1615">
        <v>7</v>
      </c>
      <c r="Y1615">
        <v>18</v>
      </c>
      <c r="Z1615">
        <v>0</v>
      </c>
      <c r="AA1615">
        <v>0</v>
      </c>
      <c r="AC1615">
        <v>0</v>
      </c>
      <c r="AD1615">
        <v>0</v>
      </c>
      <c r="AE1615">
        <v>0</v>
      </c>
      <c r="AF1615">
        <v>0</v>
      </c>
      <c r="AK1615">
        <v>0</v>
      </c>
      <c r="AL1615">
        <v>0</v>
      </c>
      <c r="AM1615">
        <v>0</v>
      </c>
      <c r="AN1615">
        <v>0</v>
      </c>
      <c r="AS1615">
        <v>0</v>
      </c>
      <c r="AT1615">
        <v>0</v>
      </c>
      <c r="AU1615">
        <v>0</v>
      </c>
      <c r="AV1615">
        <v>0</v>
      </c>
      <c r="BC1615">
        <v>0</v>
      </c>
      <c r="BD1615">
        <v>1</v>
      </c>
      <c r="BE1615">
        <v>140</v>
      </c>
      <c r="BF1615">
        <v>140</v>
      </c>
      <c r="BG1615">
        <v>178</v>
      </c>
      <c r="BJ1615">
        <v>1</v>
      </c>
      <c r="BL1615" t="s">
        <v>3384</v>
      </c>
      <c r="BM1615" s="4">
        <v>43283.065972222219</v>
      </c>
      <c r="BN1615" s="4">
        <v>43283.072476851848</v>
      </c>
      <c r="BO1615" s="4">
        <v>43283.072476851848</v>
      </c>
      <c r="BP1615" t="s">
        <v>92</v>
      </c>
      <c r="BQ1615" t="s">
        <v>93</v>
      </c>
      <c r="BR1615" t="s">
        <v>94</v>
      </c>
    </row>
    <row r="1616" spans="1:70" x14ac:dyDescent="0.3">
      <c r="A1616" t="str">
        <f>"200992B0100"</f>
        <v>200992B0100</v>
      </c>
      <c r="B1616" t="s">
        <v>3385</v>
      </c>
      <c r="C1616">
        <v>20</v>
      </c>
      <c r="D1616" t="s">
        <v>88</v>
      </c>
      <c r="E1616">
        <v>175</v>
      </c>
      <c r="F1616" t="s">
        <v>3363</v>
      </c>
      <c r="G1616">
        <v>992</v>
      </c>
      <c r="H1616">
        <v>1</v>
      </c>
      <c r="I1616" t="s">
        <v>90</v>
      </c>
      <c r="J1616">
        <v>0</v>
      </c>
      <c r="K1616">
        <v>2</v>
      </c>
      <c r="L1616">
        <v>5</v>
      </c>
      <c r="M1616">
        <v>92</v>
      </c>
      <c r="N1616">
        <v>283</v>
      </c>
      <c r="O1616">
        <v>0</v>
      </c>
      <c r="P1616">
        <v>283</v>
      </c>
      <c r="Q1616">
        <v>81</v>
      </c>
      <c r="R1616">
        <v>123</v>
      </c>
      <c r="S1616">
        <v>0</v>
      </c>
      <c r="T1616">
        <v>0</v>
      </c>
      <c r="U1616">
        <v>2</v>
      </c>
      <c r="V1616">
        <v>3</v>
      </c>
      <c r="W1616">
        <v>3</v>
      </c>
      <c r="X1616">
        <v>17</v>
      </c>
      <c r="Y1616">
        <v>29</v>
      </c>
      <c r="Z1616">
        <v>0</v>
      </c>
      <c r="AA1616">
        <v>11</v>
      </c>
      <c r="AC1616">
        <v>0</v>
      </c>
      <c r="AD1616">
        <v>2</v>
      </c>
      <c r="AE1616">
        <v>1</v>
      </c>
      <c r="AF1616">
        <v>0</v>
      </c>
      <c r="AK1616">
        <v>2</v>
      </c>
      <c r="AL1616">
        <v>0</v>
      </c>
      <c r="AM1616">
        <v>0</v>
      </c>
      <c r="AN1616">
        <v>0</v>
      </c>
      <c r="AS1616" t="s">
        <v>105</v>
      </c>
      <c r="AT1616" t="s">
        <v>105</v>
      </c>
      <c r="AU1616" t="s">
        <v>105</v>
      </c>
      <c r="AV1616" t="s">
        <v>105</v>
      </c>
      <c r="BC1616" t="s">
        <v>105</v>
      </c>
      <c r="BD1616" t="s">
        <v>105</v>
      </c>
      <c r="BE1616">
        <v>284</v>
      </c>
      <c r="BF1616">
        <v>274</v>
      </c>
      <c r="BG1616">
        <v>353</v>
      </c>
      <c r="BI1616" t="s">
        <v>106</v>
      </c>
      <c r="BJ1616">
        <v>1</v>
      </c>
      <c r="BL1616" t="s">
        <v>3386</v>
      </c>
      <c r="BM1616" s="4">
        <v>43283.117361111108</v>
      </c>
      <c r="BN1616" s="4">
        <v>43283.147488425922</v>
      </c>
      <c r="BO1616" s="4">
        <v>43283.147488425922</v>
      </c>
      <c r="BP1616" t="s">
        <v>92</v>
      </c>
      <c r="BQ1616" t="s">
        <v>93</v>
      </c>
      <c r="BR1616" t="s">
        <v>94</v>
      </c>
    </row>
    <row r="1617" spans="1:70" x14ac:dyDescent="0.3">
      <c r="A1617" t="str">
        <f>"200993B0100"</f>
        <v>200993B0100</v>
      </c>
      <c r="B1617" t="s">
        <v>3387</v>
      </c>
      <c r="C1617">
        <v>20</v>
      </c>
      <c r="D1617" t="s">
        <v>88</v>
      </c>
      <c r="E1617">
        <v>175</v>
      </c>
      <c r="F1617" t="s">
        <v>3363</v>
      </c>
      <c r="G1617">
        <v>993</v>
      </c>
      <c r="H1617">
        <v>1</v>
      </c>
      <c r="I1617" t="s">
        <v>90</v>
      </c>
      <c r="J1617">
        <v>0</v>
      </c>
      <c r="K1617">
        <v>2</v>
      </c>
      <c r="L1617">
        <v>5</v>
      </c>
      <c r="M1617">
        <v>95</v>
      </c>
      <c r="N1617" t="s">
        <v>105</v>
      </c>
      <c r="O1617">
        <v>0</v>
      </c>
      <c r="P1617">
        <v>344</v>
      </c>
      <c r="Q1617">
        <v>107</v>
      </c>
      <c r="R1617">
        <v>115</v>
      </c>
      <c r="S1617">
        <v>5</v>
      </c>
      <c r="T1617">
        <v>4</v>
      </c>
      <c r="U1617">
        <v>5</v>
      </c>
      <c r="V1617">
        <v>0</v>
      </c>
      <c r="W1617">
        <v>2</v>
      </c>
      <c r="X1617">
        <v>13</v>
      </c>
      <c r="Y1617">
        <v>42</v>
      </c>
      <c r="Z1617">
        <v>2</v>
      </c>
      <c r="AA1617">
        <v>17</v>
      </c>
      <c r="AC1617">
        <v>6</v>
      </c>
      <c r="AD1617">
        <v>0</v>
      </c>
      <c r="AE1617">
        <v>0</v>
      </c>
      <c r="AF1617">
        <v>0</v>
      </c>
      <c r="AK1617">
        <v>1</v>
      </c>
      <c r="AL1617">
        <v>0</v>
      </c>
      <c r="AM1617">
        <v>1</v>
      </c>
      <c r="AN1617">
        <v>0</v>
      </c>
      <c r="AS1617">
        <v>5</v>
      </c>
      <c r="AT1617">
        <v>1</v>
      </c>
      <c r="AU1617">
        <v>1</v>
      </c>
      <c r="AV1617">
        <v>0</v>
      </c>
      <c r="BC1617" t="s">
        <v>105</v>
      </c>
      <c r="BD1617">
        <v>16</v>
      </c>
      <c r="BE1617">
        <v>343</v>
      </c>
      <c r="BF1617">
        <v>343</v>
      </c>
      <c r="BG1617">
        <v>416</v>
      </c>
      <c r="BI1617" t="s">
        <v>106</v>
      </c>
      <c r="BJ1617">
        <v>1</v>
      </c>
      <c r="BL1617" t="s">
        <v>3388</v>
      </c>
      <c r="BM1617" s="4">
        <v>43283.188888888886</v>
      </c>
      <c r="BN1617" s="4">
        <v>43283.208402777775</v>
      </c>
      <c r="BO1617" s="4">
        <v>43283.208402777775</v>
      </c>
      <c r="BP1617" t="s">
        <v>92</v>
      </c>
      <c r="BQ1617" t="s">
        <v>93</v>
      </c>
      <c r="BR1617" t="s">
        <v>94</v>
      </c>
    </row>
    <row r="1618" spans="1:70" x14ac:dyDescent="0.3">
      <c r="A1618" t="str">
        <f>"200993C0100"</f>
        <v>200993C0100</v>
      </c>
      <c r="B1618" t="s">
        <v>3389</v>
      </c>
      <c r="C1618">
        <v>20</v>
      </c>
      <c r="D1618" t="s">
        <v>88</v>
      </c>
      <c r="E1618">
        <v>175</v>
      </c>
      <c r="F1618" t="s">
        <v>3363</v>
      </c>
      <c r="G1618">
        <v>993</v>
      </c>
      <c r="H1618">
        <v>1</v>
      </c>
      <c r="I1618" t="s">
        <v>98</v>
      </c>
      <c r="J1618">
        <v>0</v>
      </c>
      <c r="K1618">
        <v>2</v>
      </c>
      <c r="L1618">
        <v>5</v>
      </c>
      <c r="M1618">
        <v>97</v>
      </c>
      <c r="N1618">
        <v>341</v>
      </c>
      <c r="O1618">
        <v>0</v>
      </c>
      <c r="P1618">
        <v>307</v>
      </c>
      <c r="Q1618">
        <v>106</v>
      </c>
      <c r="R1618">
        <v>113</v>
      </c>
      <c r="S1618">
        <v>6</v>
      </c>
      <c r="T1618">
        <v>3</v>
      </c>
      <c r="U1618">
        <v>4</v>
      </c>
      <c r="V1618">
        <v>2</v>
      </c>
      <c r="W1618">
        <v>2</v>
      </c>
      <c r="X1618">
        <v>14</v>
      </c>
      <c r="Y1618">
        <v>39</v>
      </c>
      <c r="Z1618">
        <v>1</v>
      </c>
      <c r="AA1618">
        <v>10</v>
      </c>
      <c r="AC1618">
        <v>4</v>
      </c>
      <c r="AD1618">
        <v>1</v>
      </c>
      <c r="AE1618">
        <v>0</v>
      </c>
      <c r="AF1618">
        <v>0</v>
      </c>
      <c r="AK1618">
        <v>4</v>
      </c>
      <c r="AL1618">
        <v>1</v>
      </c>
      <c r="AM1618">
        <v>0</v>
      </c>
      <c r="AN1618">
        <v>0</v>
      </c>
      <c r="AS1618">
        <v>5</v>
      </c>
      <c r="AT1618">
        <v>3</v>
      </c>
      <c r="AU1618">
        <v>2</v>
      </c>
      <c r="AV1618">
        <v>0</v>
      </c>
      <c r="BC1618">
        <v>0</v>
      </c>
      <c r="BD1618">
        <v>21</v>
      </c>
      <c r="BE1618">
        <v>341</v>
      </c>
      <c r="BF1618">
        <v>341</v>
      </c>
      <c r="BG1618">
        <v>416</v>
      </c>
      <c r="BJ1618">
        <v>1</v>
      </c>
      <c r="BL1618" t="s">
        <v>3390</v>
      </c>
      <c r="BM1618" s="4">
        <v>43283.195138888892</v>
      </c>
      <c r="BN1618" s="4">
        <v>43283.214398148149</v>
      </c>
      <c r="BO1618" s="4">
        <v>43283.214398148149</v>
      </c>
      <c r="BP1618" t="s">
        <v>92</v>
      </c>
      <c r="BQ1618" t="s">
        <v>93</v>
      </c>
      <c r="BR1618" t="s">
        <v>94</v>
      </c>
    </row>
    <row r="1619" spans="1:70" x14ac:dyDescent="0.3">
      <c r="A1619" t="str">
        <f>"200994B0100"</f>
        <v>200994B0100</v>
      </c>
      <c r="B1619" t="s">
        <v>3391</v>
      </c>
      <c r="C1619">
        <v>20</v>
      </c>
      <c r="D1619" t="s">
        <v>88</v>
      </c>
      <c r="E1619">
        <v>175</v>
      </c>
      <c r="F1619" t="s">
        <v>3363</v>
      </c>
      <c r="G1619">
        <v>994</v>
      </c>
      <c r="H1619">
        <v>1</v>
      </c>
      <c r="I1619" t="s">
        <v>90</v>
      </c>
      <c r="J1619">
        <v>0</v>
      </c>
      <c r="K1619">
        <v>2</v>
      </c>
      <c r="L1619">
        <v>5</v>
      </c>
      <c r="M1619">
        <v>130</v>
      </c>
      <c r="N1619">
        <v>400</v>
      </c>
      <c r="O1619">
        <v>1</v>
      </c>
      <c r="P1619">
        <v>400</v>
      </c>
      <c r="Q1619">
        <v>54</v>
      </c>
      <c r="R1619">
        <v>135</v>
      </c>
      <c r="S1619">
        <v>1</v>
      </c>
      <c r="T1619">
        <v>0</v>
      </c>
      <c r="U1619">
        <v>7</v>
      </c>
      <c r="V1619">
        <v>4</v>
      </c>
      <c r="W1619">
        <v>1</v>
      </c>
      <c r="X1619">
        <v>7</v>
      </c>
      <c r="Y1619">
        <v>116</v>
      </c>
      <c r="Z1619">
        <v>6</v>
      </c>
      <c r="AA1619">
        <v>10</v>
      </c>
      <c r="AC1619">
        <v>0</v>
      </c>
      <c r="AD1619">
        <v>0</v>
      </c>
      <c r="AE1619">
        <v>0</v>
      </c>
      <c r="AF1619">
        <v>0</v>
      </c>
      <c r="AK1619">
        <v>6</v>
      </c>
      <c r="AL1619">
        <v>2</v>
      </c>
      <c r="AM1619">
        <v>0</v>
      </c>
      <c r="AN1619">
        <v>3</v>
      </c>
      <c r="AS1619">
        <v>1</v>
      </c>
      <c r="AT1619">
        <v>2</v>
      </c>
      <c r="AU1619">
        <v>1</v>
      </c>
      <c r="AV1619">
        <v>8</v>
      </c>
      <c r="BC1619">
        <v>0</v>
      </c>
      <c r="BD1619">
        <v>34</v>
      </c>
      <c r="BE1619">
        <v>400</v>
      </c>
      <c r="BF1619">
        <v>398</v>
      </c>
      <c r="BG1619">
        <v>508</v>
      </c>
      <c r="BJ1619">
        <v>1</v>
      </c>
      <c r="BL1619" t="s">
        <v>3392</v>
      </c>
      <c r="BM1619" s="4">
        <v>43283.252083333333</v>
      </c>
      <c r="BN1619" s="4">
        <v>43283.276805555557</v>
      </c>
      <c r="BO1619" s="4">
        <v>43283.276805555557</v>
      </c>
      <c r="BP1619" t="s">
        <v>92</v>
      </c>
      <c r="BQ1619" t="s">
        <v>93</v>
      </c>
      <c r="BR1619" t="s">
        <v>94</v>
      </c>
    </row>
    <row r="1620" spans="1:70" x14ac:dyDescent="0.3">
      <c r="A1620" t="str">
        <f>"200995B0100"</f>
        <v>200995B0100</v>
      </c>
      <c r="B1620" t="s">
        <v>3393</v>
      </c>
      <c r="C1620">
        <v>20</v>
      </c>
      <c r="D1620" t="s">
        <v>88</v>
      </c>
      <c r="E1620">
        <v>175</v>
      </c>
      <c r="F1620" t="s">
        <v>3363</v>
      </c>
      <c r="G1620">
        <v>995</v>
      </c>
      <c r="H1620">
        <v>1</v>
      </c>
      <c r="I1620" t="s">
        <v>90</v>
      </c>
      <c r="J1620">
        <v>0</v>
      </c>
      <c r="K1620">
        <v>2</v>
      </c>
      <c r="L1620">
        <v>5</v>
      </c>
      <c r="M1620" t="s">
        <v>127</v>
      </c>
      <c r="N1620" t="s">
        <v>127</v>
      </c>
      <c r="O1620" t="s">
        <v>127</v>
      </c>
      <c r="P1620" t="s">
        <v>127</v>
      </c>
      <c r="Q1620" t="s">
        <v>127</v>
      </c>
      <c r="R1620" t="s">
        <v>127</v>
      </c>
      <c r="S1620" t="s">
        <v>127</v>
      </c>
      <c r="T1620" t="s">
        <v>127</v>
      </c>
      <c r="U1620" t="s">
        <v>127</v>
      </c>
      <c r="V1620" t="s">
        <v>127</v>
      </c>
      <c r="W1620" t="s">
        <v>127</v>
      </c>
      <c r="X1620" t="s">
        <v>127</v>
      </c>
      <c r="Y1620" t="s">
        <v>127</v>
      </c>
      <c r="Z1620" t="s">
        <v>127</v>
      </c>
      <c r="AA1620" t="s">
        <v>127</v>
      </c>
      <c r="AC1620" t="s">
        <v>127</v>
      </c>
      <c r="AD1620" t="s">
        <v>127</v>
      </c>
      <c r="AE1620" t="s">
        <v>127</v>
      </c>
      <c r="AF1620" t="s">
        <v>127</v>
      </c>
      <c r="AK1620" t="s">
        <v>127</v>
      </c>
      <c r="AL1620" t="s">
        <v>127</v>
      </c>
      <c r="AM1620" t="s">
        <v>127</v>
      </c>
      <c r="AN1620" t="s">
        <v>127</v>
      </c>
      <c r="AS1620" t="s">
        <v>127</v>
      </c>
      <c r="AT1620" t="s">
        <v>127</v>
      </c>
      <c r="AU1620" t="s">
        <v>127</v>
      </c>
      <c r="AV1620" t="s">
        <v>127</v>
      </c>
      <c r="BC1620" t="s">
        <v>127</v>
      </c>
      <c r="BD1620" t="s">
        <v>127</v>
      </c>
      <c r="BG1620">
        <v>522</v>
      </c>
      <c r="BI1620" t="s">
        <v>1244</v>
      </c>
      <c r="BJ1620">
        <v>0</v>
      </c>
      <c r="BL1620" t="s">
        <v>3394</v>
      </c>
      <c r="BM1620" s="4">
        <v>43283.201388888891</v>
      </c>
      <c r="BN1620" s="4">
        <v>43283.221006944441</v>
      </c>
      <c r="BO1620" s="4">
        <v>43283.221006944441</v>
      </c>
      <c r="BP1620" t="s">
        <v>92</v>
      </c>
      <c r="BQ1620" t="s">
        <v>93</v>
      </c>
      <c r="BR1620" t="s">
        <v>94</v>
      </c>
    </row>
    <row r="1621" spans="1:70" x14ac:dyDescent="0.3">
      <c r="A1621" t="str">
        <f>"200996B0100"</f>
        <v>200996B0100</v>
      </c>
      <c r="B1621" t="s">
        <v>3395</v>
      </c>
      <c r="C1621">
        <v>20</v>
      </c>
      <c r="D1621" t="s">
        <v>88</v>
      </c>
      <c r="E1621">
        <v>175</v>
      </c>
      <c r="F1621" t="s">
        <v>3363</v>
      </c>
      <c r="G1621">
        <v>996</v>
      </c>
      <c r="H1621">
        <v>1</v>
      </c>
      <c r="I1621" t="s">
        <v>90</v>
      </c>
      <c r="J1621">
        <v>0</v>
      </c>
      <c r="K1621">
        <v>2</v>
      </c>
      <c r="L1621">
        <v>5</v>
      </c>
      <c r="M1621">
        <v>82</v>
      </c>
      <c r="N1621">
        <v>220</v>
      </c>
      <c r="O1621">
        <v>2</v>
      </c>
      <c r="P1621">
        <v>198</v>
      </c>
      <c r="Q1621">
        <v>73</v>
      </c>
      <c r="R1621">
        <v>63</v>
      </c>
      <c r="S1621">
        <v>7</v>
      </c>
      <c r="T1621">
        <v>1</v>
      </c>
      <c r="U1621">
        <v>2</v>
      </c>
      <c r="V1621">
        <v>1</v>
      </c>
      <c r="W1621">
        <v>0</v>
      </c>
      <c r="X1621">
        <v>5</v>
      </c>
      <c r="Y1621">
        <v>32</v>
      </c>
      <c r="Z1621">
        <v>3</v>
      </c>
      <c r="AA1621">
        <v>8</v>
      </c>
      <c r="AC1621">
        <v>2</v>
      </c>
      <c r="AD1621">
        <v>1</v>
      </c>
      <c r="AE1621">
        <v>1</v>
      </c>
      <c r="AF1621">
        <v>0</v>
      </c>
      <c r="AK1621">
        <v>5</v>
      </c>
      <c r="AL1621">
        <v>0</v>
      </c>
      <c r="AM1621">
        <v>0</v>
      </c>
      <c r="AN1621">
        <v>0</v>
      </c>
      <c r="AS1621">
        <v>1</v>
      </c>
      <c r="AT1621">
        <v>0</v>
      </c>
      <c r="AU1621">
        <v>2</v>
      </c>
      <c r="AV1621">
        <v>1</v>
      </c>
      <c r="BC1621">
        <v>0</v>
      </c>
      <c r="BD1621">
        <v>12</v>
      </c>
      <c r="BE1621">
        <v>220</v>
      </c>
      <c r="BF1621">
        <v>220</v>
      </c>
      <c r="BG1621">
        <v>280</v>
      </c>
      <c r="BJ1621">
        <v>1</v>
      </c>
      <c r="BL1621" t="s">
        <v>3396</v>
      </c>
      <c r="BM1621" s="4">
        <v>43283.203472222223</v>
      </c>
      <c r="BN1621" s="4">
        <v>43283.221307870372</v>
      </c>
      <c r="BO1621" s="4">
        <v>43283.221307870372</v>
      </c>
      <c r="BP1621" t="s">
        <v>92</v>
      </c>
      <c r="BQ1621" t="s">
        <v>93</v>
      </c>
      <c r="BR1621" t="s">
        <v>94</v>
      </c>
    </row>
    <row r="1622" spans="1:70" x14ac:dyDescent="0.3">
      <c r="A1622" t="str">
        <f>"200997B0100"</f>
        <v>200997B0100</v>
      </c>
      <c r="B1622" t="s">
        <v>3397</v>
      </c>
      <c r="C1622">
        <v>20</v>
      </c>
      <c r="D1622" t="s">
        <v>88</v>
      </c>
      <c r="E1622">
        <v>175</v>
      </c>
      <c r="F1622" t="s">
        <v>3363</v>
      </c>
      <c r="G1622">
        <v>997</v>
      </c>
      <c r="H1622">
        <v>1</v>
      </c>
      <c r="I1622" t="s">
        <v>90</v>
      </c>
      <c r="J1622">
        <v>0</v>
      </c>
      <c r="K1622">
        <v>2</v>
      </c>
      <c r="L1622">
        <v>5</v>
      </c>
      <c r="BG1622">
        <v>241</v>
      </c>
      <c r="BI1622" t="s">
        <v>122</v>
      </c>
      <c r="BJ1622">
        <v>0</v>
      </c>
      <c r="BL1622" t="s">
        <v>3398</v>
      </c>
      <c r="BM1622" s="4">
        <v>43283.30972222222</v>
      </c>
      <c r="BN1622" s="4">
        <v>43283.317395833335</v>
      </c>
      <c r="BO1622" s="4">
        <v>43283.317395833335</v>
      </c>
      <c r="BP1622" t="s">
        <v>92</v>
      </c>
      <c r="BQ1622" t="s">
        <v>93</v>
      </c>
      <c r="BR1622" t="s">
        <v>94</v>
      </c>
    </row>
    <row r="1623" spans="1:70" x14ac:dyDescent="0.3">
      <c r="A1623" t="str">
        <f>"200998B0100"</f>
        <v>200998B0100</v>
      </c>
      <c r="B1623" t="s">
        <v>3399</v>
      </c>
      <c r="C1623">
        <v>20</v>
      </c>
      <c r="D1623" t="s">
        <v>88</v>
      </c>
      <c r="E1623">
        <v>175</v>
      </c>
      <c r="F1623" t="s">
        <v>3363</v>
      </c>
      <c r="G1623">
        <v>998</v>
      </c>
      <c r="H1623">
        <v>1</v>
      </c>
      <c r="I1623" t="s">
        <v>90</v>
      </c>
      <c r="J1623">
        <v>0</v>
      </c>
      <c r="K1623">
        <v>2</v>
      </c>
      <c r="L1623">
        <v>5</v>
      </c>
      <c r="M1623">
        <v>33</v>
      </c>
      <c r="N1623">
        <v>38</v>
      </c>
      <c r="O1623">
        <v>3</v>
      </c>
      <c r="P1623">
        <v>38</v>
      </c>
      <c r="Q1623">
        <v>3</v>
      </c>
      <c r="R1623">
        <v>31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1</v>
      </c>
      <c r="Z1623">
        <v>0</v>
      </c>
      <c r="AA1623">
        <v>0</v>
      </c>
      <c r="AC1623">
        <v>0</v>
      </c>
      <c r="AD1623">
        <v>0</v>
      </c>
      <c r="AE1623">
        <v>0</v>
      </c>
      <c r="AF1623">
        <v>0</v>
      </c>
      <c r="AK1623">
        <v>1</v>
      </c>
      <c r="AL1623">
        <v>0</v>
      </c>
      <c r="AM1623">
        <v>0</v>
      </c>
      <c r="AN1623">
        <v>0</v>
      </c>
      <c r="AS1623">
        <v>1</v>
      </c>
      <c r="AT1623">
        <v>1</v>
      </c>
      <c r="AU1623">
        <v>0</v>
      </c>
      <c r="AV1623">
        <v>0</v>
      </c>
      <c r="BC1623" t="s">
        <v>105</v>
      </c>
      <c r="BD1623">
        <v>0</v>
      </c>
      <c r="BE1623">
        <v>38</v>
      </c>
      <c r="BF1623">
        <v>38</v>
      </c>
      <c r="BG1623">
        <v>49</v>
      </c>
      <c r="BI1623" t="s">
        <v>106</v>
      </c>
      <c r="BJ1623">
        <v>1</v>
      </c>
      <c r="BL1623" t="s">
        <v>3400</v>
      </c>
      <c r="BM1623" s="4">
        <v>43283.162499999999</v>
      </c>
      <c r="BN1623" s="4">
        <v>43283.184340277781</v>
      </c>
      <c r="BO1623" s="4">
        <v>43283.184340277781</v>
      </c>
      <c r="BP1623" t="s">
        <v>92</v>
      </c>
      <c r="BQ1623" t="s">
        <v>93</v>
      </c>
      <c r="BR1623" t="s">
        <v>94</v>
      </c>
    </row>
    <row r="1624" spans="1:70" x14ac:dyDescent="0.3">
      <c r="A1624" t="str">
        <f>"201003B0100"</f>
        <v>201003B0100</v>
      </c>
      <c r="B1624" t="s">
        <v>3401</v>
      </c>
      <c r="C1624">
        <v>20</v>
      </c>
      <c r="D1624" t="s">
        <v>88</v>
      </c>
      <c r="E1624">
        <v>178</v>
      </c>
      <c r="F1624" t="s">
        <v>3402</v>
      </c>
      <c r="G1624">
        <v>1003</v>
      </c>
      <c r="H1624">
        <v>1</v>
      </c>
      <c r="I1624" t="s">
        <v>90</v>
      </c>
      <c r="J1624">
        <v>0</v>
      </c>
      <c r="K1624">
        <v>1</v>
      </c>
      <c r="L1624">
        <v>5</v>
      </c>
      <c r="BG1624">
        <v>400</v>
      </c>
      <c r="BI1624" t="s">
        <v>122</v>
      </c>
      <c r="BJ1624">
        <v>0</v>
      </c>
      <c r="BL1624" t="s">
        <v>3403</v>
      </c>
      <c r="BM1624" s="4">
        <v>43283.756249999999</v>
      </c>
      <c r="BN1624" s="4">
        <v>43283.757974537039</v>
      </c>
      <c r="BO1624" s="4">
        <v>43283.757974537039</v>
      </c>
      <c r="BP1624" t="s">
        <v>92</v>
      </c>
      <c r="BQ1624" t="s">
        <v>93</v>
      </c>
      <c r="BR1624" t="s">
        <v>94</v>
      </c>
    </row>
    <row r="1625" spans="1:70" x14ac:dyDescent="0.3">
      <c r="A1625" t="str">
        <f>"201003C0100"</f>
        <v>201003C0100</v>
      </c>
      <c r="B1625" t="s">
        <v>3404</v>
      </c>
      <c r="C1625">
        <v>20</v>
      </c>
      <c r="D1625" t="s">
        <v>88</v>
      </c>
      <c r="E1625">
        <v>178</v>
      </c>
      <c r="F1625" t="s">
        <v>3402</v>
      </c>
      <c r="G1625">
        <v>1003</v>
      </c>
      <c r="H1625">
        <v>1</v>
      </c>
      <c r="I1625" t="s">
        <v>98</v>
      </c>
      <c r="J1625">
        <v>0</v>
      </c>
      <c r="K1625">
        <v>1</v>
      </c>
      <c r="L1625">
        <v>5</v>
      </c>
      <c r="BG1625">
        <v>399</v>
      </c>
      <c r="BI1625" t="s">
        <v>122</v>
      </c>
      <c r="BJ1625">
        <v>0</v>
      </c>
      <c r="BL1625" t="s">
        <v>3405</v>
      </c>
      <c r="BM1625" s="4">
        <v>43283.756249999999</v>
      </c>
      <c r="BN1625" s="4">
        <v>43283.757824074077</v>
      </c>
      <c r="BO1625" s="4">
        <v>43283.757824074077</v>
      </c>
      <c r="BP1625" t="s">
        <v>92</v>
      </c>
      <c r="BQ1625" t="s">
        <v>93</v>
      </c>
      <c r="BR1625" t="s">
        <v>94</v>
      </c>
    </row>
    <row r="1626" spans="1:70" x14ac:dyDescent="0.3">
      <c r="A1626" t="str">
        <f>"201004B0100"</f>
        <v>201004B0100</v>
      </c>
      <c r="B1626" t="s">
        <v>3406</v>
      </c>
      <c r="C1626">
        <v>20</v>
      </c>
      <c r="D1626" t="s">
        <v>88</v>
      </c>
      <c r="E1626">
        <v>178</v>
      </c>
      <c r="F1626" t="s">
        <v>3402</v>
      </c>
      <c r="G1626">
        <v>1004</v>
      </c>
      <c r="H1626">
        <v>1</v>
      </c>
      <c r="I1626" t="s">
        <v>90</v>
      </c>
      <c r="J1626">
        <v>0</v>
      </c>
      <c r="K1626">
        <v>2</v>
      </c>
      <c r="L1626">
        <v>5</v>
      </c>
      <c r="BG1626">
        <v>443</v>
      </c>
      <c r="BI1626" t="s">
        <v>122</v>
      </c>
      <c r="BJ1626">
        <v>0</v>
      </c>
      <c r="BL1626" t="s">
        <v>3407</v>
      </c>
      <c r="BM1626" s="4">
        <v>43283.756249999999</v>
      </c>
      <c r="BN1626" s="4">
        <v>43283.75854166667</v>
      </c>
      <c r="BO1626" s="4">
        <v>43283.75854166667</v>
      </c>
      <c r="BP1626" t="s">
        <v>92</v>
      </c>
      <c r="BQ1626" t="s">
        <v>93</v>
      </c>
      <c r="BR1626" t="s">
        <v>94</v>
      </c>
    </row>
    <row r="1627" spans="1:70" x14ac:dyDescent="0.3">
      <c r="A1627" t="str">
        <f>"201004C0100"</f>
        <v>201004C0100</v>
      </c>
      <c r="B1627" t="s">
        <v>3408</v>
      </c>
      <c r="C1627">
        <v>20</v>
      </c>
      <c r="D1627" t="s">
        <v>88</v>
      </c>
      <c r="E1627">
        <v>178</v>
      </c>
      <c r="F1627" t="s">
        <v>3402</v>
      </c>
      <c r="G1627">
        <v>1004</v>
      </c>
      <c r="H1627">
        <v>1</v>
      </c>
      <c r="I1627" t="s">
        <v>98</v>
      </c>
      <c r="J1627">
        <v>0</v>
      </c>
      <c r="K1627">
        <v>2</v>
      </c>
      <c r="L1627">
        <v>5</v>
      </c>
      <c r="M1627">
        <v>138</v>
      </c>
      <c r="N1627">
        <v>326</v>
      </c>
      <c r="O1627">
        <v>0</v>
      </c>
      <c r="P1627">
        <v>326</v>
      </c>
      <c r="Q1627">
        <v>1</v>
      </c>
      <c r="R1627">
        <v>69</v>
      </c>
      <c r="S1627">
        <v>1</v>
      </c>
      <c r="U1627">
        <v>2</v>
      </c>
      <c r="V1627">
        <v>56</v>
      </c>
      <c r="W1627">
        <v>49</v>
      </c>
      <c r="X1627">
        <v>20</v>
      </c>
      <c r="Y1627">
        <v>67</v>
      </c>
      <c r="Z1627">
        <v>4</v>
      </c>
      <c r="AB1627">
        <v>42</v>
      </c>
      <c r="AC1627">
        <v>3</v>
      </c>
      <c r="AD1627">
        <v>1</v>
      </c>
      <c r="AE1627">
        <v>2</v>
      </c>
      <c r="AF1627">
        <v>0</v>
      </c>
      <c r="AK1627">
        <v>1</v>
      </c>
      <c r="AL1627">
        <v>0</v>
      </c>
      <c r="AM1627">
        <v>1</v>
      </c>
      <c r="AN1627">
        <v>0</v>
      </c>
      <c r="BC1627">
        <v>0</v>
      </c>
      <c r="BD1627">
        <v>12</v>
      </c>
      <c r="BE1627">
        <v>331</v>
      </c>
      <c r="BF1627">
        <v>331</v>
      </c>
      <c r="BG1627">
        <v>442</v>
      </c>
      <c r="BJ1627">
        <v>1</v>
      </c>
      <c r="BL1627" t="s">
        <v>3409</v>
      </c>
      <c r="BM1627" s="4">
        <v>43283.227777777778</v>
      </c>
      <c r="BN1627" s="4">
        <v>43283.255023148151</v>
      </c>
      <c r="BO1627" s="4">
        <v>43283.255023148151</v>
      </c>
      <c r="BP1627" t="s">
        <v>92</v>
      </c>
      <c r="BQ1627" t="s">
        <v>93</v>
      </c>
      <c r="BR1627" t="s">
        <v>94</v>
      </c>
    </row>
    <row r="1628" spans="1:70" x14ac:dyDescent="0.3">
      <c r="A1628" t="str">
        <f>"201004E0100"</f>
        <v>201004E0100</v>
      </c>
      <c r="B1628" s="2" t="s">
        <v>3410</v>
      </c>
      <c r="C1628">
        <v>20</v>
      </c>
      <c r="D1628" t="s">
        <v>88</v>
      </c>
      <c r="E1628">
        <v>178</v>
      </c>
      <c r="F1628" t="s">
        <v>3402</v>
      </c>
      <c r="G1628">
        <v>1004</v>
      </c>
      <c r="H1628">
        <v>1</v>
      </c>
      <c r="I1628" t="s">
        <v>156</v>
      </c>
      <c r="J1628">
        <v>0</v>
      </c>
      <c r="K1628">
        <v>2</v>
      </c>
      <c r="L1628">
        <v>5</v>
      </c>
      <c r="M1628">
        <v>75</v>
      </c>
      <c r="N1628" t="s">
        <v>105</v>
      </c>
      <c r="O1628" t="s">
        <v>105</v>
      </c>
      <c r="P1628">
        <v>276</v>
      </c>
      <c r="Q1628">
        <v>2</v>
      </c>
      <c r="R1628">
        <v>74</v>
      </c>
      <c r="S1628">
        <v>1</v>
      </c>
      <c r="U1628">
        <v>0</v>
      </c>
      <c r="V1628">
        <v>29</v>
      </c>
      <c r="W1628">
        <v>44</v>
      </c>
      <c r="X1628">
        <v>59</v>
      </c>
      <c r="Y1628">
        <v>39</v>
      </c>
      <c r="Z1628">
        <v>0</v>
      </c>
      <c r="AB1628">
        <v>17</v>
      </c>
      <c r="AC1628" t="s">
        <v>105</v>
      </c>
      <c r="AD1628" t="s">
        <v>105</v>
      </c>
      <c r="AE1628" t="s">
        <v>105</v>
      </c>
      <c r="AF1628" t="s">
        <v>105</v>
      </c>
      <c r="AK1628" t="s">
        <v>105</v>
      </c>
      <c r="AL1628" t="s">
        <v>105</v>
      </c>
      <c r="AM1628" t="s">
        <v>105</v>
      </c>
      <c r="AN1628" t="s">
        <v>105</v>
      </c>
      <c r="BC1628" t="s">
        <v>105</v>
      </c>
      <c r="BD1628">
        <v>11</v>
      </c>
      <c r="BE1628">
        <v>276</v>
      </c>
      <c r="BF1628">
        <v>276</v>
      </c>
      <c r="BG1628">
        <v>329</v>
      </c>
      <c r="BI1628" t="s">
        <v>106</v>
      </c>
      <c r="BJ1628">
        <v>1</v>
      </c>
      <c r="BL1628" t="s">
        <v>3411</v>
      </c>
      <c r="BM1628" s="4">
        <v>43283.228472222225</v>
      </c>
      <c r="BN1628" s="4">
        <v>43283.260972222219</v>
      </c>
      <c r="BO1628" s="4">
        <v>43283.260972222219</v>
      </c>
      <c r="BP1628" t="s">
        <v>92</v>
      </c>
      <c r="BQ1628" t="s">
        <v>93</v>
      </c>
      <c r="BR1628" t="s">
        <v>94</v>
      </c>
    </row>
    <row r="1629" spans="1:70" x14ac:dyDescent="0.3">
      <c r="A1629" t="str">
        <f>"201005B0100"</f>
        <v>201005B0100</v>
      </c>
      <c r="B1629" t="s">
        <v>3412</v>
      </c>
      <c r="C1629">
        <v>20</v>
      </c>
      <c r="D1629" t="s">
        <v>88</v>
      </c>
      <c r="E1629">
        <v>179</v>
      </c>
      <c r="F1629" t="s">
        <v>3413</v>
      </c>
      <c r="G1629">
        <v>1005</v>
      </c>
      <c r="H1629">
        <v>1</v>
      </c>
      <c r="I1629" t="s">
        <v>90</v>
      </c>
      <c r="J1629">
        <v>0</v>
      </c>
      <c r="K1629">
        <v>2</v>
      </c>
      <c r="L1629">
        <v>5</v>
      </c>
      <c r="M1629">
        <v>103</v>
      </c>
      <c r="N1629">
        <v>227</v>
      </c>
      <c r="O1629" t="s">
        <v>105</v>
      </c>
      <c r="P1629">
        <v>227</v>
      </c>
      <c r="Q1629">
        <v>110</v>
      </c>
      <c r="R1629">
        <v>78</v>
      </c>
      <c r="S1629">
        <v>3</v>
      </c>
      <c r="T1629">
        <v>1</v>
      </c>
      <c r="U1629">
        <v>2</v>
      </c>
      <c r="V1629">
        <v>0</v>
      </c>
      <c r="X1629">
        <v>1</v>
      </c>
      <c r="Y1629">
        <v>21</v>
      </c>
      <c r="Z1629">
        <v>0</v>
      </c>
      <c r="AC1629">
        <v>0</v>
      </c>
      <c r="AD1629">
        <v>4</v>
      </c>
      <c r="AE1629">
        <v>0</v>
      </c>
      <c r="AF1629">
        <v>0</v>
      </c>
      <c r="AG1629">
        <v>0</v>
      </c>
      <c r="AH1629">
        <v>0</v>
      </c>
      <c r="AI1629">
        <v>0</v>
      </c>
      <c r="AJ1629">
        <v>0</v>
      </c>
      <c r="AK1629">
        <v>1</v>
      </c>
      <c r="AL1629">
        <v>0</v>
      </c>
      <c r="AM1629">
        <v>0</v>
      </c>
      <c r="AN1629">
        <v>0</v>
      </c>
      <c r="BC1629">
        <v>0</v>
      </c>
      <c r="BD1629">
        <v>6</v>
      </c>
      <c r="BE1629">
        <v>227</v>
      </c>
      <c r="BF1629">
        <v>227</v>
      </c>
      <c r="BG1629">
        <v>308</v>
      </c>
      <c r="BJ1629">
        <v>1</v>
      </c>
      <c r="BL1629" t="s">
        <v>3414</v>
      </c>
      <c r="BM1629" s="4">
        <v>43283.178472222222</v>
      </c>
      <c r="BN1629" s="4">
        <v>43283.194594907407</v>
      </c>
      <c r="BO1629" s="4">
        <v>43283.194594907407</v>
      </c>
      <c r="BP1629" t="s">
        <v>92</v>
      </c>
      <c r="BQ1629" t="s">
        <v>93</v>
      </c>
      <c r="BR1629" t="s">
        <v>94</v>
      </c>
    </row>
    <row r="1630" spans="1:70" x14ac:dyDescent="0.3">
      <c r="A1630" t="str">
        <f>"201006B0100"</f>
        <v>201006B0100</v>
      </c>
      <c r="B1630" t="s">
        <v>3415</v>
      </c>
      <c r="C1630">
        <v>20</v>
      </c>
      <c r="D1630" t="s">
        <v>88</v>
      </c>
      <c r="E1630">
        <v>179</v>
      </c>
      <c r="F1630" t="s">
        <v>3413</v>
      </c>
      <c r="G1630">
        <v>1006</v>
      </c>
      <c r="H1630">
        <v>1</v>
      </c>
      <c r="I1630" t="s">
        <v>90</v>
      </c>
      <c r="J1630">
        <v>0</v>
      </c>
      <c r="K1630">
        <v>2</v>
      </c>
      <c r="L1630">
        <v>5</v>
      </c>
      <c r="M1630">
        <v>38</v>
      </c>
      <c r="N1630">
        <v>84</v>
      </c>
      <c r="O1630">
        <v>5</v>
      </c>
      <c r="P1630">
        <v>82</v>
      </c>
      <c r="Q1630">
        <v>25</v>
      </c>
      <c r="R1630">
        <v>41</v>
      </c>
      <c r="S1630">
        <v>0</v>
      </c>
      <c r="T1630">
        <v>2</v>
      </c>
      <c r="U1630">
        <v>3</v>
      </c>
      <c r="V1630">
        <v>0</v>
      </c>
      <c r="X1630">
        <v>1</v>
      </c>
      <c r="Y1630">
        <v>7</v>
      </c>
      <c r="Z1630">
        <v>0</v>
      </c>
      <c r="AC1630">
        <v>0</v>
      </c>
      <c r="AD1630">
        <v>0</v>
      </c>
      <c r="AE1630">
        <v>1</v>
      </c>
      <c r="AF1630">
        <v>0</v>
      </c>
      <c r="AG1630">
        <v>0</v>
      </c>
      <c r="AH1630">
        <v>0</v>
      </c>
      <c r="AI1630">
        <v>0</v>
      </c>
      <c r="AJ1630">
        <v>0</v>
      </c>
      <c r="AK1630">
        <v>0</v>
      </c>
      <c r="AL1630">
        <v>0</v>
      </c>
      <c r="AM1630">
        <v>0</v>
      </c>
      <c r="AN1630">
        <v>0</v>
      </c>
      <c r="BC1630">
        <v>0</v>
      </c>
      <c r="BD1630">
        <v>2</v>
      </c>
      <c r="BE1630">
        <v>82</v>
      </c>
      <c r="BF1630">
        <v>82</v>
      </c>
      <c r="BG1630">
        <v>98</v>
      </c>
      <c r="BJ1630">
        <v>1</v>
      </c>
      <c r="BL1630" t="s">
        <v>3416</v>
      </c>
      <c r="BM1630" s="4">
        <v>43283.177777777775</v>
      </c>
      <c r="BN1630" s="4">
        <v>43283.196006944447</v>
      </c>
      <c r="BO1630" s="4">
        <v>43283.196006944447</v>
      </c>
      <c r="BP1630" t="s">
        <v>92</v>
      </c>
      <c r="BQ1630" t="s">
        <v>93</v>
      </c>
      <c r="BR1630" t="s">
        <v>94</v>
      </c>
    </row>
    <row r="1631" spans="1:70" x14ac:dyDescent="0.3">
      <c r="A1631" t="str">
        <f>"201009B0100"</f>
        <v>201009B0100</v>
      </c>
      <c r="B1631" t="s">
        <v>3417</v>
      </c>
      <c r="C1631">
        <v>20</v>
      </c>
      <c r="D1631" t="s">
        <v>88</v>
      </c>
      <c r="E1631">
        <v>181</v>
      </c>
      <c r="F1631" t="s">
        <v>3418</v>
      </c>
      <c r="G1631">
        <v>1009</v>
      </c>
      <c r="H1631">
        <v>1</v>
      </c>
      <c r="I1631" t="s">
        <v>90</v>
      </c>
      <c r="J1631">
        <v>0</v>
      </c>
      <c r="K1631">
        <v>2</v>
      </c>
      <c r="L1631">
        <v>5</v>
      </c>
      <c r="M1631">
        <v>99</v>
      </c>
      <c r="N1631">
        <v>423</v>
      </c>
      <c r="O1631">
        <v>0</v>
      </c>
      <c r="P1631">
        <v>423</v>
      </c>
      <c r="Q1631">
        <v>0</v>
      </c>
      <c r="R1631">
        <v>118</v>
      </c>
      <c r="S1631">
        <v>0</v>
      </c>
      <c r="U1631">
        <v>22</v>
      </c>
      <c r="V1631">
        <v>0</v>
      </c>
      <c r="W1631">
        <v>17</v>
      </c>
      <c r="X1631">
        <v>105</v>
      </c>
      <c r="Y1631">
        <v>146</v>
      </c>
      <c r="Z1631">
        <v>4</v>
      </c>
      <c r="AC1631">
        <v>0</v>
      </c>
      <c r="AD1631">
        <v>0</v>
      </c>
      <c r="AE1631">
        <v>0</v>
      </c>
      <c r="AF1631">
        <v>0</v>
      </c>
      <c r="AK1631">
        <v>0</v>
      </c>
      <c r="AL1631">
        <v>0</v>
      </c>
      <c r="AM1631">
        <v>0</v>
      </c>
      <c r="AN1631">
        <v>0</v>
      </c>
      <c r="BC1631">
        <v>0</v>
      </c>
      <c r="BD1631">
        <v>11</v>
      </c>
      <c r="BE1631">
        <v>423</v>
      </c>
      <c r="BF1631">
        <v>423</v>
      </c>
      <c r="BG1631">
        <v>500</v>
      </c>
      <c r="BJ1631">
        <v>1</v>
      </c>
      <c r="BL1631" t="s">
        <v>3419</v>
      </c>
      <c r="BM1631" s="4">
        <v>43283.722222222219</v>
      </c>
      <c r="BN1631" s="4">
        <v>43283.727326388886</v>
      </c>
      <c r="BO1631" s="4">
        <v>43283.727326388886</v>
      </c>
      <c r="BP1631" t="s">
        <v>92</v>
      </c>
      <c r="BQ1631" t="s">
        <v>93</v>
      </c>
      <c r="BR1631" t="s">
        <v>94</v>
      </c>
    </row>
    <row r="1632" spans="1:70" x14ac:dyDescent="0.3">
      <c r="A1632" t="str">
        <f>"201009C0100"</f>
        <v>201009C0100</v>
      </c>
      <c r="B1632" t="s">
        <v>3420</v>
      </c>
      <c r="C1632">
        <v>20</v>
      </c>
      <c r="D1632" t="s">
        <v>88</v>
      </c>
      <c r="E1632">
        <v>181</v>
      </c>
      <c r="F1632" t="s">
        <v>3418</v>
      </c>
      <c r="G1632">
        <v>1009</v>
      </c>
      <c r="H1632">
        <v>1</v>
      </c>
      <c r="I1632" t="s">
        <v>98</v>
      </c>
      <c r="J1632">
        <v>0</v>
      </c>
      <c r="K1632">
        <v>2</v>
      </c>
      <c r="L1632">
        <v>5</v>
      </c>
      <c r="M1632">
        <v>89</v>
      </c>
      <c r="N1632">
        <v>433</v>
      </c>
      <c r="O1632">
        <v>0</v>
      </c>
      <c r="P1632">
        <v>433</v>
      </c>
      <c r="Q1632">
        <v>0</v>
      </c>
      <c r="R1632">
        <v>131</v>
      </c>
      <c r="S1632">
        <v>3</v>
      </c>
      <c r="U1632">
        <v>27</v>
      </c>
      <c r="V1632">
        <v>0</v>
      </c>
      <c r="W1632">
        <v>11</v>
      </c>
      <c r="X1632">
        <v>110</v>
      </c>
      <c r="Y1632">
        <v>139</v>
      </c>
      <c r="Z1632">
        <v>4</v>
      </c>
      <c r="AC1632">
        <v>0</v>
      </c>
      <c r="AD1632">
        <v>0</v>
      </c>
      <c r="AE1632">
        <v>0</v>
      </c>
      <c r="AF1632">
        <v>0</v>
      </c>
      <c r="AK1632">
        <v>0</v>
      </c>
      <c r="AL1632">
        <v>0</v>
      </c>
      <c r="AM1632">
        <v>0</v>
      </c>
      <c r="AN1632">
        <v>0</v>
      </c>
      <c r="BC1632">
        <v>0</v>
      </c>
      <c r="BD1632">
        <v>8</v>
      </c>
      <c r="BE1632">
        <v>433</v>
      </c>
      <c r="BF1632">
        <v>433</v>
      </c>
      <c r="BG1632">
        <v>500</v>
      </c>
      <c r="BJ1632">
        <v>1</v>
      </c>
      <c r="BL1632" t="s">
        <v>3421</v>
      </c>
      <c r="BM1632" s="4">
        <v>43283.722916666666</v>
      </c>
      <c r="BN1632" s="4">
        <v>43283.72693287037</v>
      </c>
      <c r="BO1632" s="4">
        <v>43283.72693287037</v>
      </c>
      <c r="BP1632" t="s">
        <v>92</v>
      </c>
      <c r="BQ1632" t="s">
        <v>93</v>
      </c>
      <c r="BR1632" t="s">
        <v>94</v>
      </c>
    </row>
    <row r="1633" spans="1:70" x14ac:dyDescent="0.3">
      <c r="A1633" t="str">
        <f>"201009E0100"</f>
        <v>201009E0100</v>
      </c>
      <c r="B1633" s="2" t="s">
        <v>3422</v>
      </c>
      <c r="C1633">
        <v>20</v>
      </c>
      <c r="D1633" t="s">
        <v>88</v>
      </c>
      <c r="E1633">
        <v>181</v>
      </c>
      <c r="F1633" t="s">
        <v>3418</v>
      </c>
      <c r="G1633">
        <v>1009</v>
      </c>
      <c r="H1633">
        <v>1</v>
      </c>
      <c r="I1633" t="s">
        <v>156</v>
      </c>
      <c r="J1633">
        <v>0</v>
      </c>
      <c r="K1633">
        <v>2</v>
      </c>
      <c r="L1633">
        <v>5</v>
      </c>
      <c r="M1633">
        <v>60</v>
      </c>
      <c r="N1633">
        <v>195</v>
      </c>
      <c r="O1633">
        <v>0</v>
      </c>
      <c r="P1633">
        <v>195</v>
      </c>
      <c r="Q1633">
        <v>0</v>
      </c>
      <c r="R1633">
        <v>5</v>
      </c>
      <c r="S1633">
        <v>0</v>
      </c>
      <c r="U1633">
        <v>1</v>
      </c>
      <c r="V1633">
        <v>0</v>
      </c>
      <c r="W1633">
        <v>3</v>
      </c>
      <c r="X1633">
        <v>91</v>
      </c>
      <c r="Y1633">
        <v>92</v>
      </c>
      <c r="Z1633">
        <v>1</v>
      </c>
      <c r="AC1633">
        <v>0</v>
      </c>
      <c r="AD1633">
        <v>0</v>
      </c>
      <c r="AE1633">
        <v>0</v>
      </c>
      <c r="AF1633">
        <v>0</v>
      </c>
      <c r="AK1633">
        <v>0</v>
      </c>
      <c r="AL1633">
        <v>0</v>
      </c>
      <c r="AM1633">
        <v>0</v>
      </c>
      <c r="AN1633">
        <v>0</v>
      </c>
      <c r="BC1633">
        <v>0</v>
      </c>
      <c r="BD1633">
        <v>2</v>
      </c>
      <c r="BE1633">
        <v>195</v>
      </c>
      <c r="BF1633">
        <v>195</v>
      </c>
      <c r="BG1633">
        <v>233</v>
      </c>
      <c r="BJ1633">
        <v>1</v>
      </c>
      <c r="BL1633" t="s">
        <v>3423</v>
      </c>
      <c r="BM1633" s="4">
        <v>43283.323437500003</v>
      </c>
      <c r="BN1633" s="4">
        <v>43283.343090277776</v>
      </c>
      <c r="BO1633" s="4">
        <v>43283.343090277776</v>
      </c>
      <c r="BP1633" t="s">
        <v>92</v>
      </c>
      <c r="BQ1633" t="s">
        <v>93</v>
      </c>
      <c r="BR1633" t="s">
        <v>94</v>
      </c>
    </row>
    <row r="1634" spans="1:70" x14ac:dyDescent="0.3">
      <c r="A1634" t="str">
        <f>"201009E0200"</f>
        <v>201009E0200</v>
      </c>
      <c r="B1634" s="2" t="s">
        <v>3424</v>
      </c>
      <c r="C1634">
        <v>20</v>
      </c>
      <c r="D1634" t="s">
        <v>88</v>
      </c>
      <c r="E1634">
        <v>181</v>
      </c>
      <c r="F1634" t="s">
        <v>3418</v>
      </c>
      <c r="G1634">
        <v>1009</v>
      </c>
      <c r="H1634">
        <v>2</v>
      </c>
      <c r="I1634" t="s">
        <v>156</v>
      </c>
      <c r="J1634">
        <v>0</v>
      </c>
      <c r="K1634">
        <v>2</v>
      </c>
      <c r="L1634">
        <v>5</v>
      </c>
      <c r="M1634">
        <v>78</v>
      </c>
      <c r="N1634">
        <v>372</v>
      </c>
      <c r="O1634">
        <v>0</v>
      </c>
      <c r="P1634">
        <v>372</v>
      </c>
      <c r="Q1634">
        <v>1</v>
      </c>
      <c r="R1634">
        <v>128</v>
      </c>
      <c r="S1634">
        <v>0</v>
      </c>
      <c r="U1634">
        <v>1</v>
      </c>
      <c r="V1634">
        <v>0</v>
      </c>
      <c r="W1634">
        <v>31</v>
      </c>
      <c r="X1634">
        <v>62</v>
      </c>
      <c r="Y1634">
        <v>138</v>
      </c>
      <c r="Z1634">
        <v>1</v>
      </c>
      <c r="AC1634">
        <v>0</v>
      </c>
      <c r="AD1634">
        <v>0</v>
      </c>
      <c r="AE1634">
        <v>0</v>
      </c>
      <c r="AF1634">
        <v>0</v>
      </c>
      <c r="AK1634">
        <v>0</v>
      </c>
      <c r="AL1634">
        <v>0</v>
      </c>
      <c r="AM1634">
        <v>0</v>
      </c>
      <c r="AN1634">
        <v>0</v>
      </c>
      <c r="BC1634">
        <v>10</v>
      </c>
      <c r="BD1634">
        <v>10</v>
      </c>
      <c r="BE1634">
        <v>372</v>
      </c>
      <c r="BF1634">
        <v>382</v>
      </c>
      <c r="BG1634">
        <v>428</v>
      </c>
      <c r="BJ1634">
        <v>1</v>
      </c>
      <c r="BL1634" t="s">
        <v>3425</v>
      </c>
      <c r="BM1634" s="4">
        <v>43283.722916666666</v>
      </c>
      <c r="BN1634" s="4">
        <v>43283.727546296293</v>
      </c>
      <c r="BO1634" s="4">
        <v>43283.727546296293</v>
      </c>
      <c r="BP1634" t="s">
        <v>92</v>
      </c>
      <c r="BQ1634" t="s">
        <v>93</v>
      </c>
      <c r="BR1634" t="s">
        <v>94</v>
      </c>
    </row>
    <row r="1635" spans="1:70" x14ac:dyDescent="0.3">
      <c r="A1635" t="str">
        <f>"201010B0100"</f>
        <v>201010B0100</v>
      </c>
      <c r="B1635" t="s">
        <v>3426</v>
      </c>
      <c r="C1635">
        <v>20</v>
      </c>
      <c r="D1635" t="s">
        <v>88</v>
      </c>
      <c r="E1635">
        <v>182</v>
      </c>
      <c r="F1635" t="s">
        <v>3427</v>
      </c>
      <c r="G1635">
        <v>1010</v>
      </c>
      <c r="H1635">
        <v>1</v>
      </c>
      <c r="I1635" t="s">
        <v>90</v>
      </c>
      <c r="J1635">
        <v>0</v>
      </c>
      <c r="K1635">
        <v>1</v>
      </c>
      <c r="L1635">
        <v>5</v>
      </c>
      <c r="M1635">
        <v>221</v>
      </c>
      <c r="N1635">
        <v>466</v>
      </c>
      <c r="O1635">
        <v>11</v>
      </c>
      <c r="P1635">
        <v>466</v>
      </c>
      <c r="Q1635">
        <v>6</v>
      </c>
      <c r="R1635">
        <v>34</v>
      </c>
      <c r="S1635">
        <v>1</v>
      </c>
      <c r="T1635">
        <v>50</v>
      </c>
      <c r="U1635">
        <v>3</v>
      </c>
      <c r="V1635">
        <v>4</v>
      </c>
      <c r="W1635">
        <v>1</v>
      </c>
      <c r="X1635">
        <v>223</v>
      </c>
      <c r="Y1635">
        <v>103</v>
      </c>
      <c r="Z1635">
        <v>8</v>
      </c>
      <c r="AA1635">
        <v>0</v>
      </c>
      <c r="AB1635">
        <v>1</v>
      </c>
      <c r="AC1635">
        <v>0</v>
      </c>
      <c r="AD1635">
        <v>0</v>
      </c>
      <c r="AE1635">
        <v>1</v>
      </c>
      <c r="AF1635">
        <v>0</v>
      </c>
      <c r="AK1635">
        <v>2</v>
      </c>
      <c r="AL1635">
        <v>3</v>
      </c>
      <c r="AM1635">
        <v>0</v>
      </c>
      <c r="AN1635">
        <v>1</v>
      </c>
      <c r="AZ1635">
        <v>8</v>
      </c>
      <c r="BC1635">
        <v>0</v>
      </c>
      <c r="BD1635">
        <v>17</v>
      </c>
      <c r="BE1635">
        <v>466</v>
      </c>
      <c r="BF1635">
        <v>466</v>
      </c>
      <c r="BG1635">
        <v>664</v>
      </c>
      <c r="BJ1635">
        <v>1</v>
      </c>
      <c r="BL1635" t="s">
        <v>3428</v>
      </c>
      <c r="BM1635" s="4">
        <v>43283.179166666669</v>
      </c>
      <c r="BN1635" s="4">
        <v>43283.196319444447</v>
      </c>
      <c r="BO1635" s="4">
        <v>43283.196319444447</v>
      </c>
      <c r="BP1635" t="s">
        <v>92</v>
      </c>
      <c r="BQ1635" t="s">
        <v>93</v>
      </c>
      <c r="BR1635" t="s">
        <v>94</v>
      </c>
    </row>
    <row r="1636" spans="1:70" x14ac:dyDescent="0.3">
      <c r="A1636" t="str">
        <f>"201010C0100"</f>
        <v>201010C0100</v>
      </c>
      <c r="B1636" t="s">
        <v>3429</v>
      </c>
      <c r="C1636">
        <v>20</v>
      </c>
      <c r="D1636" t="s">
        <v>88</v>
      </c>
      <c r="E1636">
        <v>182</v>
      </c>
      <c r="F1636" t="s">
        <v>3427</v>
      </c>
      <c r="G1636">
        <v>1010</v>
      </c>
      <c r="H1636">
        <v>1</v>
      </c>
      <c r="I1636" t="s">
        <v>98</v>
      </c>
      <c r="J1636">
        <v>0</v>
      </c>
      <c r="K1636">
        <v>1</v>
      </c>
      <c r="L1636">
        <v>5</v>
      </c>
      <c r="M1636">
        <v>222</v>
      </c>
      <c r="N1636">
        <v>468</v>
      </c>
      <c r="O1636">
        <v>9</v>
      </c>
      <c r="P1636">
        <v>465</v>
      </c>
      <c r="Q1636">
        <v>5</v>
      </c>
      <c r="R1636">
        <v>42</v>
      </c>
      <c r="S1636">
        <v>2</v>
      </c>
      <c r="T1636">
        <v>55</v>
      </c>
      <c r="U1636">
        <v>7</v>
      </c>
      <c r="V1636">
        <v>4</v>
      </c>
      <c r="W1636">
        <v>0</v>
      </c>
      <c r="X1636">
        <v>189</v>
      </c>
      <c r="Y1636">
        <v>115</v>
      </c>
      <c r="Z1636">
        <v>20</v>
      </c>
      <c r="AA1636">
        <v>1</v>
      </c>
      <c r="AB1636">
        <v>0</v>
      </c>
      <c r="AC1636">
        <v>1</v>
      </c>
      <c r="AD1636">
        <v>0</v>
      </c>
      <c r="AE1636">
        <v>0</v>
      </c>
      <c r="AF1636">
        <v>0</v>
      </c>
      <c r="AK1636">
        <v>0</v>
      </c>
      <c r="AL1636">
        <v>0</v>
      </c>
      <c r="AM1636">
        <v>0</v>
      </c>
      <c r="AN1636">
        <v>1</v>
      </c>
      <c r="AZ1636">
        <v>11</v>
      </c>
      <c r="BC1636">
        <v>0</v>
      </c>
      <c r="BD1636">
        <v>12</v>
      </c>
      <c r="BE1636">
        <v>465</v>
      </c>
      <c r="BF1636">
        <v>465</v>
      </c>
      <c r="BG1636">
        <v>664</v>
      </c>
      <c r="BJ1636">
        <v>1</v>
      </c>
      <c r="BL1636" t="s">
        <v>3430</v>
      </c>
      <c r="BM1636" s="4">
        <v>43283.181250000001</v>
      </c>
      <c r="BN1636" s="4">
        <v>43283.198865740742</v>
      </c>
      <c r="BO1636" s="4">
        <v>43283.198865740742</v>
      </c>
      <c r="BP1636" t="s">
        <v>92</v>
      </c>
      <c r="BQ1636" t="s">
        <v>93</v>
      </c>
      <c r="BR1636" t="s">
        <v>94</v>
      </c>
    </row>
    <row r="1637" spans="1:70" x14ac:dyDescent="0.3">
      <c r="A1637" t="str">
        <f>"201010C0200"</f>
        <v>201010C0200</v>
      </c>
      <c r="B1637" t="s">
        <v>3431</v>
      </c>
      <c r="C1637">
        <v>20</v>
      </c>
      <c r="D1637" t="s">
        <v>88</v>
      </c>
      <c r="E1637">
        <v>182</v>
      </c>
      <c r="F1637" t="s">
        <v>3427</v>
      </c>
      <c r="G1637">
        <v>1010</v>
      </c>
      <c r="H1637">
        <v>2</v>
      </c>
      <c r="I1637" t="s">
        <v>98</v>
      </c>
      <c r="J1637">
        <v>0</v>
      </c>
      <c r="K1637">
        <v>1</v>
      </c>
      <c r="L1637">
        <v>5</v>
      </c>
      <c r="M1637">
        <v>231</v>
      </c>
      <c r="N1637">
        <v>452</v>
      </c>
      <c r="O1637">
        <v>8</v>
      </c>
      <c r="P1637">
        <v>457</v>
      </c>
      <c r="Q1637">
        <v>1</v>
      </c>
      <c r="R1637">
        <v>35</v>
      </c>
      <c r="S1637">
        <v>1</v>
      </c>
      <c r="T1637">
        <v>53</v>
      </c>
      <c r="U1637">
        <v>8</v>
      </c>
      <c r="V1637">
        <v>5</v>
      </c>
      <c r="W1637">
        <v>1</v>
      </c>
      <c r="X1637">
        <v>205</v>
      </c>
      <c r="Y1637">
        <v>111</v>
      </c>
      <c r="Z1637">
        <v>6</v>
      </c>
      <c r="AA1637">
        <v>0</v>
      </c>
      <c r="AB1637">
        <v>0</v>
      </c>
      <c r="AC1637">
        <v>0</v>
      </c>
      <c r="AD1637">
        <v>0</v>
      </c>
      <c r="AE1637">
        <v>1</v>
      </c>
      <c r="AF1637">
        <v>0</v>
      </c>
      <c r="AK1637">
        <v>2</v>
      </c>
      <c r="AL1637">
        <v>1</v>
      </c>
      <c r="AM1637">
        <v>0</v>
      </c>
      <c r="AN1637">
        <v>1</v>
      </c>
      <c r="AZ1637">
        <v>0</v>
      </c>
      <c r="BC1637" t="s">
        <v>105</v>
      </c>
      <c r="BD1637">
        <v>14</v>
      </c>
      <c r="BE1637">
        <v>457</v>
      </c>
      <c r="BF1637">
        <v>445</v>
      </c>
      <c r="BG1637">
        <v>664</v>
      </c>
      <c r="BI1637" t="s">
        <v>106</v>
      </c>
      <c r="BJ1637">
        <v>1</v>
      </c>
      <c r="BL1637" t="s">
        <v>3432</v>
      </c>
      <c r="BM1637" s="4">
        <v>43283.182638888888</v>
      </c>
      <c r="BN1637" s="4">
        <v>43283.20008101852</v>
      </c>
      <c r="BO1637" s="4">
        <v>43283.20008101852</v>
      </c>
      <c r="BP1637" t="s">
        <v>92</v>
      </c>
      <c r="BQ1637" t="s">
        <v>93</v>
      </c>
      <c r="BR1637" t="s">
        <v>94</v>
      </c>
    </row>
    <row r="1638" spans="1:70" x14ac:dyDescent="0.3">
      <c r="A1638" t="str">
        <f>"201010E0100"</f>
        <v>201010E0100</v>
      </c>
      <c r="B1638" s="2" t="s">
        <v>3433</v>
      </c>
      <c r="C1638">
        <v>20</v>
      </c>
      <c r="D1638" t="s">
        <v>88</v>
      </c>
      <c r="E1638">
        <v>182</v>
      </c>
      <c r="F1638" t="s">
        <v>3427</v>
      </c>
      <c r="G1638">
        <v>1010</v>
      </c>
      <c r="H1638">
        <v>1</v>
      </c>
      <c r="I1638" t="s">
        <v>156</v>
      </c>
      <c r="J1638">
        <v>0</v>
      </c>
      <c r="K1638">
        <v>1</v>
      </c>
      <c r="L1638">
        <v>5</v>
      </c>
      <c r="M1638">
        <v>230</v>
      </c>
      <c r="N1638">
        <v>474</v>
      </c>
      <c r="O1638">
        <v>11</v>
      </c>
      <c r="P1638">
        <v>463</v>
      </c>
      <c r="Q1638">
        <v>7</v>
      </c>
      <c r="R1638">
        <v>13</v>
      </c>
      <c r="S1638">
        <v>2</v>
      </c>
      <c r="T1638">
        <v>27</v>
      </c>
      <c r="U1638">
        <v>6</v>
      </c>
      <c r="V1638">
        <v>7</v>
      </c>
      <c r="W1638">
        <v>6</v>
      </c>
      <c r="X1638">
        <v>237</v>
      </c>
      <c r="Y1638">
        <v>135</v>
      </c>
      <c r="Z1638">
        <v>4</v>
      </c>
      <c r="AA1638">
        <v>0</v>
      </c>
      <c r="AB1638">
        <v>1</v>
      </c>
      <c r="AC1638">
        <v>0</v>
      </c>
      <c r="AD1638">
        <v>0</v>
      </c>
      <c r="AE1638">
        <v>0</v>
      </c>
      <c r="AF1638">
        <v>0</v>
      </c>
      <c r="AK1638">
        <v>4</v>
      </c>
      <c r="AL1638">
        <v>0</v>
      </c>
      <c r="AM1638">
        <v>1</v>
      </c>
      <c r="AN1638">
        <v>0</v>
      </c>
      <c r="AZ1638">
        <v>5</v>
      </c>
      <c r="BC1638">
        <v>1</v>
      </c>
      <c r="BD1638">
        <v>6</v>
      </c>
      <c r="BE1638">
        <v>463</v>
      </c>
      <c r="BF1638">
        <v>462</v>
      </c>
      <c r="BG1638">
        <v>667</v>
      </c>
      <c r="BJ1638">
        <v>1</v>
      </c>
      <c r="BL1638" t="s">
        <v>3434</v>
      </c>
      <c r="BM1638" s="4">
        <v>43283.160416666666</v>
      </c>
      <c r="BN1638" s="4">
        <v>43283.173032407409</v>
      </c>
      <c r="BO1638" s="4">
        <v>43283.173032407409</v>
      </c>
      <c r="BP1638" t="s">
        <v>92</v>
      </c>
      <c r="BQ1638" t="s">
        <v>93</v>
      </c>
      <c r="BR1638" t="s">
        <v>94</v>
      </c>
    </row>
    <row r="1639" spans="1:70" x14ac:dyDescent="0.3">
      <c r="A1639" t="str">
        <f>"201010E0101"</f>
        <v>201010E0101</v>
      </c>
      <c r="B1639" s="2" t="s">
        <v>3435</v>
      </c>
      <c r="C1639">
        <v>20</v>
      </c>
      <c r="D1639" t="s">
        <v>88</v>
      </c>
      <c r="E1639">
        <v>182</v>
      </c>
      <c r="F1639" t="s">
        <v>3427</v>
      </c>
      <c r="G1639">
        <v>1010</v>
      </c>
      <c r="H1639">
        <v>1</v>
      </c>
      <c r="I1639" t="s">
        <v>156</v>
      </c>
      <c r="J1639">
        <v>1</v>
      </c>
      <c r="K1639">
        <v>1</v>
      </c>
      <c r="L1639">
        <v>5</v>
      </c>
      <c r="M1639">
        <v>242</v>
      </c>
      <c r="N1639">
        <v>448</v>
      </c>
      <c r="O1639">
        <v>14</v>
      </c>
      <c r="P1639">
        <v>447</v>
      </c>
      <c r="Q1639">
        <v>4</v>
      </c>
      <c r="R1639">
        <v>17</v>
      </c>
      <c r="S1639">
        <v>1</v>
      </c>
      <c r="T1639">
        <v>21</v>
      </c>
      <c r="U1639">
        <v>4</v>
      </c>
      <c r="V1639">
        <v>5</v>
      </c>
      <c r="W1639">
        <v>1</v>
      </c>
      <c r="X1639">
        <v>227</v>
      </c>
      <c r="Y1639">
        <v>135</v>
      </c>
      <c r="Z1639">
        <v>11</v>
      </c>
      <c r="AA1639" t="s">
        <v>105</v>
      </c>
      <c r="AB1639">
        <v>1</v>
      </c>
      <c r="AC1639" t="s">
        <v>105</v>
      </c>
      <c r="AD1639" t="s">
        <v>105</v>
      </c>
      <c r="AE1639" t="s">
        <v>105</v>
      </c>
      <c r="AF1639" t="s">
        <v>105</v>
      </c>
      <c r="AK1639">
        <v>3</v>
      </c>
      <c r="AL1639" t="s">
        <v>105</v>
      </c>
      <c r="AM1639" t="s">
        <v>105</v>
      </c>
      <c r="AN1639" t="s">
        <v>105</v>
      </c>
      <c r="AZ1639">
        <v>5</v>
      </c>
      <c r="BC1639" t="s">
        <v>105</v>
      </c>
      <c r="BD1639">
        <v>12</v>
      </c>
      <c r="BE1639">
        <v>447</v>
      </c>
      <c r="BF1639">
        <v>447</v>
      </c>
      <c r="BG1639">
        <v>667</v>
      </c>
      <c r="BI1639" t="s">
        <v>106</v>
      </c>
      <c r="BJ1639">
        <v>1</v>
      </c>
      <c r="BL1639" t="s">
        <v>3436</v>
      </c>
      <c r="BM1639" s="4">
        <v>43283.28125</v>
      </c>
      <c r="BN1639" s="4">
        <v>43283.310393518521</v>
      </c>
      <c r="BO1639" s="4">
        <v>43283.310393518521</v>
      </c>
      <c r="BP1639" t="s">
        <v>92</v>
      </c>
      <c r="BQ1639" t="s">
        <v>93</v>
      </c>
      <c r="BR1639" t="s">
        <v>94</v>
      </c>
    </row>
    <row r="1640" spans="1:70" x14ac:dyDescent="0.3">
      <c r="A1640" t="str">
        <f>"201010E0102"</f>
        <v>201010E0102</v>
      </c>
      <c r="B1640" s="2" t="s">
        <v>3437</v>
      </c>
      <c r="C1640">
        <v>20</v>
      </c>
      <c r="D1640" t="s">
        <v>88</v>
      </c>
      <c r="E1640">
        <v>182</v>
      </c>
      <c r="F1640" t="s">
        <v>3427</v>
      </c>
      <c r="G1640">
        <v>1010</v>
      </c>
      <c r="H1640">
        <v>1</v>
      </c>
      <c r="I1640" t="s">
        <v>156</v>
      </c>
      <c r="J1640">
        <v>2</v>
      </c>
      <c r="K1640">
        <v>1</v>
      </c>
      <c r="L1640">
        <v>5</v>
      </c>
      <c r="M1640">
        <v>245</v>
      </c>
      <c r="N1640">
        <v>444</v>
      </c>
      <c r="O1640">
        <v>10</v>
      </c>
      <c r="P1640">
        <v>441</v>
      </c>
      <c r="Q1640">
        <v>6</v>
      </c>
      <c r="R1640">
        <v>17</v>
      </c>
      <c r="S1640">
        <v>2</v>
      </c>
      <c r="T1640">
        <v>25</v>
      </c>
      <c r="U1640">
        <v>9</v>
      </c>
      <c r="V1640">
        <v>4</v>
      </c>
      <c r="W1640">
        <v>4</v>
      </c>
      <c r="X1640">
        <v>229</v>
      </c>
      <c r="Y1640">
        <v>112</v>
      </c>
      <c r="Z1640">
        <v>8</v>
      </c>
      <c r="AA1640">
        <v>1</v>
      </c>
      <c r="AB1640">
        <v>0</v>
      </c>
      <c r="AC1640">
        <v>0</v>
      </c>
      <c r="AD1640">
        <v>0</v>
      </c>
      <c r="AE1640">
        <v>0</v>
      </c>
      <c r="AF1640">
        <v>0</v>
      </c>
      <c r="AK1640">
        <v>3</v>
      </c>
      <c r="AL1640">
        <v>1</v>
      </c>
      <c r="AM1640">
        <v>0</v>
      </c>
      <c r="AN1640">
        <v>1</v>
      </c>
      <c r="AZ1640">
        <v>10</v>
      </c>
      <c r="BC1640">
        <v>0</v>
      </c>
      <c r="BD1640">
        <v>9</v>
      </c>
      <c r="BE1640">
        <v>441</v>
      </c>
      <c r="BF1640">
        <v>441</v>
      </c>
      <c r="BG1640">
        <v>666</v>
      </c>
      <c r="BJ1640">
        <v>1</v>
      </c>
      <c r="BL1640" t="s">
        <v>3438</v>
      </c>
      <c r="BM1640" s="4">
        <v>43283.28125</v>
      </c>
      <c r="BN1640" s="4">
        <v>43283.309641203705</v>
      </c>
      <c r="BO1640" s="4">
        <v>43283.309641203705</v>
      </c>
      <c r="BP1640" t="s">
        <v>92</v>
      </c>
      <c r="BQ1640" t="s">
        <v>93</v>
      </c>
      <c r="BR1640" t="s">
        <v>94</v>
      </c>
    </row>
    <row r="1641" spans="1:70" x14ac:dyDescent="0.3">
      <c r="A1641" t="str">
        <f>"201010E0103"</f>
        <v>201010E0103</v>
      </c>
      <c r="B1641" s="2" t="s">
        <v>3439</v>
      </c>
      <c r="C1641">
        <v>20</v>
      </c>
      <c r="D1641" t="s">
        <v>88</v>
      </c>
      <c r="E1641">
        <v>182</v>
      </c>
      <c r="F1641" t="s">
        <v>3427</v>
      </c>
      <c r="G1641">
        <v>1010</v>
      </c>
      <c r="H1641">
        <v>1</v>
      </c>
      <c r="I1641" t="s">
        <v>156</v>
      </c>
      <c r="J1641">
        <v>3</v>
      </c>
      <c r="K1641">
        <v>1</v>
      </c>
      <c r="L1641">
        <v>5</v>
      </c>
      <c r="M1641">
        <v>269</v>
      </c>
      <c r="N1641">
        <v>420</v>
      </c>
      <c r="O1641">
        <v>3</v>
      </c>
      <c r="P1641">
        <v>420</v>
      </c>
      <c r="Q1641">
        <v>9</v>
      </c>
      <c r="R1641">
        <v>18</v>
      </c>
      <c r="S1641">
        <v>5</v>
      </c>
      <c r="T1641">
        <v>15</v>
      </c>
      <c r="U1641">
        <v>6</v>
      </c>
      <c r="V1641">
        <v>5</v>
      </c>
      <c r="W1641">
        <v>1</v>
      </c>
      <c r="X1641">
        <v>220</v>
      </c>
      <c r="Y1641">
        <v>110</v>
      </c>
      <c r="Z1641">
        <v>10</v>
      </c>
      <c r="AA1641">
        <v>1</v>
      </c>
      <c r="AB1641">
        <v>1</v>
      </c>
      <c r="AC1641">
        <v>1</v>
      </c>
      <c r="AD1641">
        <v>0</v>
      </c>
      <c r="AE1641">
        <v>0</v>
      </c>
      <c r="AF1641">
        <v>0</v>
      </c>
      <c r="AK1641">
        <v>1</v>
      </c>
      <c r="AL1641">
        <v>0</v>
      </c>
      <c r="AM1641">
        <v>0</v>
      </c>
      <c r="AN1641">
        <v>0</v>
      </c>
      <c r="AZ1641">
        <v>6</v>
      </c>
      <c r="BC1641">
        <v>0</v>
      </c>
      <c r="BD1641">
        <v>11</v>
      </c>
      <c r="BE1641">
        <v>420</v>
      </c>
      <c r="BF1641">
        <v>420</v>
      </c>
      <c r="BG1641">
        <v>666</v>
      </c>
      <c r="BJ1641">
        <v>1</v>
      </c>
      <c r="BL1641" t="s">
        <v>3440</v>
      </c>
      <c r="BM1641" s="4">
        <v>43283.279166666667</v>
      </c>
      <c r="BN1641" s="4">
        <v>43283.307905092595</v>
      </c>
      <c r="BO1641" s="4">
        <v>43283.307905092595</v>
      </c>
      <c r="BP1641" t="s">
        <v>92</v>
      </c>
      <c r="BQ1641" t="s">
        <v>93</v>
      </c>
      <c r="BR1641" t="s">
        <v>94</v>
      </c>
    </row>
    <row r="1642" spans="1:70" x14ac:dyDescent="0.3">
      <c r="A1642" t="str">
        <f>"201010E0104"</f>
        <v>201010E0104</v>
      </c>
      <c r="B1642" s="2" t="s">
        <v>3441</v>
      </c>
      <c r="C1642">
        <v>20</v>
      </c>
      <c r="D1642" t="s">
        <v>88</v>
      </c>
      <c r="E1642">
        <v>182</v>
      </c>
      <c r="F1642" t="s">
        <v>3427</v>
      </c>
      <c r="G1642">
        <v>1010</v>
      </c>
      <c r="H1642">
        <v>1</v>
      </c>
      <c r="I1642" t="s">
        <v>156</v>
      </c>
      <c r="J1642">
        <v>4</v>
      </c>
      <c r="K1642">
        <v>1</v>
      </c>
      <c r="L1642">
        <v>5</v>
      </c>
      <c r="M1642">
        <v>226</v>
      </c>
      <c r="N1642">
        <v>689</v>
      </c>
      <c r="O1642">
        <v>12</v>
      </c>
      <c r="P1642">
        <v>689</v>
      </c>
      <c r="Q1642">
        <v>5</v>
      </c>
      <c r="R1642">
        <v>20</v>
      </c>
      <c r="S1642">
        <v>0</v>
      </c>
      <c r="T1642">
        <v>28</v>
      </c>
      <c r="U1642">
        <v>12</v>
      </c>
      <c r="V1642">
        <v>5</v>
      </c>
      <c r="W1642">
        <v>2</v>
      </c>
      <c r="X1642">
        <v>227</v>
      </c>
      <c r="Y1642">
        <v>138</v>
      </c>
      <c r="Z1642">
        <v>7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0</v>
      </c>
      <c r="AK1642">
        <v>3</v>
      </c>
      <c r="AL1642">
        <v>1</v>
      </c>
      <c r="AM1642">
        <v>1</v>
      </c>
      <c r="AN1642">
        <v>0</v>
      </c>
      <c r="AZ1642">
        <v>5</v>
      </c>
      <c r="BC1642">
        <v>0</v>
      </c>
      <c r="BD1642">
        <v>9</v>
      </c>
      <c r="BE1642">
        <v>463</v>
      </c>
      <c r="BF1642">
        <v>463</v>
      </c>
      <c r="BG1642">
        <v>666</v>
      </c>
      <c r="BJ1642">
        <v>1</v>
      </c>
      <c r="BL1642" t="s">
        <v>3442</v>
      </c>
      <c r="BM1642" s="4">
        <v>43283.281944444447</v>
      </c>
      <c r="BN1642" s="4">
        <v>43283.313148148147</v>
      </c>
      <c r="BO1642" s="4">
        <v>43283.313148148147</v>
      </c>
      <c r="BP1642" t="s">
        <v>92</v>
      </c>
      <c r="BQ1642" t="s">
        <v>93</v>
      </c>
      <c r="BR1642" t="s">
        <v>94</v>
      </c>
    </row>
    <row r="1643" spans="1:70" x14ac:dyDescent="0.3">
      <c r="A1643" t="str">
        <f>"201011B0100"</f>
        <v>201011B0100</v>
      </c>
      <c r="B1643" t="s">
        <v>3443</v>
      </c>
      <c r="C1643">
        <v>20</v>
      </c>
      <c r="D1643" t="s">
        <v>88</v>
      </c>
      <c r="E1643">
        <v>182</v>
      </c>
      <c r="F1643" t="s">
        <v>3427</v>
      </c>
      <c r="G1643">
        <v>1011</v>
      </c>
      <c r="H1643">
        <v>1</v>
      </c>
      <c r="I1643" t="s">
        <v>90</v>
      </c>
      <c r="J1643">
        <v>0</v>
      </c>
      <c r="K1643">
        <v>1</v>
      </c>
      <c r="L1643">
        <v>5</v>
      </c>
      <c r="M1643">
        <v>233</v>
      </c>
      <c r="N1643">
        <v>355</v>
      </c>
      <c r="O1643">
        <v>10</v>
      </c>
      <c r="P1643">
        <v>0</v>
      </c>
      <c r="Q1643">
        <v>6</v>
      </c>
      <c r="R1643">
        <v>16</v>
      </c>
      <c r="S1643">
        <v>3</v>
      </c>
      <c r="T1643">
        <v>25</v>
      </c>
      <c r="U1643">
        <v>4</v>
      </c>
      <c r="V1643">
        <v>2</v>
      </c>
      <c r="W1643">
        <v>4</v>
      </c>
      <c r="X1643">
        <v>190</v>
      </c>
      <c r="Y1643">
        <v>78</v>
      </c>
      <c r="Z1643">
        <v>5</v>
      </c>
      <c r="AA1643" t="s">
        <v>105</v>
      </c>
      <c r="AB1643">
        <v>3</v>
      </c>
      <c r="AC1643" t="s">
        <v>105</v>
      </c>
      <c r="AD1643" t="s">
        <v>105</v>
      </c>
      <c r="AE1643" t="s">
        <v>105</v>
      </c>
      <c r="AF1643" t="s">
        <v>105</v>
      </c>
      <c r="AK1643">
        <v>4</v>
      </c>
      <c r="AL1643" t="s">
        <v>105</v>
      </c>
      <c r="AM1643" t="s">
        <v>105</v>
      </c>
      <c r="AN1643" t="s">
        <v>105</v>
      </c>
      <c r="AZ1643">
        <v>3</v>
      </c>
      <c r="BC1643" t="s">
        <v>105</v>
      </c>
      <c r="BD1643">
        <v>12</v>
      </c>
      <c r="BE1643">
        <v>355</v>
      </c>
      <c r="BF1643">
        <v>355</v>
      </c>
      <c r="BG1643">
        <v>565</v>
      </c>
      <c r="BI1643" t="s">
        <v>106</v>
      </c>
      <c r="BJ1643">
        <v>1</v>
      </c>
      <c r="BL1643" t="s">
        <v>3444</v>
      </c>
      <c r="BM1643" s="4">
        <v>43283.103472222225</v>
      </c>
      <c r="BN1643" s="4">
        <v>43283.107662037037</v>
      </c>
      <c r="BO1643" s="4">
        <v>43283.107662037037</v>
      </c>
      <c r="BP1643" t="s">
        <v>92</v>
      </c>
      <c r="BQ1643" t="s">
        <v>93</v>
      </c>
      <c r="BR1643" t="s">
        <v>94</v>
      </c>
    </row>
    <row r="1644" spans="1:70" x14ac:dyDescent="0.3">
      <c r="A1644" t="str">
        <f>"201011C0100"</f>
        <v>201011C0100</v>
      </c>
      <c r="B1644" t="s">
        <v>3445</v>
      </c>
      <c r="C1644">
        <v>20</v>
      </c>
      <c r="D1644" t="s">
        <v>88</v>
      </c>
      <c r="E1644">
        <v>182</v>
      </c>
      <c r="F1644" t="s">
        <v>3427</v>
      </c>
      <c r="G1644">
        <v>1011</v>
      </c>
      <c r="H1644">
        <v>1</v>
      </c>
      <c r="I1644" t="s">
        <v>98</v>
      </c>
      <c r="J1644">
        <v>0</v>
      </c>
      <c r="K1644">
        <v>1</v>
      </c>
      <c r="L1644">
        <v>5</v>
      </c>
      <c r="M1644">
        <v>217</v>
      </c>
      <c r="N1644">
        <v>371</v>
      </c>
      <c r="O1644">
        <v>10</v>
      </c>
      <c r="P1644">
        <v>361</v>
      </c>
      <c r="Q1644">
        <v>2</v>
      </c>
      <c r="R1644">
        <v>19</v>
      </c>
      <c r="S1644">
        <v>7</v>
      </c>
      <c r="T1644">
        <v>28</v>
      </c>
      <c r="U1644">
        <v>6</v>
      </c>
      <c r="V1644">
        <v>3</v>
      </c>
      <c r="W1644">
        <v>2</v>
      </c>
      <c r="X1644">
        <v>204</v>
      </c>
      <c r="Y1644">
        <v>82</v>
      </c>
      <c r="Z1644">
        <v>4</v>
      </c>
      <c r="AA1644">
        <v>1</v>
      </c>
      <c r="AB1644">
        <v>0</v>
      </c>
      <c r="AC1644">
        <v>0</v>
      </c>
      <c r="AD1644">
        <v>0</v>
      </c>
      <c r="AE1644">
        <v>0</v>
      </c>
      <c r="AF1644">
        <v>0</v>
      </c>
      <c r="AK1644">
        <v>4</v>
      </c>
      <c r="AL1644">
        <v>0</v>
      </c>
      <c r="AM1644">
        <v>0</v>
      </c>
      <c r="AN1644">
        <v>0</v>
      </c>
      <c r="AZ1644">
        <v>5</v>
      </c>
      <c r="BC1644">
        <v>0</v>
      </c>
      <c r="BD1644">
        <v>4</v>
      </c>
      <c r="BE1644">
        <v>371</v>
      </c>
      <c r="BF1644">
        <v>371</v>
      </c>
      <c r="BG1644">
        <v>565</v>
      </c>
      <c r="BJ1644">
        <v>1</v>
      </c>
      <c r="BL1644" t="s">
        <v>3446</v>
      </c>
      <c r="BM1644" s="4">
        <v>43283.099305555559</v>
      </c>
      <c r="BN1644" s="4">
        <v>43283.102662037039</v>
      </c>
      <c r="BO1644" s="4">
        <v>43283.102662037039</v>
      </c>
      <c r="BP1644" t="s">
        <v>92</v>
      </c>
      <c r="BQ1644" t="s">
        <v>93</v>
      </c>
      <c r="BR1644" t="s">
        <v>94</v>
      </c>
    </row>
    <row r="1645" spans="1:70" x14ac:dyDescent="0.3">
      <c r="A1645" t="str">
        <f>"201012B0100"</f>
        <v>201012B0100</v>
      </c>
      <c r="B1645" t="s">
        <v>3447</v>
      </c>
      <c r="C1645">
        <v>20</v>
      </c>
      <c r="D1645" t="s">
        <v>88</v>
      </c>
      <c r="E1645">
        <v>182</v>
      </c>
      <c r="F1645" t="s">
        <v>3427</v>
      </c>
      <c r="G1645">
        <v>1012</v>
      </c>
      <c r="H1645">
        <v>1</v>
      </c>
      <c r="I1645" t="s">
        <v>90</v>
      </c>
      <c r="J1645">
        <v>0</v>
      </c>
      <c r="K1645">
        <v>1</v>
      </c>
      <c r="L1645">
        <v>5</v>
      </c>
      <c r="M1645">
        <v>188</v>
      </c>
      <c r="N1645">
        <v>381</v>
      </c>
      <c r="O1645">
        <v>6</v>
      </c>
      <c r="P1645">
        <v>381</v>
      </c>
      <c r="Q1645">
        <v>3</v>
      </c>
      <c r="R1645">
        <v>18</v>
      </c>
      <c r="S1645">
        <v>1</v>
      </c>
      <c r="T1645">
        <v>44</v>
      </c>
      <c r="U1645">
        <v>7</v>
      </c>
      <c r="V1645">
        <v>5</v>
      </c>
      <c r="W1645">
        <v>2</v>
      </c>
      <c r="X1645">
        <v>184</v>
      </c>
      <c r="Y1645">
        <v>91</v>
      </c>
      <c r="Z1645">
        <v>4</v>
      </c>
      <c r="AA1645">
        <v>1</v>
      </c>
      <c r="AB1645">
        <v>0</v>
      </c>
      <c r="AC1645">
        <v>1</v>
      </c>
      <c r="AD1645">
        <v>0</v>
      </c>
      <c r="AE1645">
        <v>0</v>
      </c>
      <c r="AF1645">
        <v>0</v>
      </c>
      <c r="AK1645">
        <v>2</v>
      </c>
      <c r="AL1645">
        <v>0</v>
      </c>
      <c r="AM1645">
        <v>0</v>
      </c>
      <c r="AN1645">
        <v>1</v>
      </c>
      <c r="AZ1645">
        <v>5</v>
      </c>
      <c r="BC1645">
        <v>0</v>
      </c>
      <c r="BD1645">
        <v>12</v>
      </c>
      <c r="BE1645">
        <v>381</v>
      </c>
      <c r="BF1645">
        <v>381</v>
      </c>
      <c r="BG1645">
        <v>548</v>
      </c>
      <c r="BJ1645">
        <v>1</v>
      </c>
      <c r="BL1645" t="s">
        <v>3448</v>
      </c>
      <c r="BM1645" s="4">
        <v>43283.169444444444</v>
      </c>
      <c r="BN1645" s="4">
        <v>43283.181493055556</v>
      </c>
      <c r="BO1645" s="4">
        <v>43283.181493055556</v>
      </c>
      <c r="BP1645" t="s">
        <v>92</v>
      </c>
      <c r="BQ1645" t="s">
        <v>93</v>
      </c>
      <c r="BR1645" t="s">
        <v>94</v>
      </c>
    </row>
    <row r="1646" spans="1:70" x14ac:dyDescent="0.3">
      <c r="A1646" t="str">
        <f>"201012C0100"</f>
        <v>201012C0100</v>
      </c>
      <c r="B1646" t="s">
        <v>3449</v>
      </c>
      <c r="C1646">
        <v>20</v>
      </c>
      <c r="D1646" t="s">
        <v>88</v>
      </c>
      <c r="E1646">
        <v>182</v>
      </c>
      <c r="F1646" t="s">
        <v>3427</v>
      </c>
      <c r="G1646">
        <v>1012</v>
      </c>
      <c r="H1646">
        <v>1</v>
      </c>
      <c r="I1646" t="s">
        <v>98</v>
      </c>
      <c r="J1646">
        <v>0</v>
      </c>
      <c r="K1646">
        <v>1</v>
      </c>
      <c r="L1646">
        <v>5</v>
      </c>
      <c r="M1646">
        <v>195</v>
      </c>
      <c r="N1646">
        <v>376</v>
      </c>
      <c r="O1646">
        <v>7</v>
      </c>
      <c r="P1646">
        <v>376</v>
      </c>
      <c r="Q1646">
        <v>5</v>
      </c>
      <c r="R1646">
        <v>15</v>
      </c>
      <c r="S1646">
        <v>1</v>
      </c>
      <c r="T1646">
        <v>35</v>
      </c>
      <c r="U1646">
        <v>4</v>
      </c>
      <c r="V1646">
        <v>10</v>
      </c>
      <c r="W1646">
        <v>0</v>
      </c>
      <c r="X1646">
        <v>210</v>
      </c>
      <c r="Y1646">
        <v>56</v>
      </c>
      <c r="Z1646">
        <v>5</v>
      </c>
      <c r="AA1646">
        <v>4</v>
      </c>
      <c r="AB1646">
        <v>2</v>
      </c>
      <c r="AC1646">
        <v>0</v>
      </c>
      <c r="AD1646">
        <v>0</v>
      </c>
      <c r="AE1646">
        <v>0</v>
      </c>
      <c r="AF1646">
        <v>0</v>
      </c>
      <c r="AK1646">
        <v>1</v>
      </c>
      <c r="AL1646">
        <v>0</v>
      </c>
      <c r="AM1646">
        <v>0</v>
      </c>
      <c r="AN1646">
        <v>0</v>
      </c>
      <c r="AZ1646">
        <v>3</v>
      </c>
      <c r="BC1646">
        <v>0</v>
      </c>
      <c r="BD1646">
        <v>16</v>
      </c>
      <c r="BE1646">
        <v>376</v>
      </c>
      <c r="BF1646">
        <v>367</v>
      </c>
      <c r="BG1646">
        <v>548</v>
      </c>
      <c r="BJ1646">
        <v>1</v>
      </c>
      <c r="BL1646" t="s">
        <v>3450</v>
      </c>
      <c r="BM1646" s="4">
        <v>43283.167361111111</v>
      </c>
      <c r="BN1646" s="4">
        <v>43283.180995370371</v>
      </c>
      <c r="BO1646" s="4">
        <v>43283.180995370371</v>
      </c>
      <c r="BP1646" t="s">
        <v>92</v>
      </c>
      <c r="BQ1646" t="s">
        <v>93</v>
      </c>
      <c r="BR1646" t="s">
        <v>94</v>
      </c>
    </row>
    <row r="1647" spans="1:70" x14ac:dyDescent="0.3">
      <c r="A1647" t="str">
        <f>"201013B0100"</f>
        <v>201013B0100</v>
      </c>
      <c r="B1647" t="s">
        <v>3451</v>
      </c>
      <c r="C1647">
        <v>20</v>
      </c>
      <c r="D1647" t="s">
        <v>88</v>
      </c>
      <c r="E1647">
        <v>182</v>
      </c>
      <c r="F1647" t="s">
        <v>3427</v>
      </c>
      <c r="G1647">
        <v>1013</v>
      </c>
      <c r="H1647">
        <v>1</v>
      </c>
      <c r="I1647" t="s">
        <v>90</v>
      </c>
      <c r="J1647">
        <v>0</v>
      </c>
      <c r="K1647">
        <v>1</v>
      </c>
      <c r="L1647">
        <v>5</v>
      </c>
      <c r="M1647">
        <v>191</v>
      </c>
      <c r="N1647">
        <v>381</v>
      </c>
      <c r="O1647">
        <v>7</v>
      </c>
      <c r="P1647">
        <v>381</v>
      </c>
      <c r="Q1647">
        <v>5</v>
      </c>
      <c r="R1647">
        <v>24</v>
      </c>
      <c r="S1647">
        <v>1</v>
      </c>
      <c r="T1647">
        <v>26</v>
      </c>
      <c r="U1647">
        <v>10</v>
      </c>
      <c r="V1647">
        <v>10</v>
      </c>
      <c r="W1647">
        <v>1</v>
      </c>
      <c r="X1647">
        <v>178</v>
      </c>
      <c r="Y1647">
        <v>102</v>
      </c>
      <c r="Z1647">
        <v>8</v>
      </c>
      <c r="AA1647">
        <v>1</v>
      </c>
      <c r="AB1647">
        <v>0</v>
      </c>
      <c r="AC1647">
        <v>0</v>
      </c>
      <c r="AD1647">
        <v>0</v>
      </c>
      <c r="AE1647">
        <v>0</v>
      </c>
      <c r="AF1647">
        <v>0</v>
      </c>
      <c r="AK1647">
        <v>4</v>
      </c>
      <c r="AL1647">
        <v>0</v>
      </c>
      <c r="AM1647">
        <v>0</v>
      </c>
      <c r="AN1647">
        <v>0</v>
      </c>
      <c r="AZ1647">
        <v>3</v>
      </c>
      <c r="BC1647">
        <v>1</v>
      </c>
      <c r="BD1647">
        <v>7</v>
      </c>
      <c r="BE1647">
        <v>381</v>
      </c>
      <c r="BF1647">
        <v>381</v>
      </c>
      <c r="BG1647">
        <v>549</v>
      </c>
      <c r="BJ1647">
        <v>1</v>
      </c>
      <c r="BL1647" t="s">
        <v>3452</v>
      </c>
      <c r="BM1647" s="4">
        <v>43283.154861111114</v>
      </c>
      <c r="BN1647" s="4">
        <v>43283.16646990741</v>
      </c>
      <c r="BO1647" s="4">
        <v>43283.16646990741</v>
      </c>
      <c r="BP1647" t="s">
        <v>92</v>
      </c>
      <c r="BQ1647" t="s">
        <v>93</v>
      </c>
      <c r="BR1647" t="s">
        <v>94</v>
      </c>
    </row>
    <row r="1648" spans="1:70" x14ac:dyDescent="0.3">
      <c r="A1648" t="str">
        <f>"201013C0100"</f>
        <v>201013C0100</v>
      </c>
      <c r="B1648" t="s">
        <v>3453</v>
      </c>
      <c r="C1648">
        <v>20</v>
      </c>
      <c r="D1648" t="s">
        <v>88</v>
      </c>
      <c r="E1648">
        <v>182</v>
      </c>
      <c r="F1648" t="s">
        <v>3427</v>
      </c>
      <c r="G1648">
        <v>1013</v>
      </c>
      <c r="H1648">
        <v>1</v>
      </c>
      <c r="I1648" t="s">
        <v>98</v>
      </c>
      <c r="J1648">
        <v>0</v>
      </c>
      <c r="K1648">
        <v>1</v>
      </c>
      <c r="L1648">
        <v>5</v>
      </c>
      <c r="M1648">
        <v>194</v>
      </c>
      <c r="N1648">
        <v>376</v>
      </c>
      <c r="O1648">
        <v>12</v>
      </c>
      <c r="P1648">
        <v>376</v>
      </c>
      <c r="Q1648">
        <v>2</v>
      </c>
      <c r="R1648">
        <v>18</v>
      </c>
      <c r="S1648">
        <v>1</v>
      </c>
      <c r="T1648">
        <v>22</v>
      </c>
      <c r="U1648">
        <v>10</v>
      </c>
      <c r="V1648">
        <v>20</v>
      </c>
      <c r="W1648">
        <v>1</v>
      </c>
      <c r="X1648">
        <v>173</v>
      </c>
      <c r="Y1648">
        <v>106</v>
      </c>
      <c r="Z1648">
        <v>1</v>
      </c>
      <c r="AA1648">
        <v>2</v>
      </c>
      <c r="AB1648">
        <v>0</v>
      </c>
      <c r="AC1648">
        <v>1</v>
      </c>
      <c r="AD1648">
        <v>0</v>
      </c>
      <c r="AE1648">
        <v>0</v>
      </c>
      <c r="AF1648">
        <v>0</v>
      </c>
      <c r="AK1648">
        <v>5</v>
      </c>
      <c r="AL1648">
        <v>0</v>
      </c>
      <c r="AM1648">
        <v>0</v>
      </c>
      <c r="AN1648">
        <v>0</v>
      </c>
      <c r="AZ1648">
        <v>0</v>
      </c>
      <c r="BC1648">
        <v>0</v>
      </c>
      <c r="BD1648">
        <v>16</v>
      </c>
      <c r="BE1648">
        <v>378</v>
      </c>
      <c r="BF1648">
        <v>378</v>
      </c>
      <c r="BG1648">
        <v>549</v>
      </c>
      <c r="BJ1648">
        <v>1</v>
      </c>
      <c r="BL1648" t="s">
        <v>3454</v>
      </c>
      <c r="BM1648" s="4">
        <v>43283.154166666667</v>
      </c>
      <c r="BN1648" s="4">
        <v>43283.180023148147</v>
      </c>
      <c r="BO1648" s="4">
        <v>43283.180023148147</v>
      </c>
      <c r="BP1648" t="s">
        <v>92</v>
      </c>
      <c r="BQ1648" t="s">
        <v>93</v>
      </c>
      <c r="BR1648" t="s">
        <v>94</v>
      </c>
    </row>
    <row r="1649" spans="1:70" x14ac:dyDescent="0.3">
      <c r="A1649" t="str">
        <f>"201014B0100"</f>
        <v>201014B0100</v>
      </c>
      <c r="B1649" t="s">
        <v>3455</v>
      </c>
      <c r="C1649">
        <v>20</v>
      </c>
      <c r="D1649" t="s">
        <v>88</v>
      </c>
      <c r="E1649">
        <v>182</v>
      </c>
      <c r="F1649" t="s">
        <v>3427</v>
      </c>
      <c r="G1649">
        <v>1014</v>
      </c>
      <c r="H1649">
        <v>1</v>
      </c>
      <c r="I1649" t="s">
        <v>90</v>
      </c>
      <c r="J1649">
        <v>0</v>
      </c>
      <c r="K1649">
        <v>1</v>
      </c>
      <c r="L1649">
        <v>5</v>
      </c>
      <c r="M1649">
        <v>100</v>
      </c>
      <c r="N1649">
        <v>477</v>
      </c>
      <c r="O1649">
        <v>4</v>
      </c>
      <c r="P1649" t="s">
        <v>105</v>
      </c>
      <c r="Q1649">
        <v>6</v>
      </c>
      <c r="R1649">
        <v>35</v>
      </c>
      <c r="S1649">
        <v>0</v>
      </c>
      <c r="T1649">
        <v>41</v>
      </c>
      <c r="U1649">
        <v>5</v>
      </c>
      <c r="V1649">
        <v>10</v>
      </c>
      <c r="W1649">
        <v>2</v>
      </c>
      <c r="X1649">
        <v>244</v>
      </c>
      <c r="Y1649">
        <v>99</v>
      </c>
      <c r="Z1649">
        <v>14</v>
      </c>
      <c r="AA1649">
        <v>3</v>
      </c>
      <c r="AB1649" t="s">
        <v>105</v>
      </c>
      <c r="AC1649" t="s">
        <v>105</v>
      </c>
      <c r="AD1649" t="s">
        <v>105</v>
      </c>
      <c r="AE1649" t="s">
        <v>105</v>
      </c>
      <c r="AF1649" t="s">
        <v>105</v>
      </c>
      <c r="AK1649" t="s">
        <v>105</v>
      </c>
      <c r="AL1649">
        <v>3</v>
      </c>
      <c r="AM1649" t="s">
        <v>105</v>
      </c>
      <c r="AN1649">
        <v>1</v>
      </c>
      <c r="AZ1649" t="s">
        <v>105</v>
      </c>
      <c r="BC1649" t="s">
        <v>127</v>
      </c>
      <c r="BD1649">
        <v>12</v>
      </c>
      <c r="BE1649">
        <v>478</v>
      </c>
      <c r="BF1649">
        <v>475</v>
      </c>
      <c r="BG1649">
        <v>653</v>
      </c>
      <c r="BI1649" t="s">
        <v>106</v>
      </c>
      <c r="BJ1649">
        <v>1</v>
      </c>
      <c r="BL1649" t="s">
        <v>3456</v>
      </c>
      <c r="BM1649" s="4">
        <v>43283.15</v>
      </c>
      <c r="BN1649" s="4">
        <v>43283.169571759259</v>
      </c>
      <c r="BO1649" s="4">
        <v>43283.169571759259</v>
      </c>
      <c r="BP1649" t="s">
        <v>92</v>
      </c>
      <c r="BQ1649" t="s">
        <v>93</v>
      </c>
      <c r="BR1649" t="s">
        <v>94</v>
      </c>
    </row>
    <row r="1650" spans="1:70" x14ac:dyDescent="0.3">
      <c r="A1650" t="str">
        <f>"201014C0100"</f>
        <v>201014C0100</v>
      </c>
      <c r="B1650" t="s">
        <v>3457</v>
      </c>
      <c r="C1650">
        <v>20</v>
      </c>
      <c r="D1650" t="s">
        <v>88</v>
      </c>
      <c r="E1650">
        <v>182</v>
      </c>
      <c r="F1650" t="s">
        <v>3427</v>
      </c>
      <c r="G1650">
        <v>1014</v>
      </c>
      <c r="H1650">
        <v>1</v>
      </c>
      <c r="I1650" t="s">
        <v>98</v>
      </c>
      <c r="J1650">
        <v>0</v>
      </c>
      <c r="K1650">
        <v>1</v>
      </c>
      <c r="L1650">
        <v>5</v>
      </c>
      <c r="M1650">
        <v>212</v>
      </c>
      <c r="N1650">
        <v>463</v>
      </c>
      <c r="O1650">
        <v>2</v>
      </c>
      <c r="P1650">
        <v>460</v>
      </c>
      <c r="Q1650">
        <v>6</v>
      </c>
      <c r="R1650">
        <v>48</v>
      </c>
      <c r="S1650">
        <v>2</v>
      </c>
      <c r="T1650">
        <v>33</v>
      </c>
      <c r="U1650">
        <v>9</v>
      </c>
      <c r="V1650">
        <v>10</v>
      </c>
      <c r="W1650">
        <v>2</v>
      </c>
      <c r="X1650">
        <v>231</v>
      </c>
      <c r="Y1650">
        <v>92</v>
      </c>
      <c r="Z1650">
        <v>6</v>
      </c>
      <c r="AA1650">
        <v>2</v>
      </c>
      <c r="AB1650">
        <v>4</v>
      </c>
      <c r="AC1650">
        <v>0</v>
      </c>
      <c r="AD1650">
        <v>0</v>
      </c>
      <c r="AE1650">
        <v>0</v>
      </c>
      <c r="AF1650">
        <v>0</v>
      </c>
      <c r="AK1650">
        <v>0</v>
      </c>
      <c r="AL1650">
        <v>2</v>
      </c>
      <c r="AM1650">
        <v>0</v>
      </c>
      <c r="AN1650">
        <v>0</v>
      </c>
      <c r="AZ1650">
        <v>4</v>
      </c>
      <c r="BC1650">
        <v>0</v>
      </c>
      <c r="BD1650">
        <v>11</v>
      </c>
      <c r="BE1650">
        <v>460</v>
      </c>
      <c r="BF1650">
        <v>462</v>
      </c>
      <c r="BG1650">
        <v>652</v>
      </c>
      <c r="BJ1650">
        <v>1</v>
      </c>
      <c r="BL1650" t="s">
        <v>3458</v>
      </c>
      <c r="BM1650" s="4">
        <v>43283.152083333334</v>
      </c>
      <c r="BN1650" s="4">
        <v>43283.162152777775</v>
      </c>
      <c r="BO1650" s="4">
        <v>43283.162152777775</v>
      </c>
      <c r="BP1650" t="s">
        <v>92</v>
      </c>
      <c r="BQ1650" t="s">
        <v>93</v>
      </c>
      <c r="BR1650" t="s">
        <v>94</v>
      </c>
    </row>
    <row r="1651" spans="1:70" x14ac:dyDescent="0.3">
      <c r="A1651" t="str">
        <f>"201015B0100"</f>
        <v>201015B0100</v>
      </c>
      <c r="B1651" t="s">
        <v>3459</v>
      </c>
      <c r="C1651">
        <v>20</v>
      </c>
      <c r="D1651" t="s">
        <v>88</v>
      </c>
      <c r="E1651">
        <v>182</v>
      </c>
      <c r="F1651" t="s">
        <v>3427</v>
      </c>
      <c r="G1651">
        <v>1015</v>
      </c>
      <c r="H1651">
        <v>1</v>
      </c>
      <c r="I1651" t="s">
        <v>90</v>
      </c>
      <c r="J1651">
        <v>0</v>
      </c>
      <c r="K1651">
        <v>1</v>
      </c>
      <c r="L1651">
        <v>5</v>
      </c>
      <c r="M1651">
        <v>281</v>
      </c>
      <c r="N1651">
        <v>483</v>
      </c>
      <c r="O1651">
        <v>0</v>
      </c>
      <c r="P1651">
        <v>482</v>
      </c>
      <c r="Q1651">
        <v>9</v>
      </c>
      <c r="R1651">
        <v>34</v>
      </c>
      <c r="S1651">
        <v>1</v>
      </c>
      <c r="T1651">
        <v>44</v>
      </c>
      <c r="U1651">
        <v>11</v>
      </c>
      <c r="V1651">
        <v>42</v>
      </c>
      <c r="W1651">
        <v>5</v>
      </c>
      <c r="X1651">
        <v>208</v>
      </c>
      <c r="Y1651">
        <v>85</v>
      </c>
      <c r="Z1651">
        <v>17</v>
      </c>
      <c r="AA1651">
        <v>1</v>
      </c>
      <c r="AB1651">
        <v>3</v>
      </c>
      <c r="AC1651">
        <v>0</v>
      </c>
      <c r="AD1651">
        <v>0</v>
      </c>
      <c r="AE1651">
        <v>1</v>
      </c>
      <c r="AF1651">
        <v>1</v>
      </c>
      <c r="AK1651">
        <v>3</v>
      </c>
      <c r="AL1651">
        <v>0</v>
      </c>
      <c r="AM1651">
        <v>0</v>
      </c>
      <c r="AN1651">
        <v>2</v>
      </c>
      <c r="AZ1651">
        <v>8</v>
      </c>
      <c r="BC1651">
        <v>1</v>
      </c>
      <c r="BD1651">
        <v>7</v>
      </c>
      <c r="BE1651">
        <v>482</v>
      </c>
      <c r="BF1651">
        <v>483</v>
      </c>
      <c r="BG1651">
        <v>741</v>
      </c>
      <c r="BJ1651">
        <v>1</v>
      </c>
      <c r="BL1651" t="s">
        <v>3460</v>
      </c>
      <c r="BM1651" s="4">
        <v>43283.138888888891</v>
      </c>
      <c r="BN1651" s="4">
        <v>43283.145185185182</v>
      </c>
      <c r="BO1651" s="4">
        <v>43283.145185185182</v>
      </c>
      <c r="BP1651" t="s">
        <v>92</v>
      </c>
      <c r="BQ1651" t="s">
        <v>93</v>
      </c>
      <c r="BR1651" t="s">
        <v>94</v>
      </c>
    </row>
    <row r="1652" spans="1:70" x14ac:dyDescent="0.3">
      <c r="A1652" t="str">
        <f>"201015C0100"</f>
        <v>201015C0100</v>
      </c>
      <c r="B1652" t="s">
        <v>3461</v>
      </c>
      <c r="C1652">
        <v>20</v>
      </c>
      <c r="D1652" t="s">
        <v>88</v>
      </c>
      <c r="E1652">
        <v>182</v>
      </c>
      <c r="F1652" t="s">
        <v>3427</v>
      </c>
      <c r="G1652">
        <v>1015</v>
      </c>
      <c r="H1652">
        <v>1</v>
      </c>
      <c r="I1652" t="s">
        <v>98</v>
      </c>
      <c r="J1652">
        <v>0</v>
      </c>
      <c r="K1652">
        <v>1</v>
      </c>
      <c r="L1652">
        <v>5</v>
      </c>
      <c r="M1652">
        <v>268</v>
      </c>
      <c r="N1652">
        <v>496</v>
      </c>
      <c r="O1652">
        <v>4</v>
      </c>
      <c r="P1652">
        <v>496</v>
      </c>
      <c r="Q1652">
        <v>4</v>
      </c>
      <c r="R1652">
        <v>45</v>
      </c>
      <c r="S1652">
        <v>2</v>
      </c>
      <c r="T1652">
        <v>42</v>
      </c>
      <c r="U1652">
        <v>8</v>
      </c>
      <c r="V1652">
        <v>36</v>
      </c>
      <c r="W1652">
        <v>1</v>
      </c>
      <c r="X1652">
        <v>249</v>
      </c>
      <c r="Y1652">
        <v>84</v>
      </c>
      <c r="Z1652">
        <v>11</v>
      </c>
      <c r="AA1652">
        <v>0</v>
      </c>
      <c r="AB1652">
        <v>2</v>
      </c>
      <c r="AC1652">
        <v>0</v>
      </c>
      <c r="AD1652">
        <v>0</v>
      </c>
      <c r="AE1652">
        <v>0</v>
      </c>
      <c r="AF1652">
        <v>0</v>
      </c>
      <c r="AK1652">
        <v>1</v>
      </c>
      <c r="AL1652">
        <v>1</v>
      </c>
      <c r="AM1652">
        <v>0</v>
      </c>
      <c r="AN1652">
        <v>0</v>
      </c>
      <c r="AZ1652">
        <v>2</v>
      </c>
      <c r="BC1652">
        <v>0</v>
      </c>
      <c r="BD1652">
        <v>8</v>
      </c>
      <c r="BE1652">
        <v>496</v>
      </c>
      <c r="BF1652">
        <v>496</v>
      </c>
      <c r="BG1652">
        <v>741</v>
      </c>
      <c r="BJ1652">
        <v>1</v>
      </c>
      <c r="BL1652" t="s">
        <v>3462</v>
      </c>
      <c r="BM1652" s="4">
        <v>43283.14166666667</v>
      </c>
      <c r="BN1652" s="4">
        <v>43283.146562499998</v>
      </c>
      <c r="BO1652" s="4">
        <v>43283.146562499998</v>
      </c>
      <c r="BP1652" t="s">
        <v>92</v>
      </c>
      <c r="BQ1652" t="s">
        <v>93</v>
      </c>
      <c r="BR1652" t="s">
        <v>94</v>
      </c>
    </row>
    <row r="1653" spans="1:70" x14ac:dyDescent="0.3">
      <c r="A1653" t="str">
        <f>"201016B0100"</f>
        <v>201016B0100</v>
      </c>
      <c r="B1653" t="s">
        <v>3463</v>
      </c>
      <c r="C1653">
        <v>20</v>
      </c>
      <c r="D1653" t="s">
        <v>88</v>
      </c>
      <c r="E1653">
        <v>182</v>
      </c>
      <c r="F1653" t="s">
        <v>3427</v>
      </c>
      <c r="G1653">
        <v>1016</v>
      </c>
      <c r="H1653">
        <v>1</v>
      </c>
      <c r="I1653" t="s">
        <v>90</v>
      </c>
      <c r="J1653">
        <v>0</v>
      </c>
      <c r="K1653">
        <v>1</v>
      </c>
      <c r="L1653">
        <v>5</v>
      </c>
      <c r="M1653">
        <v>172</v>
      </c>
      <c r="N1653">
        <v>394</v>
      </c>
      <c r="O1653">
        <v>4</v>
      </c>
      <c r="P1653">
        <v>387</v>
      </c>
      <c r="Q1653">
        <v>4</v>
      </c>
      <c r="R1653">
        <v>18</v>
      </c>
      <c r="S1653">
        <v>0</v>
      </c>
      <c r="T1653">
        <v>39</v>
      </c>
      <c r="U1653">
        <v>9</v>
      </c>
      <c r="V1653">
        <v>4</v>
      </c>
      <c r="W1653">
        <v>0</v>
      </c>
      <c r="X1653">
        <v>188</v>
      </c>
      <c r="Y1653">
        <v>81</v>
      </c>
      <c r="Z1653">
        <v>9</v>
      </c>
      <c r="AA1653">
        <v>0</v>
      </c>
      <c r="AB1653">
        <v>6</v>
      </c>
      <c r="AC1653">
        <v>1</v>
      </c>
      <c r="AD1653">
        <v>0</v>
      </c>
      <c r="AE1653">
        <v>0</v>
      </c>
      <c r="AF1653">
        <v>0</v>
      </c>
      <c r="AK1653">
        <v>4</v>
      </c>
      <c r="AL1653" t="s">
        <v>105</v>
      </c>
      <c r="AM1653">
        <v>0</v>
      </c>
      <c r="AN1653">
        <v>4</v>
      </c>
      <c r="AZ1653">
        <v>3</v>
      </c>
      <c r="BC1653">
        <v>0</v>
      </c>
      <c r="BD1653">
        <v>17</v>
      </c>
      <c r="BE1653">
        <v>387</v>
      </c>
      <c r="BF1653">
        <v>387</v>
      </c>
      <c r="BG1653">
        <v>543</v>
      </c>
      <c r="BI1653" t="s">
        <v>106</v>
      </c>
      <c r="BJ1653">
        <v>1</v>
      </c>
      <c r="BL1653" t="s">
        <v>3464</v>
      </c>
      <c r="BM1653" s="4">
        <v>43283.142361111109</v>
      </c>
      <c r="BN1653" s="4">
        <v>43283.150208333333</v>
      </c>
      <c r="BO1653" s="4">
        <v>43283.150208333333</v>
      </c>
      <c r="BP1653" t="s">
        <v>92</v>
      </c>
      <c r="BQ1653" t="s">
        <v>93</v>
      </c>
      <c r="BR1653" t="s">
        <v>94</v>
      </c>
    </row>
    <row r="1654" spans="1:70" x14ac:dyDescent="0.3">
      <c r="A1654" t="str">
        <f>"201016C0100"</f>
        <v>201016C0100</v>
      </c>
      <c r="B1654" t="s">
        <v>3465</v>
      </c>
      <c r="C1654">
        <v>20</v>
      </c>
      <c r="D1654" t="s">
        <v>88</v>
      </c>
      <c r="E1654">
        <v>182</v>
      </c>
      <c r="F1654" t="s">
        <v>3427</v>
      </c>
      <c r="G1654">
        <v>1016</v>
      </c>
      <c r="H1654">
        <v>1</v>
      </c>
      <c r="I1654" t="s">
        <v>98</v>
      </c>
      <c r="J1654">
        <v>0</v>
      </c>
      <c r="K1654">
        <v>1</v>
      </c>
      <c r="L1654">
        <v>5</v>
      </c>
      <c r="M1654">
        <v>180</v>
      </c>
      <c r="N1654">
        <v>385</v>
      </c>
      <c r="O1654">
        <v>10</v>
      </c>
      <c r="P1654">
        <v>393</v>
      </c>
      <c r="Q1654">
        <v>7</v>
      </c>
      <c r="R1654">
        <v>16</v>
      </c>
      <c r="S1654">
        <v>0</v>
      </c>
      <c r="T1654">
        <v>43</v>
      </c>
      <c r="U1654">
        <v>7</v>
      </c>
      <c r="V1654">
        <v>6</v>
      </c>
      <c r="W1654">
        <v>3</v>
      </c>
      <c r="X1654">
        <v>188</v>
      </c>
      <c r="Y1654">
        <v>97</v>
      </c>
      <c r="Z1654">
        <v>4</v>
      </c>
      <c r="AA1654">
        <v>0</v>
      </c>
      <c r="AB1654">
        <v>1</v>
      </c>
      <c r="AC1654">
        <v>0</v>
      </c>
      <c r="AD1654">
        <v>0</v>
      </c>
      <c r="AE1654">
        <v>0</v>
      </c>
      <c r="AF1654">
        <v>0</v>
      </c>
      <c r="AK1654">
        <v>1</v>
      </c>
      <c r="AL1654">
        <v>2</v>
      </c>
      <c r="AM1654">
        <v>0</v>
      </c>
      <c r="AN1654">
        <v>2</v>
      </c>
      <c r="AZ1654">
        <v>6</v>
      </c>
      <c r="BC1654">
        <v>0</v>
      </c>
      <c r="BD1654">
        <v>10</v>
      </c>
      <c r="BE1654">
        <v>393</v>
      </c>
      <c r="BF1654">
        <v>393</v>
      </c>
      <c r="BG1654">
        <v>542</v>
      </c>
      <c r="BJ1654">
        <v>1</v>
      </c>
      <c r="BL1654" t="s">
        <v>3466</v>
      </c>
      <c r="BM1654" s="4">
        <v>43283.144444444442</v>
      </c>
      <c r="BN1654" s="4">
        <v>43283.152638888889</v>
      </c>
      <c r="BO1654" s="4">
        <v>43283.152638888889</v>
      </c>
      <c r="BP1654" t="s">
        <v>92</v>
      </c>
      <c r="BQ1654" t="s">
        <v>93</v>
      </c>
      <c r="BR1654" t="s">
        <v>94</v>
      </c>
    </row>
    <row r="1655" spans="1:70" x14ac:dyDescent="0.3">
      <c r="A1655" t="str">
        <f>"201017B0100"</f>
        <v>201017B0100</v>
      </c>
      <c r="B1655" t="s">
        <v>3467</v>
      </c>
      <c r="C1655">
        <v>20</v>
      </c>
      <c r="D1655" t="s">
        <v>88</v>
      </c>
      <c r="E1655">
        <v>182</v>
      </c>
      <c r="F1655" t="s">
        <v>3427</v>
      </c>
      <c r="G1655">
        <v>1017</v>
      </c>
      <c r="H1655">
        <v>1</v>
      </c>
      <c r="I1655" t="s">
        <v>90</v>
      </c>
      <c r="J1655">
        <v>0</v>
      </c>
      <c r="K1655">
        <v>1</v>
      </c>
      <c r="L1655">
        <v>5</v>
      </c>
      <c r="M1655">
        <v>249</v>
      </c>
      <c r="N1655">
        <v>470</v>
      </c>
      <c r="O1655">
        <v>7</v>
      </c>
      <c r="P1655">
        <v>461</v>
      </c>
      <c r="Q1655">
        <v>2</v>
      </c>
      <c r="R1655">
        <v>22</v>
      </c>
      <c r="S1655">
        <v>2</v>
      </c>
      <c r="T1655">
        <v>53</v>
      </c>
      <c r="U1655">
        <v>13</v>
      </c>
      <c r="V1655">
        <v>6</v>
      </c>
      <c r="W1655">
        <v>2</v>
      </c>
      <c r="X1655">
        <v>221</v>
      </c>
      <c r="Y1655">
        <v>98</v>
      </c>
      <c r="Z1655">
        <v>7</v>
      </c>
      <c r="AA1655">
        <v>2</v>
      </c>
      <c r="AB1655">
        <v>0</v>
      </c>
      <c r="AC1655">
        <v>0</v>
      </c>
      <c r="AD1655">
        <v>0</v>
      </c>
      <c r="AE1655">
        <v>0</v>
      </c>
      <c r="AF1655">
        <v>0</v>
      </c>
      <c r="AK1655">
        <v>2</v>
      </c>
      <c r="AL1655">
        <v>2</v>
      </c>
      <c r="AM1655">
        <v>0</v>
      </c>
      <c r="AN1655">
        <v>0</v>
      </c>
      <c r="AZ1655">
        <v>12</v>
      </c>
      <c r="BC1655">
        <v>0</v>
      </c>
      <c r="BD1655">
        <v>17</v>
      </c>
      <c r="BE1655">
        <v>461</v>
      </c>
      <c r="BF1655">
        <v>461</v>
      </c>
      <c r="BG1655">
        <v>696</v>
      </c>
      <c r="BJ1655">
        <v>1</v>
      </c>
      <c r="BL1655" t="s">
        <v>3468</v>
      </c>
      <c r="BM1655" s="4">
        <v>43283.13958333333</v>
      </c>
      <c r="BN1655" s="4">
        <v>43283.14340277778</v>
      </c>
      <c r="BO1655" s="4">
        <v>43283.14340277778</v>
      </c>
      <c r="BP1655" t="s">
        <v>92</v>
      </c>
      <c r="BQ1655" t="s">
        <v>93</v>
      </c>
      <c r="BR1655" t="s">
        <v>94</v>
      </c>
    </row>
    <row r="1656" spans="1:70" x14ac:dyDescent="0.3">
      <c r="A1656" t="str">
        <f>"201017C0100"</f>
        <v>201017C0100</v>
      </c>
      <c r="B1656" t="s">
        <v>3469</v>
      </c>
      <c r="C1656">
        <v>20</v>
      </c>
      <c r="D1656" t="s">
        <v>88</v>
      </c>
      <c r="E1656">
        <v>182</v>
      </c>
      <c r="F1656" t="s">
        <v>3427</v>
      </c>
      <c r="G1656">
        <v>1017</v>
      </c>
      <c r="H1656">
        <v>1</v>
      </c>
      <c r="I1656" t="s">
        <v>98</v>
      </c>
      <c r="J1656">
        <v>0</v>
      </c>
      <c r="K1656">
        <v>1</v>
      </c>
      <c r="L1656">
        <v>5</v>
      </c>
      <c r="M1656">
        <v>283</v>
      </c>
      <c r="N1656">
        <v>435</v>
      </c>
      <c r="O1656">
        <v>5</v>
      </c>
      <c r="P1656">
        <v>433</v>
      </c>
      <c r="Q1656">
        <v>7</v>
      </c>
      <c r="R1656" t="s">
        <v>127</v>
      </c>
      <c r="S1656">
        <v>3</v>
      </c>
      <c r="T1656">
        <v>48</v>
      </c>
      <c r="U1656">
        <v>13</v>
      </c>
      <c r="V1656">
        <v>9</v>
      </c>
      <c r="W1656">
        <v>0</v>
      </c>
      <c r="X1656">
        <v>206</v>
      </c>
      <c r="Y1656">
        <v>89</v>
      </c>
      <c r="Z1656">
        <v>3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0</v>
      </c>
      <c r="AK1656">
        <v>3</v>
      </c>
      <c r="AL1656">
        <v>0</v>
      </c>
      <c r="AM1656">
        <v>0</v>
      </c>
      <c r="AN1656">
        <v>2</v>
      </c>
      <c r="AZ1656">
        <v>4</v>
      </c>
      <c r="BC1656">
        <v>0</v>
      </c>
      <c r="BD1656">
        <v>19</v>
      </c>
      <c r="BE1656">
        <v>433</v>
      </c>
      <c r="BF1656">
        <v>406</v>
      </c>
      <c r="BG1656">
        <v>695</v>
      </c>
      <c r="BI1656" t="s">
        <v>106</v>
      </c>
      <c r="BJ1656">
        <v>1</v>
      </c>
      <c r="BL1656" t="s">
        <v>3470</v>
      </c>
      <c r="BM1656" s="4">
        <v>43283.138194444444</v>
      </c>
      <c r="BN1656" s="4">
        <v>43283.158020833333</v>
      </c>
      <c r="BO1656" s="4">
        <v>43283.158020833333</v>
      </c>
      <c r="BP1656" t="s">
        <v>92</v>
      </c>
      <c r="BQ1656" t="s">
        <v>93</v>
      </c>
      <c r="BR1656" t="s">
        <v>94</v>
      </c>
    </row>
    <row r="1657" spans="1:70" x14ac:dyDescent="0.3">
      <c r="A1657" t="str">
        <f>"201018B0100"</f>
        <v>201018B0100</v>
      </c>
      <c r="B1657" t="s">
        <v>3471</v>
      </c>
      <c r="C1657">
        <v>20</v>
      </c>
      <c r="D1657" t="s">
        <v>88</v>
      </c>
      <c r="E1657">
        <v>182</v>
      </c>
      <c r="F1657" t="s">
        <v>3427</v>
      </c>
      <c r="G1657">
        <v>1018</v>
      </c>
      <c r="H1657">
        <v>1</v>
      </c>
      <c r="I1657" t="s">
        <v>90</v>
      </c>
      <c r="J1657">
        <v>0</v>
      </c>
      <c r="K1657">
        <v>2</v>
      </c>
      <c r="L1657">
        <v>5</v>
      </c>
      <c r="M1657">
        <v>223</v>
      </c>
      <c r="N1657">
        <v>402</v>
      </c>
      <c r="O1657">
        <v>4</v>
      </c>
      <c r="P1657">
        <v>402</v>
      </c>
      <c r="Q1657">
        <v>0</v>
      </c>
      <c r="R1657">
        <v>26</v>
      </c>
      <c r="S1657">
        <v>4</v>
      </c>
      <c r="T1657">
        <v>48</v>
      </c>
      <c r="U1657">
        <v>5</v>
      </c>
      <c r="V1657">
        <v>3</v>
      </c>
      <c r="W1657" t="s">
        <v>105</v>
      </c>
      <c r="X1657">
        <v>174</v>
      </c>
      <c r="Y1657">
        <v>111</v>
      </c>
      <c r="Z1657">
        <v>11</v>
      </c>
      <c r="AA1657">
        <v>1</v>
      </c>
      <c r="AB1657">
        <v>1</v>
      </c>
      <c r="AC1657" t="s">
        <v>105</v>
      </c>
      <c r="AD1657" t="s">
        <v>105</v>
      </c>
      <c r="AE1657" t="s">
        <v>105</v>
      </c>
      <c r="AF1657" t="s">
        <v>105</v>
      </c>
      <c r="AK1657" t="s">
        <v>105</v>
      </c>
      <c r="AL1657" t="s">
        <v>105</v>
      </c>
      <c r="AM1657" t="s">
        <v>105</v>
      </c>
      <c r="AN1657" t="s">
        <v>105</v>
      </c>
      <c r="AZ1657" t="s">
        <v>105</v>
      </c>
      <c r="BC1657">
        <v>3</v>
      </c>
      <c r="BD1657">
        <v>15</v>
      </c>
      <c r="BE1657">
        <v>402</v>
      </c>
      <c r="BF1657">
        <v>402</v>
      </c>
      <c r="BG1657">
        <v>603</v>
      </c>
      <c r="BI1657" t="s">
        <v>106</v>
      </c>
      <c r="BJ1657">
        <v>1</v>
      </c>
      <c r="BL1657" t="s">
        <v>3472</v>
      </c>
      <c r="BM1657" s="4">
        <v>43283.238888888889</v>
      </c>
      <c r="BN1657" s="4">
        <v>43283.261747685188</v>
      </c>
      <c r="BO1657" s="4">
        <v>43283.261747685188</v>
      </c>
      <c r="BP1657" t="s">
        <v>92</v>
      </c>
      <c r="BQ1657" t="s">
        <v>93</v>
      </c>
      <c r="BR1657" t="s">
        <v>94</v>
      </c>
    </row>
    <row r="1658" spans="1:70" x14ac:dyDescent="0.3">
      <c r="A1658" t="str">
        <f>"201018C0100"</f>
        <v>201018C0100</v>
      </c>
      <c r="B1658" t="s">
        <v>3473</v>
      </c>
      <c r="C1658">
        <v>20</v>
      </c>
      <c r="D1658" t="s">
        <v>88</v>
      </c>
      <c r="E1658">
        <v>182</v>
      </c>
      <c r="F1658" t="s">
        <v>3427</v>
      </c>
      <c r="G1658">
        <v>1018</v>
      </c>
      <c r="H1658">
        <v>1</v>
      </c>
      <c r="I1658" t="s">
        <v>98</v>
      </c>
      <c r="J1658">
        <v>0</v>
      </c>
      <c r="K1658">
        <v>2</v>
      </c>
      <c r="L1658">
        <v>5</v>
      </c>
      <c r="M1658">
        <v>212</v>
      </c>
      <c r="N1658">
        <v>414</v>
      </c>
      <c r="O1658">
        <v>8</v>
      </c>
      <c r="P1658">
        <v>413</v>
      </c>
      <c r="Q1658">
        <v>5</v>
      </c>
      <c r="R1658">
        <v>17</v>
      </c>
      <c r="S1658">
        <v>1</v>
      </c>
      <c r="T1658">
        <v>47</v>
      </c>
      <c r="U1658">
        <v>14</v>
      </c>
      <c r="V1658">
        <v>5</v>
      </c>
      <c r="W1658">
        <v>1</v>
      </c>
      <c r="X1658">
        <v>181</v>
      </c>
      <c r="Y1658">
        <v>104</v>
      </c>
      <c r="Z1658">
        <v>7</v>
      </c>
      <c r="AA1658">
        <v>1</v>
      </c>
      <c r="AB1658">
        <v>0</v>
      </c>
      <c r="AC1658">
        <v>0</v>
      </c>
      <c r="AD1658">
        <v>0</v>
      </c>
      <c r="AE1658">
        <v>0</v>
      </c>
      <c r="AF1658">
        <v>0</v>
      </c>
      <c r="AK1658">
        <v>4</v>
      </c>
      <c r="AL1658">
        <v>0</v>
      </c>
      <c r="AM1658">
        <v>0</v>
      </c>
      <c r="AN1658">
        <v>0</v>
      </c>
      <c r="AZ1658">
        <v>4</v>
      </c>
      <c r="BC1658">
        <v>0</v>
      </c>
      <c r="BD1658">
        <v>22</v>
      </c>
      <c r="BE1658">
        <v>413</v>
      </c>
      <c r="BF1658">
        <v>413</v>
      </c>
      <c r="BG1658">
        <v>603</v>
      </c>
      <c r="BJ1658">
        <v>1</v>
      </c>
      <c r="BL1658" t="s">
        <v>3474</v>
      </c>
      <c r="BM1658" s="4">
        <v>43283.243055555555</v>
      </c>
      <c r="BN1658" s="4">
        <v>43283.26699074074</v>
      </c>
      <c r="BO1658" s="4">
        <v>43283.26699074074</v>
      </c>
      <c r="BP1658" t="s">
        <v>92</v>
      </c>
      <c r="BQ1658" t="s">
        <v>93</v>
      </c>
      <c r="BR1658" t="s">
        <v>94</v>
      </c>
    </row>
    <row r="1659" spans="1:70" x14ac:dyDescent="0.3">
      <c r="A1659" t="str">
        <f>"201018C0200"</f>
        <v>201018C0200</v>
      </c>
      <c r="B1659" t="s">
        <v>3475</v>
      </c>
      <c r="C1659">
        <v>20</v>
      </c>
      <c r="D1659" t="s">
        <v>88</v>
      </c>
      <c r="E1659">
        <v>182</v>
      </c>
      <c r="F1659" t="s">
        <v>3427</v>
      </c>
      <c r="G1659">
        <v>1018</v>
      </c>
      <c r="H1659">
        <v>2</v>
      </c>
      <c r="I1659" t="s">
        <v>98</v>
      </c>
      <c r="J1659">
        <v>0</v>
      </c>
      <c r="K1659">
        <v>2</v>
      </c>
      <c r="L1659">
        <v>5</v>
      </c>
      <c r="M1659">
        <v>220</v>
      </c>
      <c r="N1659" t="s">
        <v>127</v>
      </c>
      <c r="O1659">
        <v>0</v>
      </c>
      <c r="P1659" t="s">
        <v>127</v>
      </c>
      <c r="Q1659">
        <v>1</v>
      </c>
      <c r="R1659">
        <v>14</v>
      </c>
      <c r="S1659">
        <v>3</v>
      </c>
      <c r="T1659">
        <v>50</v>
      </c>
      <c r="U1659">
        <v>10</v>
      </c>
      <c r="V1659">
        <v>6</v>
      </c>
      <c r="W1659" t="s">
        <v>105</v>
      </c>
      <c r="X1659">
        <v>162</v>
      </c>
      <c r="Y1659">
        <v>114</v>
      </c>
      <c r="Z1659">
        <v>7</v>
      </c>
      <c r="AA1659" t="s">
        <v>105</v>
      </c>
      <c r="AB1659" t="s">
        <v>105</v>
      </c>
      <c r="AC1659" t="s">
        <v>105</v>
      </c>
      <c r="AD1659" t="s">
        <v>105</v>
      </c>
      <c r="AE1659" t="s">
        <v>105</v>
      </c>
      <c r="AF1659" t="s">
        <v>105</v>
      </c>
      <c r="AK1659">
        <v>7</v>
      </c>
      <c r="AL1659" t="s">
        <v>105</v>
      </c>
      <c r="AM1659" t="s">
        <v>105</v>
      </c>
      <c r="AN1659" t="s">
        <v>105</v>
      </c>
      <c r="AZ1659">
        <v>4</v>
      </c>
      <c r="BC1659" t="s">
        <v>105</v>
      </c>
      <c r="BD1659">
        <v>27</v>
      </c>
      <c r="BE1659">
        <v>406</v>
      </c>
      <c r="BF1659">
        <v>405</v>
      </c>
      <c r="BG1659">
        <v>602</v>
      </c>
      <c r="BI1659" t="s">
        <v>106</v>
      </c>
      <c r="BJ1659">
        <v>1</v>
      </c>
      <c r="BL1659" t="s">
        <v>3476</v>
      </c>
      <c r="BM1659" s="4">
        <v>43283.238888888889</v>
      </c>
      <c r="BN1659" s="4">
        <v>43283.261284722219</v>
      </c>
      <c r="BO1659" s="4">
        <v>43283.261284722219</v>
      </c>
      <c r="BP1659" t="s">
        <v>92</v>
      </c>
      <c r="BQ1659" t="s">
        <v>93</v>
      </c>
      <c r="BR1659" t="s">
        <v>94</v>
      </c>
    </row>
    <row r="1660" spans="1:70" x14ac:dyDescent="0.3">
      <c r="A1660" t="str">
        <f>"201018C0300"</f>
        <v>201018C0300</v>
      </c>
      <c r="B1660" t="s">
        <v>3477</v>
      </c>
      <c r="C1660">
        <v>20</v>
      </c>
      <c r="D1660" t="s">
        <v>88</v>
      </c>
      <c r="E1660">
        <v>182</v>
      </c>
      <c r="F1660" t="s">
        <v>3427</v>
      </c>
      <c r="G1660">
        <v>1018</v>
      </c>
      <c r="H1660">
        <v>3</v>
      </c>
      <c r="I1660" t="s">
        <v>98</v>
      </c>
      <c r="J1660">
        <v>0</v>
      </c>
      <c r="K1660">
        <v>2</v>
      </c>
      <c r="L1660">
        <v>5</v>
      </c>
      <c r="M1660">
        <v>210</v>
      </c>
      <c r="N1660">
        <v>415</v>
      </c>
      <c r="O1660">
        <v>3</v>
      </c>
      <c r="P1660" t="s">
        <v>105</v>
      </c>
      <c r="Q1660">
        <v>2</v>
      </c>
      <c r="R1660">
        <v>16</v>
      </c>
      <c r="S1660">
        <v>5</v>
      </c>
      <c r="T1660">
        <v>49</v>
      </c>
      <c r="U1660">
        <v>10</v>
      </c>
      <c r="V1660">
        <v>10</v>
      </c>
      <c r="W1660">
        <v>0</v>
      </c>
      <c r="X1660">
        <v>197</v>
      </c>
      <c r="Y1660">
        <v>103</v>
      </c>
      <c r="Z1660">
        <v>10</v>
      </c>
      <c r="AA1660">
        <v>3</v>
      </c>
      <c r="AB1660">
        <v>0</v>
      </c>
      <c r="AC1660">
        <v>1</v>
      </c>
      <c r="AD1660">
        <v>0</v>
      </c>
      <c r="AE1660">
        <v>0</v>
      </c>
      <c r="AF1660">
        <v>0</v>
      </c>
      <c r="AK1660">
        <v>7</v>
      </c>
      <c r="AL1660">
        <v>0</v>
      </c>
      <c r="AM1660">
        <v>0</v>
      </c>
      <c r="AN1660">
        <v>0</v>
      </c>
      <c r="AZ1660">
        <v>2</v>
      </c>
      <c r="BC1660">
        <v>0</v>
      </c>
      <c r="BD1660">
        <v>0</v>
      </c>
      <c r="BE1660">
        <v>415</v>
      </c>
      <c r="BF1660">
        <v>415</v>
      </c>
      <c r="BG1660">
        <v>602</v>
      </c>
      <c r="BJ1660">
        <v>1</v>
      </c>
      <c r="BL1660" t="s">
        <v>3478</v>
      </c>
      <c r="BM1660" s="4">
        <v>43283.244444444441</v>
      </c>
      <c r="BN1660" s="4">
        <v>43283.269571759258</v>
      </c>
      <c r="BO1660" s="4">
        <v>43283.269571759258</v>
      </c>
      <c r="BP1660" t="s">
        <v>92</v>
      </c>
      <c r="BQ1660" t="s">
        <v>93</v>
      </c>
      <c r="BR1660" t="s">
        <v>94</v>
      </c>
    </row>
    <row r="1661" spans="1:70" x14ac:dyDescent="0.3">
      <c r="A1661" t="str">
        <f>"201018C0400"</f>
        <v>201018C0400</v>
      </c>
      <c r="B1661" t="s">
        <v>3479</v>
      </c>
      <c r="C1661">
        <v>20</v>
      </c>
      <c r="D1661" t="s">
        <v>88</v>
      </c>
      <c r="E1661">
        <v>182</v>
      </c>
      <c r="F1661" t="s">
        <v>3427</v>
      </c>
      <c r="G1661">
        <v>1018</v>
      </c>
      <c r="H1661">
        <v>4</v>
      </c>
      <c r="I1661" t="s">
        <v>98</v>
      </c>
      <c r="J1661">
        <v>0</v>
      </c>
      <c r="K1661">
        <v>2</v>
      </c>
      <c r="L1661">
        <v>5</v>
      </c>
      <c r="M1661" t="s">
        <v>105</v>
      </c>
      <c r="N1661" t="s">
        <v>105</v>
      </c>
      <c r="O1661" t="s">
        <v>105</v>
      </c>
      <c r="P1661" t="s">
        <v>105</v>
      </c>
      <c r="Q1661">
        <v>4</v>
      </c>
      <c r="R1661">
        <v>22</v>
      </c>
      <c r="S1661">
        <v>1</v>
      </c>
      <c r="T1661">
        <v>41</v>
      </c>
      <c r="U1661">
        <v>10</v>
      </c>
      <c r="V1661">
        <v>7</v>
      </c>
      <c r="W1661">
        <v>0</v>
      </c>
      <c r="X1661">
        <v>156</v>
      </c>
      <c r="Y1661">
        <v>108</v>
      </c>
      <c r="Z1661">
        <v>3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  <c r="AK1661">
        <v>7</v>
      </c>
      <c r="AL1661">
        <v>1</v>
      </c>
      <c r="AM1661">
        <v>0</v>
      </c>
      <c r="AN1661">
        <v>1</v>
      </c>
      <c r="AZ1661">
        <v>2</v>
      </c>
      <c r="BC1661">
        <v>0</v>
      </c>
      <c r="BD1661">
        <v>17</v>
      </c>
      <c r="BE1661">
        <v>380</v>
      </c>
      <c r="BF1661">
        <v>380</v>
      </c>
      <c r="BG1661">
        <v>602</v>
      </c>
      <c r="BJ1661">
        <v>1</v>
      </c>
      <c r="BL1661" t="s">
        <v>3480</v>
      </c>
      <c r="BM1661" s="4">
        <v>43283.240277777775</v>
      </c>
      <c r="BN1661" s="4">
        <v>43283.263958333337</v>
      </c>
      <c r="BO1661" s="4">
        <v>43283.263958333337</v>
      </c>
      <c r="BP1661" t="s">
        <v>92</v>
      </c>
      <c r="BQ1661" t="s">
        <v>93</v>
      </c>
      <c r="BR1661" t="s">
        <v>94</v>
      </c>
    </row>
    <row r="1662" spans="1:70" x14ac:dyDescent="0.3">
      <c r="A1662" t="str">
        <f>"201018E0100"</f>
        <v>201018E0100</v>
      </c>
      <c r="B1662" s="2" t="s">
        <v>3481</v>
      </c>
      <c r="C1662">
        <v>20</v>
      </c>
      <c r="D1662" t="s">
        <v>88</v>
      </c>
      <c r="E1662">
        <v>182</v>
      </c>
      <c r="F1662" t="s">
        <v>3427</v>
      </c>
      <c r="G1662">
        <v>1018</v>
      </c>
      <c r="H1662">
        <v>1</v>
      </c>
      <c r="I1662" t="s">
        <v>156</v>
      </c>
      <c r="J1662">
        <v>0</v>
      </c>
      <c r="K1662">
        <v>2</v>
      </c>
      <c r="L1662">
        <v>5</v>
      </c>
      <c r="M1662">
        <v>214</v>
      </c>
      <c r="N1662">
        <v>507</v>
      </c>
      <c r="O1662" t="s">
        <v>105</v>
      </c>
      <c r="P1662">
        <v>507</v>
      </c>
      <c r="Q1662">
        <v>5</v>
      </c>
      <c r="R1662">
        <v>14</v>
      </c>
      <c r="S1662">
        <v>3</v>
      </c>
      <c r="T1662">
        <v>95</v>
      </c>
      <c r="U1662">
        <v>13</v>
      </c>
      <c r="V1662">
        <v>1</v>
      </c>
      <c r="W1662">
        <v>1</v>
      </c>
      <c r="X1662">
        <v>227</v>
      </c>
      <c r="Y1662">
        <v>122</v>
      </c>
      <c r="Z1662">
        <v>6</v>
      </c>
      <c r="AA1662" t="s">
        <v>105</v>
      </c>
      <c r="AB1662" t="s">
        <v>105</v>
      </c>
      <c r="AC1662" t="s">
        <v>105</v>
      </c>
      <c r="AD1662" t="s">
        <v>105</v>
      </c>
      <c r="AE1662">
        <v>2</v>
      </c>
      <c r="AF1662" t="s">
        <v>105</v>
      </c>
      <c r="AK1662">
        <v>1</v>
      </c>
      <c r="AL1662">
        <v>1</v>
      </c>
      <c r="AM1662">
        <v>1</v>
      </c>
      <c r="AN1662" t="s">
        <v>105</v>
      </c>
      <c r="AZ1662">
        <v>4</v>
      </c>
      <c r="BC1662" t="s">
        <v>105</v>
      </c>
      <c r="BD1662">
        <v>11</v>
      </c>
      <c r="BE1662" t="s">
        <v>105</v>
      </c>
      <c r="BF1662">
        <v>507</v>
      </c>
      <c r="BG1662">
        <v>698</v>
      </c>
      <c r="BI1662" t="s">
        <v>106</v>
      </c>
      <c r="BJ1662">
        <v>1</v>
      </c>
      <c r="BL1662" t="s">
        <v>3482</v>
      </c>
      <c r="BM1662" s="4">
        <v>43283.159722222219</v>
      </c>
      <c r="BN1662" s="4">
        <v>43283.175486111111</v>
      </c>
      <c r="BO1662" s="4">
        <v>43283.175486111111</v>
      </c>
      <c r="BP1662" t="s">
        <v>92</v>
      </c>
      <c r="BQ1662" t="s">
        <v>93</v>
      </c>
      <c r="BR1662" t="s">
        <v>94</v>
      </c>
    </row>
    <row r="1663" spans="1:70" x14ac:dyDescent="0.3">
      <c r="A1663" t="str">
        <f>"201019B0100"</f>
        <v>201019B0100</v>
      </c>
      <c r="B1663" t="s">
        <v>3483</v>
      </c>
      <c r="C1663">
        <v>20</v>
      </c>
      <c r="D1663" t="s">
        <v>88</v>
      </c>
      <c r="E1663">
        <v>182</v>
      </c>
      <c r="F1663" t="s">
        <v>3427</v>
      </c>
      <c r="G1663">
        <v>1019</v>
      </c>
      <c r="H1663">
        <v>1</v>
      </c>
      <c r="I1663" t="s">
        <v>90</v>
      </c>
      <c r="J1663">
        <v>0</v>
      </c>
      <c r="K1663">
        <v>1</v>
      </c>
      <c r="L1663">
        <v>5</v>
      </c>
      <c r="M1663">
        <v>205</v>
      </c>
      <c r="N1663">
        <v>396</v>
      </c>
      <c r="O1663">
        <v>1</v>
      </c>
      <c r="P1663">
        <v>395</v>
      </c>
      <c r="Q1663">
        <v>3</v>
      </c>
      <c r="R1663">
        <v>13</v>
      </c>
      <c r="S1663">
        <v>0</v>
      </c>
      <c r="T1663">
        <v>19</v>
      </c>
      <c r="U1663">
        <v>8</v>
      </c>
      <c r="V1663">
        <v>6</v>
      </c>
      <c r="W1663">
        <v>2</v>
      </c>
      <c r="X1663">
        <v>200</v>
      </c>
      <c r="Y1663">
        <v>112</v>
      </c>
      <c r="Z1663">
        <v>6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0</v>
      </c>
      <c r="AK1663">
        <v>2</v>
      </c>
      <c r="AL1663">
        <v>0</v>
      </c>
      <c r="AM1663">
        <v>0</v>
      </c>
      <c r="AN1663">
        <v>1</v>
      </c>
      <c r="AZ1663">
        <v>10</v>
      </c>
      <c r="BC1663">
        <v>0</v>
      </c>
      <c r="BD1663">
        <v>13</v>
      </c>
      <c r="BE1663">
        <v>395</v>
      </c>
      <c r="BF1663">
        <v>395</v>
      </c>
      <c r="BG1663">
        <v>579</v>
      </c>
      <c r="BJ1663">
        <v>1</v>
      </c>
      <c r="BL1663" t="s">
        <v>3484</v>
      </c>
      <c r="BM1663" s="4">
        <v>43283.150694444441</v>
      </c>
      <c r="BN1663" s="4">
        <v>43283.159722222219</v>
      </c>
      <c r="BO1663" s="4">
        <v>43283.159722222219</v>
      </c>
      <c r="BP1663" t="s">
        <v>92</v>
      </c>
      <c r="BQ1663" t="s">
        <v>93</v>
      </c>
      <c r="BR1663" t="s">
        <v>94</v>
      </c>
    </row>
    <row r="1664" spans="1:70" x14ac:dyDescent="0.3">
      <c r="A1664" t="str">
        <f>"201019C0100"</f>
        <v>201019C0100</v>
      </c>
      <c r="B1664" t="s">
        <v>3485</v>
      </c>
      <c r="C1664">
        <v>20</v>
      </c>
      <c r="D1664" t="s">
        <v>88</v>
      </c>
      <c r="E1664">
        <v>182</v>
      </c>
      <c r="F1664" t="s">
        <v>3427</v>
      </c>
      <c r="G1664">
        <v>1019</v>
      </c>
      <c r="H1664">
        <v>1</v>
      </c>
      <c r="I1664" t="s">
        <v>98</v>
      </c>
      <c r="J1664">
        <v>0</v>
      </c>
      <c r="K1664">
        <v>1</v>
      </c>
      <c r="L1664">
        <v>5</v>
      </c>
      <c r="M1664">
        <v>198</v>
      </c>
      <c r="N1664">
        <v>397</v>
      </c>
      <c r="O1664">
        <v>5</v>
      </c>
      <c r="P1664">
        <v>403</v>
      </c>
      <c r="Q1664">
        <v>6</v>
      </c>
      <c r="R1664">
        <v>12</v>
      </c>
      <c r="S1664">
        <v>3</v>
      </c>
      <c r="T1664">
        <v>29</v>
      </c>
      <c r="U1664">
        <v>8</v>
      </c>
      <c r="V1664">
        <v>3</v>
      </c>
      <c r="W1664">
        <v>2</v>
      </c>
      <c r="X1664">
        <v>205</v>
      </c>
      <c r="Y1664">
        <v>103</v>
      </c>
      <c r="Z1664">
        <v>2</v>
      </c>
      <c r="AA1664">
        <v>3</v>
      </c>
      <c r="AB1664">
        <v>0</v>
      </c>
      <c r="AC1664">
        <v>0</v>
      </c>
      <c r="AD1664">
        <v>0</v>
      </c>
      <c r="AE1664">
        <v>0</v>
      </c>
      <c r="AF1664">
        <v>0</v>
      </c>
      <c r="AK1664">
        <v>0</v>
      </c>
      <c r="AL1664">
        <v>2</v>
      </c>
      <c r="AM1664">
        <v>0</v>
      </c>
      <c r="AN1664">
        <v>1</v>
      </c>
      <c r="AZ1664">
        <v>12</v>
      </c>
      <c r="BC1664">
        <v>0</v>
      </c>
      <c r="BD1664">
        <v>12</v>
      </c>
      <c r="BE1664">
        <v>403</v>
      </c>
      <c r="BF1664">
        <v>403</v>
      </c>
      <c r="BG1664">
        <v>579</v>
      </c>
      <c r="BJ1664">
        <v>1</v>
      </c>
      <c r="BL1664" t="s">
        <v>3486</v>
      </c>
      <c r="BM1664" s="4">
        <v>43283.151388888888</v>
      </c>
      <c r="BN1664" s="4">
        <v>43283.161782407406</v>
      </c>
      <c r="BO1664" s="4">
        <v>43283.161782407406</v>
      </c>
      <c r="BP1664" t="s">
        <v>92</v>
      </c>
      <c r="BQ1664" t="s">
        <v>93</v>
      </c>
      <c r="BR1664" t="s">
        <v>94</v>
      </c>
    </row>
    <row r="1665" spans="1:70" x14ac:dyDescent="0.3">
      <c r="A1665" t="str">
        <f>"201019C0200"</f>
        <v>201019C0200</v>
      </c>
      <c r="B1665" t="s">
        <v>3487</v>
      </c>
      <c r="C1665">
        <v>20</v>
      </c>
      <c r="D1665" t="s">
        <v>88</v>
      </c>
      <c r="E1665">
        <v>182</v>
      </c>
      <c r="F1665" t="s">
        <v>3427</v>
      </c>
      <c r="G1665">
        <v>1019</v>
      </c>
      <c r="H1665">
        <v>2</v>
      </c>
      <c r="I1665" t="s">
        <v>98</v>
      </c>
      <c r="J1665">
        <v>0</v>
      </c>
      <c r="K1665">
        <v>1</v>
      </c>
      <c r="L1665">
        <v>5</v>
      </c>
      <c r="M1665">
        <v>213</v>
      </c>
      <c r="N1665">
        <v>389</v>
      </c>
      <c r="O1665">
        <v>0</v>
      </c>
      <c r="P1665" t="s">
        <v>105</v>
      </c>
      <c r="Q1665">
        <v>4</v>
      </c>
      <c r="R1665">
        <v>15</v>
      </c>
      <c r="S1665">
        <v>3</v>
      </c>
      <c r="T1665">
        <v>25</v>
      </c>
      <c r="U1665">
        <v>6</v>
      </c>
      <c r="V1665">
        <v>7</v>
      </c>
      <c r="W1665">
        <v>2</v>
      </c>
      <c r="X1665">
        <v>201</v>
      </c>
      <c r="Y1665">
        <v>89</v>
      </c>
      <c r="Z1665">
        <v>4</v>
      </c>
      <c r="AA1665">
        <v>0</v>
      </c>
      <c r="AB1665">
        <v>2</v>
      </c>
      <c r="AC1665" t="s">
        <v>105</v>
      </c>
      <c r="AD1665" t="s">
        <v>105</v>
      </c>
      <c r="AE1665" t="s">
        <v>105</v>
      </c>
      <c r="AF1665" t="s">
        <v>105</v>
      </c>
      <c r="AK1665" t="s">
        <v>105</v>
      </c>
      <c r="AL1665">
        <v>1</v>
      </c>
      <c r="AM1665" t="s">
        <v>105</v>
      </c>
      <c r="AN1665" t="s">
        <v>105</v>
      </c>
      <c r="AZ1665">
        <v>14</v>
      </c>
      <c r="BC1665" t="s">
        <v>105</v>
      </c>
      <c r="BD1665">
        <v>16</v>
      </c>
      <c r="BE1665">
        <v>389</v>
      </c>
      <c r="BF1665">
        <v>389</v>
      </c>
      <c r="BG1665">
        <v>578</v>
      </c>
      <c r="BI1665" t="s">
        <v>106</v>
      </c>
      <c r="BJ1665">
        <v>1</v>
      </c>
      <c r="BL1665" t="s">
        <v>3488</v>
      </c>
      <c r="BM1665" s="4">
        <v>43283.152083333334</v>
      </c>
      <c r="BN1665" s="4">
        <v>43283.16846064815</v>
      </c>
      <c r="BO1665" s="4">
        <v>43283.16846064815</v>
      </c>
      <c r="BP1665" t="s">
        <v>92</v>
      </c>
      <c r="BQ1665" t="s">
        <v>93</v>
      </c>
      <c r="BR1665" t="s">
        <v>94</v>
      </c>
    </row>
    <row r="1666" spans="1:70" x14ac:dyDescent="0.3">
      <c r="A1666" t="str">
        <f>"201020B0100"</f>
        <v>201020B0100</v>
      </c>
      <c r="B1666" t="s">
        <v>3489</v>
      </c>
      <c r="C1666">
        <v>20</v>
      </c>
      <c r="D1666" t="s">
        <v>88</v>
      </c>
      <c r="E1666">
        <v>182</v>
      </c>
      <c r="F1666" t="s">
        <v>3427</v>
      </c>
      <c r="G1666">
        <v>1020</v>
      </c>
      <c r="H1666">
        <v>1</v>
      </c>
      <c r="I1666" t="s">
        <v>90</v>
      </c>
      <c r="J1666">
        <v>0</v>
      </c>
      <c r="K1666">
        <v>1</v>
      </c>
      <c r="L1666">
        <v>5</v>
      </c>
      <c r="M1666">
        <v>216</v>
      </c>
      <c r="N1666">
        <v>404</v>
      </c>
      <c r="O1666">
        <v>7</v>
      </c>
      <c r="P1666" t="s">
        <v>105</v>
      </c>
      <c r="Q1666">
        <v>8</v>
      </c>
      <c r="R1666">
        <v>15</v>
      </c>
      <c r="S1666">
        <v>1</v>
      </c>
      <c r="T1666">
        <v>48</v>
      </c>
      <c r="U1666">
        <v>11</v>
      </c>
      <c r="V1666">
        <v>4</v>
      </c>
      <c r="W1666">
        <v>6</v>
      </c>
      <c r="X1666">
        <v>166</v>
      </c>
      <c r="Y1666">
        <v>111</v>
      </c>
      <c r="Z1666">
        <v>6</v>
      </c>
      <c r="AA1666">
        <v>1</v>
      </c>
      <c r="AB1666">
        <v>1</v>
      </c>
      <c r="AC1666">
        <v>0</v>
      </c>
      <c r="AD1666">
        <v>0</v>
      </c>
      <c r="AE1666">
        <v>0</v>
      </c>
      <c r="AF1666">
        <v>0</v>
      </c>
      <c r="AK1666">
        <v>3</v>
      </c>
      <c r="AL1666">
        <v>0</v>
      </c>
      <c r="AM1666">
        <v>0</v>
      </c>
      <c r="AN1666">
        <v>0</v>
      </c>
      <c r="AZ1666">
        <v>8</v>
      </c>
      <c r="BC1666" t="s">
        <v>105</v>
      </c>
      <c r="BD1666">
        <v>11</v>
      </c>
      <c r="BE1666">
        <v>400</v>
      </c>
      <c r="BF1666">
        <v>400</v>
      </c>
      <c r="BG1666">
        <v>598</v>
      </c>
      <c r="BI1666" t="s">
        <v>106</v>
      </c>
      <c r="BJ1666">
        <v>1</v>
      </c>
      <c r="BL1666" t="s">
        <v>3490</v>
      </c>
      <c r="BM1666" s="4">
        <v>43283.236805555556</v>
      </c>
      <c r="BN1666" s="4">
        <v>43283.260625000003</v>
      </c>
      <c r="BO1666" s="4">
        <v>43283.260625000003</v>
      </c>
      <c r="BP1666" t="s">
        <v>92</v>
      </c>
      <c r="BQ1666" t="s">
        <v>93</v>
      </c>
      <c r="BR1666" t="s">
        <v>94</v>
      </c>
    </row>
    <row r="1667" spans="1:70" x14ac:dyDescent="0.3">
      <c r="A1667" t="str">
        <f>"201020C0100"</f>
        <v>201020C0100</v>
      </c>
      <c r="B1667" t="s">
        <v>3491</v>
      </c>
      <c r="C1667">
        <v>20</v>
      </c>
      <c r="D1667" t="s">
        <v>88</v>
      </c>
      <c r="E1667">
        <v>182</v>
      </c>
      <c r="F1667" t="s">
        <v>3427</v>
      </c>
      <c r="G1667">
        <v>1020</v>
      </c>
      <c r="H1667">
        <v>1</v>
      </c>
      <c r="I1667" t="s">
        <v>98</v>
      </c>
      <c r="J1667">
        <v>0</v>
      </c>
      <c r="K1667">
        <v>1</v>
      </c>
      <c r="L1667">
        <v>5</v>
      </c>
      <c r="M1667">
        <v>227</v>
      </c>
      <c r="N1667">
        <v>404</v>
      </c>
      <c r="O1667">
        <v>8</v>
      </c>
      <c r="P1667">
        <v>404</v>
      </c>
      <c r="Q1667">
        <v>16</v>
      </c>
      <c r="R1667">
        <v>20</v>
      </c>
      <c r="S1667">
        <v>2</v>
      </c>
      <c r="T1667">
        <v>29</v>
      </c>
      <c r="U1667">
        <v>8</v>
      </c>
      <c r="V1667">
        <v>9</v>
      </c>
      <c r="W1667">
        <v>3</v>
      </c>
      <c r="X1667">
        <v>194</v>
      </c>
      <c r="Y1667">
        <v>95</v>
      </c>
      <c r="Z1667">
        <v>3</v>
      </c>
      <c r="AA1667">
        <v>1</v>
      </c>
      <c r="AB1667">
        <v>2</v>
      </c>
      <c r="AC1667">
        <v>2</v>
      </c>
      <c r="AD1667">
        <v>0</v>
      </c>
      <c r="AE1667">
        <v>0</v>
      </c>
      <c r="AF1667">
        <v>0</v>
      </c>
      <c r="AK1667">
        <v>3</v>
      </c>
      <c r="AL1667">
        <v>0</v>
      </c>
      <c r="AM1667">
        <v>0</v>
      </c>
      <c r="AN1667">
        <v>2</v>
      </c>
      <c r="AZ1667">
        <v>9</v>
      </c>
      <c r="BC1667">
        <v>0</v>
      </c>
      <c r="BD1667">
        <v>6</v>
      </c>
      <c r="BE1667">
        <v>404</v>
      </c>
      <c r="BF1667">
        <v>404</v>
      </c>
      <c r="BG1667">
        <v>598</v>
      </c>
      <c r="BJ1667">
        <v>1</v>
      </c>
      <c r="BL1667" t="s">
        <v>3492</v>
      </c>
      <c r="BM1667" s="4">
        <v>43283.239583333336</v>
      </c>
      <c r="BN1667" s="4">
        <v>43283.275254629632</v>
      </c>
      <c r="BO1667" s="4">
        <v>43283.275254629632</v>
      </c>
      <c r="BP1667" t="s">
        <v>92</v>
      </c>
      <c r="BQ1667" t="s">
        <v>93</v>
      </c>
      <c r="BR1667" t="s">
        <v>94</v>
      </c>
    </row>
    <row r="1668" spans="1:70" x14ac:dyDescent="0.3">
      <c r="A1668" t="str">
        <f>"201020C0200"</f>
        <v>201020C0200</v>
      </c>
      <c r="B1668" t="s">
        <v>3493</v>
      </c>
      <c r="C1668">
        <v>20</v>
      </c>
      <c r="D1668" t="s">
        <v>88</v>
      </c>
      <c r="E1668">
        <v>182</v>
      </c>
      <c r="F1668" t="s">
        <v>3427</v>
      </c>
      <c r="G1668">
        <v>1020</v>
      </c>
      <c r="H1668">
        <v>2</v>
      </c>
      <c r="I1668" t="s">
        <v>98</v>
      </c>
      <c r="J1668">
        <v>0</v>
      </c>
      <c r="K1668">
        <v>1</v>
      </c>
      <c r="L1668">
        <v>5</v>
      </c>
      <c r="M1668">
        <v>263</v>
      </c>
      <c r="N1668">
        <v>379</v>
      </c>
      <c r="O1668">
        <v>13</v>
      </c>
      <c r="P1668">
        <v>384</v>
      </c>
      <c r="Q1668">
        <v>6</v>
      </c>
      <c r="R1668">
        <v>22</v>
      </c>
      <c r="S1668">
        <v>0</v>
      </c>
      <c r="T1668">
        <v>48</v>
      </c>
      <c r="U1668">
        <v>17</v>
      </c>
      <c r="V1668">
        <v>6</v>
      </c>
      <c r="W1668">
        <v>3</v>
      </c>
      <c r="X1668">
        <v>177</v>
      </c>
      <c r="Y1668">
        <v>77</v>
      </c>
      <c r="Z1668">
        <v>5</v>
      </c>
      <c r="AA1668">
        <v>2</v>
      </c>
      <c r="AB1668">
        <v>1</v>
      </c>
      <c r="AC1668">
        <v>0</v>
      </c>
      <c r="AD1668">
        <v>0</v>
      </c>
      <c r="AE1668">
        <v>0</v>
      </c>
      <c r="AF1668">
        <v>0</v>
      </c>
      <c r="AK1668">
        <v>2</v>
      </c>
      <c r="AL1668">
        <v>0</v>
      </c>
      <c r="AM1668">
        <v>0</v>
      </c>
      <c r="AN1668">
        <v>1</v>
      </c>
      <c r="AZ1668">
        <v>10</v>
      </c>
      <c r="BC1668">
        <v>0</v>
      </c>
      <c r="BD1668">
        <v>7</v>
      </c>
      <c r="BE1668">
        <v>384</v>
      </c>
      <c r="BF1668">
        <v>384</v>
      </c>
      <c r="BG1668">
        <v>598</v>
      </c>
      <c r="BJ1668">
        <v>1</v>
      </c>
      <c r="BL1668" t="s">
        <v>3494</v>
      </c>
      <c r="BM1668" s="4">
        <v>43283.241666666669</v>
      </c>
      <c r="BN1668" s="4">
        <v>43283.264907407407</v>
      </c>
      <c r="BO1668" s="4">
        <v>43283.264907407407</v>
      </c>
      <c r="BP1668" t="s">
        <v>92</v>
      </c>
      <c r="BQ1668" t="s">
        <v>93</v>
      </c>
      <c r="BR1668" t="s">
        <v>94</v>
      </c>
    </row>
    <row r="1669" spans="1:70" x14ac:dyDescent="0.3">
      <c r="A1669" t="str">
        <f>"201021B0100"</f>
        <v>201021B0100</v>
      </c>
      <c r="B1669" t="s">
        <v>3495</v>
      </c>
      <c r="C1669">
        <v>20</v>
      </c>
      <c r="D1669" t="s">
        <v>88</v>
      </c>
      <c r="E1669">
        <v>182</v>
      </c>
      <c r="F1669" t="s">
        <v>3427</v>
      </c>
      <c r="G1669">
        <v>1021</v>
      </c>
      <c r="H1669">
        <v>1</v>
      </c>
      <c r="I1669" t="s">
        <v>90</v>
      </c>
      <c r="J1669">
        <v>0</v>
      </c>
      <c r="K1669">
        <v>1</v>
      </c>
      <c r="L1669">
        <v>5</v>
      </c>
      <c r="M1669">
        <v>185</v>
      </c>
      <c r="N1669">
        <v>7</v>
      </c>
      <c r="O1669">
        <v>7</v>
      </c>
      <c r="P1669">
        <v>334</v>
      </c>
      <c r="Q1669">
        <v>6</v>
      </c>
      <c r="R1669">
        <v>14</v>
      </c>
      <c r="S1669">
        <v>2</v>
      </c>
      <c r="T1669">
        <v>45</v>
      </c>
      <c r="U1669">
        <v>10</v>
      </c>
      <c r="V1669">
        <v>4</v>
      </c>
      <c r="W1669">
        <v>4</v>
      </c>
      <c r="X1669">
        <v>154</v>
      </c>
      <c r="Y1669">
        <v>64</v>
      </c>
      <c r="Z1669">
        <v>2</v>
      </c>
      <c r="AA1669">
        <v>3</v>
      </c>
      <c r="AB1669">
        <v>0</v>
      </c>
      <c r="AC1669">
        <v>0</v>
      </c>
      <c r="AD1669">
        <v>0</v>
      </c>
      <c r="AE1669">
        <v>0</v>
      </c>
      <c r="AF1669">
        <v>0</v>
      </c>
      <c r="AK1669">
        <v>2</v>
      </c>
      <c r="AL1669">
        <v>1</v>
      </c>
      <c r="AM1669">
        <v>0</v>
      </c>
      <c r="AN1669">
        <v>2</v>
      </c>
      <c r="AZ1669">
        <v>16</v>
      </c>
      <c r="BC1669">
        <v>0</v>
      </c>
      <c r="BD1669">
        <v>5</v>
      </c>
      <c r="BE1669">
        <v>334</v>
      </c>
      <c r="BF1669">
        <v>334</v>
      </c>
      <c r="BG1669">
        <v>496</v>
      </c>
      <c r="BJ1669">
        <v>1</v>
      </c>
      <c r="BL1669" t="s">
        <v>3496</v>
      </c>
      <c r="BM1669" s="4">
        <v>43283.172222222223</v>
      </c>
      <c r="BN1669" s="4">
        <v>43283.189780092594</v>
      </c>
      <c r="BO1669" s="4">
        <v>43283.189780092594</v>
      </c>
      <c r="BP1669" t="s">
        <v>92</v>
      </c>
      <c r="BQ1669" t="s">
        <v>93</v>
      </c>
      <c r="BR1669" t="s">
        <v>94</v>
      </c>
    </row>
    <row r="1670" spans="1:70" x14ac:dyDescent="0.3">
      <c r="A1670" t="str">
        <f>"201021C0100"</f>
        <v>201021C0100</v>
      </c>
      <c r="B1670" t="s">
        <v>3497</v>
      </c>
      <c r="C1670">
        <v>20</v>
      </c>
      <c r="D1670" t="s">
        <v>88</v>
      </c>
      <c r="E1670">
        <v>182</v>
      </c>
      <c r="F1670" t="s">
        <v>3427</v>
      </c>
      <c r="G1670">
        <v>1021</v>
      </c>
      <c r="H1670">
        <v>1</v>
      </c>
      <c r="I1670" t="s">
        <v>98</v>
      </c>
      <c r="J1670">
        <v>0</v>
      </c>
      <c r="K1670">
        <v>1</v>
      </c>
      <c r="L1670">
        <v>5</v>
      </c>
      <c r="M1670">
        <v>166</v>
      </c>
      <c r="N1670">
        <v>351</v>
      </c>
      <c r="O1670">
        <v>7</v>
      </c>
      <c r="P1670">
        <v>352</v>
      </c>
      <c r="Q1670">
        <v>4</v>
      </c>
      <c r="R1670">
        <v>12</v>
      </c>
      <c r="S1670">
        <v>1</v>
      </c>
      <c r="T1670">
        <v>38</v>
      </c>
      <c r="U1670">
        <v>4</v>
      </c>
      <c r="V1670">
        <v>6</v>
      </c>
      <c r="W1670">
        <v>0</v>
      </c>
      <c r="X1670">
        <v>178</v>
      </c>
      <c r="Y1670">
        <v>82</v>
      </c>
      <c r="Z1670">
        <v>0</v>
      </c>
      <c r="AA1670">
        <v>0</v>
      </c>
      <c r="AB1670">
        <v>0</v>
      </c>
      <c r="AC1670">
        <v>2</v>
      </c>
      <c r="AD1670">
        <v>0</v>
      </c>
      <c r="AE1670">
        <v>0</v>
      </c>
      <c r="AF1670">
        <v>0</v>
      </c>
      <c r="AK1670">
        <v>2</v>
      </c>
      <c r="AL1670">
        <v>1</v>
      </c>
      <c r="AM1670">
        <v>0</v>
      </c>
      <c r="AN1670">
        <v>1</v>
      </c>
      <c r="AZ1670">
        <v>13</v>
      </c>
      <c r="BC1670">
        <v>0</v>
      </c>
      <c r="BD1670">
        <v>8</v>
      </c>
      <c r="BE1670">
        <v>352</v>
      </c>
      <c r="BF1670">
        <v>352</v>
      </c>
      <c r="BG1670">
        <v>495</v>
      </c>
      <c r="BJ1670">
        <v>1</v>
      </c>
      <c r="BL1670" t="s">
        <v>3498</v>
      </c>
      <c r="BM1670" s="4">
        <v>43283.177777777775</v>
      </c>
      <c r="BN1670" s="4">
        <v>43283.194502314815</v>
      </c>
      <c r="BO1670" s="4">
        <v>43283.194502314815</v>
      </c>
      <c r="BP1670" t="s">
        <v>92</v>
      </c>
      <c r="BQ1670" t="s">
        <v>93</v>
      </c>
      <c r="BR1670" t="s">
        <v>94</v>
      </c>
    </row>
    <row r="1671" spans="1:70" x14ac:dyDescent="0.3">
      <c r="A1671" t="str">
        <f>"201022B0100"</f>
        <v>201022B0100</v>
      </c>
      <c r="B1671" t="s">
        <v>3499</v>
      </c>
      <c r="C1671">
        <v>20</v>
      </c>
      <c r="D1671" t="s">
        <v>88</v>
      </c>
      <c r="E1671">
        <v>182</v>
      </c>
      <c r="F1671" t="s">
        <v>3427</v>
      </c>
      <c r="G1671">
        <v>1022</v>
      </c>
      <c r="H1671">
        <v>1</v>
      </c>
      <c r="I1671" t="s">
        <v>90</v>
      </c>
      <c r="J1671">
        <v>0</v>
      </c>
      <c r="K1671">
        <v>1</v>
      </c>
      <c r="L1671">
        <v>5</v>
      </c>
      <c r="M1671">
        <v>222</v>
      </c>
      <c r="N1671">
        <v>385</v>
      </c>
      <c r="O1671">
        <v>6</v>
      </c>
      <c r="P1671">
        <v>381</v>
      </c>
      <c r="Q1671">
        <v>2</v>
      </c>
      <c r="R1671">
        <v>24</v>
      </c>
      <c r="S1671">
        <v>2</v>
      </c>
      <c r="T1671">
        <v>30</v>
      </c>
      <c r="U1671">
        <v>9</v>
      </c>
      <c r="V1671">
        <v>6</v>
      </c>
      <c r="W1671">
        <v>1</v>
      </c>
      <c r="X1671">
        <v>201</v>
      </c>
      <c r="Y1671">
        <v>79</v>
      </c>
      <c r="Z1671">
        <v>5</v>
      </c>
      <c r="AA1671">
        <v>1</v>
      </c>
      <c r="AB1671">
        <v>0</v>
      </c>
      <c r="AC1671">
        <v>0</v>
      </c>
      <c r="AD1671">
        <v>0</v>
      </c>
      <c r="AE1671">
        <v>1</v>
      </c>
      <c r="AF1671">
        <v>0</v>
      </c>
      <c r="AK1671">
        <v>2</v>
      </c>
      <c r="AL1671">
        <v>1</v>
      </c>
      <c r="AM1671">
        <v>0</v>
      </c>
      <c r="AN1671">
        <v>0</v>
      </c>
      <c r="AZ1671">
        <v>7</v>
      </c>
      <c r="BC1671">
        <v>0</v>
      </c>
      <c r="BD1671">
        <v>11</v>
      </c>
      <c r="BE1671">
        <v>381</v>
      </c>
      <c r="BF1671">
        <v>382</v>
      </c>
      <c r="BG1671">
        <v>584</v>
      </c>
      <c r="BJ1671">
        <v>1</v>
      </c>
      <c r="BL1671" t="s">
        <v>3500</v>
      </c>
      <c r="BM1671" s="4">
        <v>43283.179166666669</v>
      </c>
      <c r="BN1671" s="4">
        <v>43283.196793981479</v>
      </c>
      <c r="BO1671" s="4">
        <v>43283.196793981479</v>
      </c>
      <c r="BP1671" t="s">
        <v>92</v>
      </c>
      <c r="BQ1671" t="s">
        <v>93</v>
      </c>
      <c r="BR1671" t="s">
        <v>94</v>
      </c>
    </row>
    <row r="1672" spans="1:70" x14ac:dyDescent="0.3">
      <c r="A1672" t="str">
        <f>"201022C0100"</f>
        <v>201022C0100</v>
      </c>
      <c r="B1672" t="s">
        <v>3501</v>
      </c>
      <c r="C1672">
        <v>20</v>
      </c>
      <c r="D1672" t="s">
        <v>88</v>
      </c>
      <c r="E1672">
        <v>182</v>
      </c>
      <c r="F1672" t="s">
        <v>3427</v>
      </c>
      <c r="G1672">
        <v>1022</v>
      </c>
      <c r="H1672">
        <v>1</v>
      </c>
      <c r="I1672" t="s">
        <v>98</v>
      </c>
      <c r="J1672">
        <v>0</v>
      </c>
      <c r="K1672">
        <v>1</v>
      </c>
      <c r="L1672">
        <v>5</v>
      </c>
      <c r="M1672">
        <v>230</v>
      </c>
      <c r="N1672">
        <v>376</v>
      </c>
      <c r="O1672">
        <v>7</v>
      </c>
      <c r="P1672">
        <v>377</v>
      </c>
      <c r="Q1672">
        <v>5</v>
      </c>
      <c r="R1672">
        <v>16</v>
      </c>
      <c r="S1672">
        <v>6</v>
      </c>
      <c r="T1672">
        <v>22</v>
      </c>
      <c r="U1672">
        <v>5</v>
      </c>
      <c r="V1672">
        <v>12</v>
      </c>
      <c r="W1672">
        <v>0</v>
      </c>
      <c r="X1672">
        <v>208</v>
      </c>
      <c r="Y1672">
        <v>85</v>
      </c>
      <c r="Z1672">
        <v>4</v>
      </c>
      <c r="AA1672">
        <v>1</v>
      </c>
      <c r="AB1672">
        <v>0</v>
      </c>
      <c r="AC1672">
        <v>0</v>
      </c>
      <c r="AD1672">
        <v>0</v>
      </c>
      <c r="AE1672">
        <v>0</v>
      </c>
      <c r="AF1672">
        <v>0</v>
      </c>
      <c r="AK1672">
        <v>0</v>
      </c>
      <c r="AL1672">
        <v>1</v>
      </c>
      <c r="AM1672">
        <v>0</v>
      </c>
      <c r="AN1672">
        <v>0</v>
      </c>
      <c r="AZ1672">
        <v>2</v>
      </c>
      <c r="BC1672">
        <v>0</v>
      </c>
      <c r="BD1672">
        <v>10</v>
      </c>
      <c r="BE1672">
        <v>377</v>
      </c>
      <c r="BF1672">
        <v>377</v>
      </c>
      <c r="BG1672">
        <v>583</v>
      </c>
      <c r="BJ1672">
        <v>1</v>
      </c>
      <c r="BL1672" t="s">
        <v>3502</v>
      </c>
      <c r="BM1672" s="4">
        <v>43283.183333333334</v>
      </c>
      <c r="BN1672" s="4">
        <v>43283.201168981483</v>
      </c>
      <c r="BO1672" s="4">
        <v>43283.201168981483</v>
      </c>
      <c r="BP1672" t="s">
        <v>92</v>
      </c>
      <c r="BQ1672" t="s">
        <v>93</v>
      </c>
      <c r="BR1672" t="s">
        <v>94</v>
      </c>
    </row>
    <row r="1673" spans="1:70" x14ac:dyDescent="0.3">
      <c r="A1673" t="str">
        <f>"201022C0200"</f>
        <v>201022C0200</v>
      </c>
      <c r="B1673" t="s">
        <v>3503</v>
      </c>
      <c r="C1673">
        <v>20</v>
      </c>
      <c r="D1673" t="s">
        <v>88</v>
      </c>
      <c r="E1673">
        <v>182</v>
      </c>
      <c r="F1673" t="s">
        <v>3427</v>
      </c>
      <c r="G1673">
        <v>1022</v>
      </c>
      <c r="H1673">
        <v>2</v>
      </c>
      <c r="I1673" t="s">
        <v>98</v>
      </c>
      <c r="J1673">
        <v>0</v>
      </c>
      <c r="K1673">
        <v>1</v>
      </c>
      <c r="L1673">
        <v>5</v>
      </c>
      <c r="M1673">
        <v>219</v>
      </c>
      <c r="N1673">
        <v>385</v>
      </c>
      <c r="O1673">
        <v>7</v>
      </c>
      <c r="P1673">
        <v>388</v>
      </c>
      <c r="Q1673">
        <v>2</v>
      </c>
      <c r="R1673">
        <v>15</v>
      </c>
      <c r="S1673">
        <v>3</v>
      </c>
      <c r="T1673">
        <v>36</v>
      </c>
      <c r="U1673">
        <v>9</v>
      </c>
      <c r="V1673">
        <v>7</v>
      </c>
      <c r="W1673">
        <v>0</v>
      </c>
      <c r="X1673">
        <v>200</v>
      </c>
      <c r="Y1673">
        <v>85</v>
      </c>
      <c r="Z1673">
        <v>7</v>
      </c>
      <c r="AA1673">
        <v>1</v>
      </c>
      <c r="AB1673">
        <v>1</v>
      </c>
      <c r="AC1673">
        <v>0</v>
      </c>
      <c r="AD1673">
        <v>0</v>
      </c>
      <c r="AE1673">
        <v>0</v>
      </c>
      <c r="AF1673">
        <v>0</v>
      </c>
      <c r="AK1673">
        <v>4</v>
      </c>
      <c r="AL1673">
        <v>1</v>
      </c>
      <c r="AM1673">
        <v>0</v>
      </c>
      <c r="AN1673">
        <v>0</v>
      </c>
      <c r="AZ1673">
        <v>5</v>
      </c>
      <c r="BC1673">
        <v>0</v>
      </c>
      <c r="BD1673">
        <v>12</v>
      </c>
      <c r="BE1673">
        <v>388</v>
      </c>
      <c r="BF1673">
        <v>388</v>
      </c>
      <c r="BG1673">
        <v>583</v>
      </c>
      <c r="BJ1673">
        <v>1</v>
      </c>
      <c r="BL1673" t="s">
        <v>3504</v>
      </c>
      <c r="BM1673" s="4">
        <v>43283.182638888888</v>
      </c>
      <c r="BN1673" s="4">
        <v>43283.202523148146</v>
      </c>
      <c r="BO1673" s="4">
        <v>43283.202523148146</v>
      </c>
      <c r="BP1673" t="s">
        <v>92</v>
      </c>
      <c r="BQ1673" t="s">
        <v>93</v>
      </c>
      <c r="BR1673" t="s">
        <v>94</v>
      </c>
    </row>
    <row r="1674" spans="1:70" x14ac:dyDescent="0.3">
      <c r="A1674" t="str">
        <f>"201023B0100"</f>
        <v>201023B0100</v>
      </c>
      <c r="B1674" t="s">
        <v>3505</v>
      </c>
      <c r="C1674">
        <v>20</v>
      </c>
      <c r="D1674" t="s">
        <v>88</v>
      </c>
      <c r="E1674">
        <v>182</v>
      </c>
      <c r="F1674" t="s">
        <v>3427</v>
      </c>
      <c r="G1674">
        <v>1023</v>
      </c>
      <c r="H1674">
        <v>1</v>
      </c>
      <c r="I1674" t="s">
        <v>90</v>
      </c>
      <c r="J1674">
        <v>0</v>
      </c>
      <c r="K1674">
        <v>1</v>
      </c>
      <c r="L1674">
        <v>5</v>
      </c>
      <c r="BG1674">
        <v>710</v>
      </c>
      <c r="BI1674" t="s">
        <v>122</v>
      </c>
      <c r="BJ1674">
        <v>0</v>
      </c>
      <c r="BL1674" t="s">
        <v>3506</v>
      </c>
      <c r="BM1674" s="4">
        <v>43283.481249999997</v>
      </c>
      <c r="BN1674" s="4">
        <v>43283.493877314817</v>
      </c>
      <c r="BO1674" s="4">
        <v>43283.493877314817</v>
      </c>
      <c r="BP1674" t="s">
        <v>92</v>
      </c>
      <c r="BQ1674" t="s">
        <v>93</v>
      </c>
      <c r="BR1674" t="s">
        <v>94</v>
      </c>
    </row>
    <row r="1675" spans="1:70" x14ac:dyDescent="0.3">
      <c r="A1675" t="str">
        <f>"201023C0100"</f>
        <v>201023C0100</v>
      </c>
      <c r="B1675" t="s">
        <v>3507</v>
      </c>
      <c r="C1675">
        <v>20</v>
      </c>
      <c r="D1675" t="s">
        <v>88</v>
      </c>
      <c r="E1675">
        <v>182</v>
      </c>
      <c r="F1675" t="s">
        <v>3427</v>
      </c>
      <c r="G1675">
        <v>1023</v>
      </c>
      <c r="H1675">
        <v>1</v>
      </c>
      <c r="I1675" t="s">
        <v>98</v>
      </c>
      <c r="J1675">
        <v>0</v>
      </c>
      <c r="K1675">
        <v>1</v>
      </c>
      <c r="L1675">
        <v>5</v>
      </c>
      <c r="BG1675">
        <v>709</v>
      </c>
      <c r="BI1675" t="s">
        <v>122</v>
      </c>
      <c r="BJ1675">
        <v>0</v>
      </c>
      <c r="BL1675" t="s">
        <v>3508</v>
      </c>
      <c r="BM1675" s="4">
        <v>43283.481944444444</v>
      </c>
      <c r="BN1675" s="4">
        <v>43283.492407407408</v>
      </c>
      <c r="BO1675" s="4">
        <v>43283.492407407408</v>
      </c>
      <c r="BP1675" t="s">
        <v>92</v>
      </c>
      <c r="BQ1675" t="s">
        <v>93</v>
      </c>
      <c r="BR1675" t="s">
        <v>94</v>
      </c>
    </row>
    <row r="1676" spans="1:70" x14ac:dyDescent="0.3">
      <c r="A1676" t="str">
        <f>"201024B0100"</f>
        <v>201024B0100</v>
      </c>
      <c r="B1676" t="s">
        <v>3509</v>
      </c>
      <c r="C1676">
        <v>20</v>
      </c>
      <c r="D1676" t="s">
        <v>88</v>
      </c>
      <c r="E1676">
        <v>182</v>
      </c>
      <c r="F1676" t="s">
        <v>3427</v>
      </c>
      <c r="G1676">
        <v>1024</v>
      </c>
      <c r="H1676">
        <v>1</v>
      </c>
      <c r="I1676" t="s">
        <v>90</v>
      </c>
      <c r="J1676">
        <v>0</v>
      </c>
      <c r="K1676">
        <v>1</v>
      </c>
      <c r="L1676">
        <v>5</v>
      </c>
      <c r="M1676">
        <v>237</v>
      </c>
      <c r="N1676">
        <v>468</v>
      </c>
      <c r="O1676">
        <v>10</v>
      </c>
      <c r="P1676">
        <v>470</v>
      </c>
      <c r="Q1676">
        <v>4</v>
      </c>
      <c r="R1676">
        <v>18</v>
      </c>
      <c r="S1676">
        <v>0</v>
      </c>
      <c r="T1676">
        <v>58</v>
      </c>
      <c r="U1676">
        <v>12</v>
      </c>
      <c r="V1676">
        <v>14</v>
      </c>
      <c r="W1676">
        <v>5</v>
      </c>
      <c r="X1676">
        <v>186</v>
      </c>
      <c r="Y1676">
        <v>137</v>
      </c>
      <c r="Z1676">
        <v>8</v>
      </c>
      <c r="AA1676">
        <v>2</v>
      </c>
      <c r="AB1676">
        <v>2</v>
      </c>
      <c r="AC1676">
        <v>0</v>
      </c>
      <c r="AD1676">
        <v>0</v>
      </c>
      <c r="AE1676">
        <v>0</v>
      </c>
      <c r="AF1676">
        <v>0</v>
      </c>
      <c r="AK1676">
        <v>5</v>
      </c>
      <c r="AL1676">
        <v>1</v>
      </c>
      <c r="AM1676">
        <v>0</v>
      </c>
      <c r="AN1676">
        <v>0</v>
      </c>
      <c r="AZ1676">
        <v>8</v>
      </c>
      <c r="BC1676">
        <v>1</v>
      </c>
      <c r="BD1676">
        <v>9</v>
      </c>
      <c r="BE1676">
        <v>470</v>
      </c>
      <c r="BF1676">
        <v>470</v>
      </c>
      <c r="BG1676">
        <v>684</v>
      </c>
      <c r="BJ1676">
        <v>1</v>
      </c>
      <c r="BL1676" t="s">
        <v>3510</v>
      </c>
      <c r="BM1676" s="4">
        <v>43283.197222222225</v>
      </c>
      <c r="BN1676" s="4">
        <v>43283.214131944442</v>
      </c>
      <c r="BO1676" s="4">
        <v>43283.214131944442</v>
      </c>
      <c r="BP1676" t="s">
        <v>92</v>
      </c>
      <c r="BQ1676" t="s">
        <v>93</v>
      </c>
      <c r="BR1676" t="s">
        <v>94</v>
      </c>
    </row>
    <row r="1677" spans="1:70" x14ac:dyDescent="0.3">
      <c r="A1677" t="str">
        <f>"201024C0100"</f>
        <v>201024C0100</v>
      </c>
      <c r="B1677" t="s">
        <v>3511</v>
      </c>
      <c r="C1677">
        <v>20</v>
      </c>
      <c r="D1677" t="s">
        <v>88</v>
      </c>
      <c r="E1677">
        <v>182</v>
      </c>
      <c r="F1677" t="s">
        <v>3427</v>
      </c>
      <c r="G1677">
        <v>1024</v>
      </c>
      <c r="H1677">
        <v>1</v>
      </c>
      <c r="I1677" t="s">
        <v>98</v>
      </c>
      <c r="J1677">
        <v>0</v>
      </c>
      <c r="K1677">
        <v>1</v>
      </c>
      <c r="L1677">
        <v>5</v>
      </c>
      <c r="M1677">
        <v>234</v>
      </c>
      <c r="N1677">
        <v>472</v>
      </c>
      <c r="O1677">
        <v>7</v>
      </c>
      <c r="P1677">
        <v>470</v>
      </c>
      <c r="Q1677">
        <v>9</v>
      </c>
      <c r="R1677">
        <v>17</v>
      </c>
      <c r="S1677">
        <v>3</v>
      </c>
      <c r="T1677">
        <v>56</v>
      </c>
      <c r="U1677">
        <v>7</v>
      </c>
      <c r="V1677">
        <v>12</v>
      </c>
      <c r="W1677">
        <v>1</v>
      </c>
      <c r="X1677">
        <v>189</v>
      </c>
      <c r="Y1677">
        <v>140</v>
      </c>
      <c r="Z1677">
        <v>5</v>
      </c>
      <c r="AA1677">
        <v>0</v>
      </c>
      <c r="AB1677">
        <v>1</v>
      </c>
      <c r="AC1677">
        <v>0</v>
      </c>
      <c r="AD1677">
        <v>0</v>
      </c>
      <c r="AE1677">
        <v>0</v>
      </c>
      <c r="AF1677">
        <v>0</v>
      </c>
      <c r="AK1677">
        <v>0</v>
      </c>
      <c r="AL1677">
        <v>0</v>
      </c>
      <c r="AM1677">
        <v>1</v>
      </c>
      <c r="AN1677">
        <v>4</v>
      </c>
      <c r="AZ1677">
        <v>15</v>
      </c>
      <c r="BC1677">
        <v>0</v>
      </c>
      <c r="BD1677">
        <v>10</v>
      </c>
      <c r="BE1677">
        <v>470</v>
      </c>
      <c r="BF1677">
        <v>470</v>
      </c>
      <c r="BG1677">
        <v>683</v>
      </c>
      <c r="BJ1677">
        <v>1</v>
      </c>
      <c r="BL1677" t="s">
        <v>3512</v>
      </c>
      <c r="BM1677" s="4">
        <v>43283.196527777778</v>
      </c>
      <c r="BN1677" s="4">
        <v>43283.217129629629</v>
      </c>
      <c r="BO1677" s="4">
        <v>43283.217129629629</v>
      </c>
      <c r="BP1677" t="s">
        <v>92</v>
      </c>
      <c r="BQ1677" t="s">
        <v>93</v>
      </c>
      <c r="BR1677" t="s">
        <v>94</v>
      </c>
    </row>
    <row r="1678" spans="1:70" x14ac:dyDescent="0.3">
      <c r="A1678" t="str">
        <f>"201025B0100"</f>
        <v>201025B0100</v>
      </c>
      <c r="B1678" t="s">
        <v>3513</v>
      </c>
      <c r="C1678">
        <v>20</v>
      </c>
      <c r="D1678" t="s">
        <v>88</v>
      </c>
      <c r="E1678">
        <v>182</v>
      </c>
      <c r="F1678" t="s">
        <v>3427</v>
      </c>
      <c r="G1678">
        <v>1025</v>
      </c>
      <c r="H1678">
        <v>1</v>
      </c>
      <c r="I1678" t="s">
        <v>90</v>
      </c>
      <c r="J1678">
        <v>0</v>
      </c>
      <c r="K1678">
        <v>1</v>
      </c>
      <c r="L1678">
        <v>5</v>
      </c>
      <c r="M1678">
        <v>197</v>
      </c>
      <c r="N1678">
        <v>411</v>
      </c>
      <c r="O1678">
        <v>7</v>
      </c>
      <c r="P1678">
        <v>407</v>
      </c>
      <c r="Q1678">
        <v>0</v>
      </c>
      <c r="R1678">
        <v>19</v>
      </c>
      <c r="S1678">
        <v>3</v>
      </c>
      <c r="T1678">
        <v>33</v>
      </c>
      <c r="U1678">
        <v>8</v>
      </c>
      <c r="V1678">
        <v>11</v>
      </c>
      <c r="W1678">
        <v>4</v>
      </c>
      <c r="X1678">
        <v>204</v>
      </c>
      <c r="Y1678">
        <v>100</v>
      </c>
      <c r="Z1678">
        <v>8</v>
      </c>
      <c r="AA1678">
        <v>0</v>
      </c>
      <c r="AB1678">
        <v>1</v>
      </c>
      <c r="AC1678">
        <v>0</v>
      </c>
      <c r="AD1678">
        <v>0</v>
      </c>
      <c r="AE1678">
        <v>0</v>
      </c>
      <c r="AF1678">
        <v>0</v>
      </c>
      <c r="AK1678">
        <v>2</v>
      </c>
      <c r="AL1678">
        <v>0</v>
      </c>
      <c r="AM1678">
        <v>0</v>
      </c>
      <c r="AN1678">
        <v>0</v>
      </c>
      <c r="AZ1678">
        <v>5</v>
      </c>
      <c r="BC1678">
        <v>0</v>
      </c>
      <c r="BD1678">
        <v>9</v>
      </c>
      <c r="BE1678">
        <v>407</v>
      </c>
      <c r="BF1678">
        <v>407</v>
      </c>
      <c r="BG1678">
        <v>582</v>
      </c>
      <c r="BJ1678">
        <v>1</v>
      </c>
      <c r="BL1678" t="s">
        <v>3514</v>
      </c>
      <c r="BM1678" s="4">
        <v>43283.497916666667</v>
      </c>
      <c r="BN1678" s="4">
        <v>43283.504305555558</v>
      </c>
      <c r="BO1678" s="4">
        <v>43283.504305555558</v>
      </c>
      <c r="BP1678" t="s">
        <v>92</v>
      </c>
      <c r="BQ1678" t="s">
        <v>93</v>
      </c>
      <c r="BR1678" t="s">
        <v>94</v>
      </c>
    </row>
    <row r="1679" spans="1:70" x14ac:dyDescent="0.3">
      <c r="A1679" t="str">
        <f>"201025C0100"</f>
        <v>201025C0100</v>
      </c>
      <c r="B1679" t="s">
        <v>3515</v>
      </c>
      <c r="C1679">
        <v>20</v>
      </c>
      <c r="D1679" t="s">
        <v>88</v>
      </c>
      <c r="E1679">
        <v>182</v>
      </c>
      <c r="F1679" t="s">
        <v>3427</v>
      </c>
      <c r="G1679">
        <v>1025</v>
      </c>
      <c r="H1679">
        <v>1</v>
      </c>
      <c r="I1679" t="s">
        <v>98</v>
      </c>
      <c r="J1679">
        <v>0</v>
      </c>
      <c r="K1679">
        <v>1</v>
      </c>
      <c r="L1679">
        <v>5</v>
      </c>
      <c r="M1679">
        <v>185</v>
      </c>
      <c r="N1679">
        <v>420</v>
      </c>
      <c r="O1679" t="s">
        <v>105</v>
      </c>
      <c r="P1679">
        <v>420</v>
      </c>
      <c r="Q1679">
        <v>5</v>
      </c>
      <c r="R1679">
        <v>27</v>
      </c>
      <c r="S1679">
        <v>3</v>
      </c>
      <c r="T1679">
        <v>34</v>
      </c>
      <c r="U1679">
        <v>16</v>
      </c>
      <c r="V1679">
        <v>5</v>
      </c>
      <c r="W1679">
        <v>1</v>
      </c>
      <c r="X1679">
        <v>209</v>
      </c>
      <c r="Y1679">
        <v>93</v>
      </c>
      <c r="Z1679">
        <v>7</v>
      </c>
      <c r="AA1679">
        <v>2</v>
      </c>
      <c r="AB1679">
        <v>1</v>
      </c>
      <c r="AC1679">
        <v>0</v>
      </c>
      <c r="AD1679">
        <v>0</v>
      </c>
      <c r="AE1679">
        <v>0</v>
      </c>
      <c r="AF1679">
        <v>0</v>
      </c>
      <c r="AK1679">
        <v>2</v>
      </c>
      <c r="AL1679">
        <v>1</v>
      </c>
      <c r="AM1679">
        <v>0</v>
      </c>
      <c r="AN1679">
        <v>1</v>
      </c>
      <c r="AZ1679">
        <v>3</v>
      </c>
      <c r="BC1679">
        <v>0</v>
      </c>
      <c r="BD1679">
        <v>10</v>
      </c>
      <c r="BE1679">
        <v>420</v>
      </c>
      <c r="BF1679">
        <v>420</v>
      </c>
      <c r="BG1679">
        <v>582</v>
      </c>
      <c r="BJ1679">
        <v>1</v>
      </c>
      <c r="BL1679" t="s">
        <v>3516</v>
      </c>
      <c r="BM1679" s="4">
        <v>43283.140972222223</v>
      </c>
      <c r="BN1679" s="4">
        <v>43283.146064814813</v>
      </c>
      <c r="BO1679" s="4">
        <v>43283.146064814813</v>
      </c>
      <c r="BP1679" t="s">
        <v>92</v>
      </c>
      <c r="BQ1679" t="s">
        <v>93</v>
      </c>
      <c r="BR1679" t="s">
        <v>94</v>
      </c>
    </row>
    <row r="1680" spans="1:70" x14ac:dyDescent="0.3">
      <c r="A1680" t="str">
        <f>"201026B0100"</f>
        <v>201026B0100</v>
      </c>
      <c r="B1680" t="s">
        <v>3517</v>
      </c>
      <c r="C1680">
        <v>20</v>
      </c>
      <c r="D1680" t="s">
        <v>88</v>
      </c>
      <c r="E1680">
        <v>182</v>
      </c>
      <c r="F1680" t="s">
        <v>3427</v>
      </c>
      <c r="G1680">
        <v>1026</v>
      </c>
      <c r="H1680">
        <v>1</v>
      </c>
      <c r="I1680" t="s">
        <v>90</v>
      </c>
      <c r="J1680">
        <v>0</v>
      </c>
      <c r="K1680">
        <v>1</v>
      </c>
      <c r="L1680">
        <v>5</v>
      </c>
      <c r="M1680">
        <v>125</v>
      </c>
      <c r="N1680">
        <v>279</v>
      </c>
      <c r="O1680">
        <v>8</v>
      </c>
      <c r="P1680">
        <v>279</v>
      </c>
      <c r="Q1680">
        <v>0</v>
      </c>
      <c r="R1680">
        <v>12</v>
      </c>
      <c r="S1680">
        <v>0</v>
      </c>
      <c r="T1680">
        <v>29</v>
      </c>
      <c r="U1680">
        <v>6</v>
      </c>
      <c r="V1680">
        <v>3</v>
      </c>
      <c r="W1680">
        <v>1</v>
      </c>
      <c r="X1680">
        <v>142</v>
      </c>
      <c r="Y1680">
        <v>53</v>
      </c>
      <c r="Z1680">
        <v>5</v>
      </c>
      <c r="AA1680">
        <v>2</v>
      </c>
      <c r="AB1680" t="s">
        <v>105</v>
      </c>
      <c r="AC1680" t="s">
        <v>105</v>
      </c>
      <c r="AD1680">
        <v>0</v>
      </c>
      <c r="AE1680">
        <v>0</v>
      </c>
      <c r="AF1680">
        <v>0</v>
      </c>
      <c r="AK1680">
        <v>0</v>
      </c>
      <c r="AL1680">
        <v>0</v>
      </c>
      <c r="AM1680">
        <v>0</v>
      </c>
      <c r="AN1680">
        <v>0</v>
      </c>
      <c r="AZ1680">
        <v>7</v>
      </c>
      <c r="BC1680">
        <v>0</v>
      </c>
      <c r="BD1680">
        <v>9</v>
      </c>
      <c r="BE1680">
        <v>279</v>
      </c>
      <c r="BF1680">
        <v>269</v>
      </c>
      <c r="BG1680">
        <v>381</v>
      </c>
      <c r="BI1680" t="s">
        <v>106</v>
      </c>
      <c r="BJ1680">
        <v>1</v>
      </c>
      <c r="BL1680" t="s">
        <v>3518</v>
      </c>
      <c r="BM1680" s="4">
        <v>43283.100694444445</v>
      </c>
      <c r="BN1680" s="4">
        <v>43283.113055555557</v>
      </c>
      <c r="BO1680" s="4">
        <v>43283.113055555557</v>
      </c>
      <c r="BP1680" t="s">
        <v>92</v>
      </c>
      <c r="BQ1680" t="s">
        <v>93</v>
      </c>
      <c r="BR1680" t="s">
        <v>94</v>
      </c>
    </row>
    <row r="1681" spans="1:70" x14ac:dyDescent="0.3">
      <c r="A1681" t="str">
        <f>"201026C0100"</f>
        <v>201026C0100</v>
      </c>
      <c r="B1681" t="s">
        <v>3519</v>
      </c>
      <c r="C1681">
        <v>20</v>
      </c>
      <c r="D1681" t="s">
        <v>88</v>
      </c>
      <c r="E1681">
        <v>182</v>
      </c>
      <c r="F1681" t="s">
        <v>3427</v>
      </c>
      <c r="G1681">
        <v>1026</v>
      </c>
      <c r="H1681">
        <v>1</v>
      </c>
      <c r="I1681" t="s">
        <v>98</v>
      </c>
      <c r="J1681">
        <v>0</v>
      </c>
      <c r="K1681">
        <v>1</v>
      </c>
      <c r="L1681">
        <v>5</v>
      </c>
      <c r="M1681">
        <v>150</v>
      </c>
      <c r="N1681">
        <v>253</v>
      </c>
      <c r="O1681">
        <v>12</v>
      </c>
      <c r="P1681" t="s">
        <v>105</v>
      </c>
      <c r="Q1681">
        <v>1</v>
      </c>
      <c r="R1681">
        <v>10</v>
      </c>
      <c r="S1681">
        <v>3</v>
      </c>
      <c r="T1681">
        <v>29</v>
      </c>
      <c r="U1681">
        <v>3</v>
      </c>
      <c r="V1681">
        <v>2</v>
      </c>
      <c r="W1681">
        <v>0</v>
      </c>
      <c r="X1681">
        <v>129</v>
      </c>
      <c r="Y1681">
        <v>54</v>
      </c>
      <c r="Z1681">
        <v>2</v>
      </c>
      <c r="AA1681">
        <v>1</v>
      </c>
      <c r="AB1681">
        <v>1</v>
      </c>
      <c r="AC1681">
        <v>0</v>
      </c>
      <c r="AD1681">
        <v>0</v>
      </c>
      <c r="AE1681">
        <v>0</v>
      </c>
      <c r="AF1681">
        <v>0</v>
      </c>
      <c r="AK1681">
        <v>1</v>
      </c>
      <c r="AL1681">
        <v>0</v>
      </c>
      <c r="AM1681">
        <v>0</v>
      </c>
      <c r="AN1681">
        <v>0</v>
      </c>
      <c r="AZ1681">
        <v>5</v>
      </c>
      <c r="BC1681">
        <v>0</v>
      </c>
      <c r="BD1681">
        <v>12</v>
      </c>
      <c r="BE1681">
        <v>253</v>
      </c>
      <c r="BF1681">
        <v>253</v>
      </c>
      <c r="BG1681">
        <v>380</v>
      </c>
      <c r="BJ1681">
        <v>1</v>
      </c>
      <c r="BL1681" t="s">
        <v>3520</v>
      </c>
      <c r="BM1681" s="4">
        <v>43283.091666666667</v>
      </c>
      <c r="BN1681" s="4">
        <v>43283.096145833333</v>
      </c>
      <c r="BO1681" s="4">
        <v>43283.096145833333</v>
      </c>
      <c r="BP1681" t="s">
        <v>92</v>
      </c>
      <c r="BQ1681" t="s">
        <v>93</v>
      </c>
      <c r="BR1681" t="s">
        <v>94</v>
      </c>
    </row>
    <row r="1682" spans="1:70" x14ac:dyDescent="0.3">
      <c r="A1682" t="str">
        <f>"201027B0100"</f>
        <v>201027B0100</v>
      </c>
      <c r="B1682" t="s">
        <v>3521</v>
      </c>
      <c r="C1682">
        <v>20</v>
      </c>
      <c r="D1682" t="s">
        <v>88</v>
      </c>
      <c r="E1682">
        <v>182</v>
      </c>
      <c r="F1682" t="s">
        <v>3427</v>
      </c>
      <c r="G1682">
        <v>1027</v>
      </c>
      <c r="H1682">
        <v>1</v>
      </c>
      <c r="I1682" t="s">
        <v>90</v>
      </c>
      <c r="J1682">
        <v>0</v>
      </c>
      <c r="K1682">
        <v>1</v>
      </c>
      <c r="L1682">
        <v>5</v>
      </c>
      <c r="M1682">
        <v>145</v>
      </c>
      <c r="N1682">
        <v>321</v>
      </c>
      <c r="O1682">
        <v>0</v>
      </c>
      <c r="P1682" t="s">
        <v>127</v>
      </c>
      <c r="Q1682">
        <v>3</v>
      </c>
      <c r="R1682">
        <v>23</v>
      </c>
      <c r="S1682">
        <v>1</v>
      </c>
      <c r="T1682">
        <v>33</v>
      </c>
      <c r="U1682">
        <v>5</v>
      </c>
      <c r="V1682">
        <v>1</v>
      </c>
      <c r="W1682">
        <v>1</v>
      </c>
      <c r="X1682">
        <v>172</v>
      </c>
      <c r="Y1682">
        <v>63</v>
      </c>
      <c r="Z1682">
        <v>4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0</v>
      </c>
      <c r="AK1682">
        <v>1</v>
      </c>
      <c r="AL1682">
        <v>1</v>
      </c>
      <c r="AM1682">
        <v>2</v>
      </c>
      <c r="AN1682">
        <v>0</v>
      </c>
      <c r="AZ1682">
        <v>1</v>
      </c>
      <c r="BC1682">
        <v>0</v>
      </c>
      <c r="BD1682">
        <v>10</v>
      </c>
      <c r="BE1682">
        <v>321</v>
      </c>
      <c r="BF1682">
        <v>321</v>
      </c>
      <c r="BG1682">
        <v>443</v>
      </c>
      <c r="BJ1682">
        <v>1</v>
      </c>
      <c r="BL1682" t="s">
        <v>3522</v>
      </c>
      <c r="BM1682" s="4">
        <v>43283.118750000001</v>
      </c>
      <c r="BN1682" s="4">
        <v>43283.123877314814</v>
      </c>
      <c r="BO1682" s="4">
        <v>43283.123877314814</v>
      </c>
      <c r="BP1682" t="s">
        <v>92</v>
      </c>
      <c r="BQ1682" t="s">
        <v>93</v>
      </c>
      <c r="BR1682" t="s">
        <v>94</v>
      </c>
    </row>
    <row r="1683" spans="1:70" x14ac:dyDescent="0.3">
      <c r="A1683" t="str">
        <f>"201027C0100"</f>
        <v>201027C0100</v>
      </c>
      <c r="B1683" t="s">
        <v>3523</v>
      </c>
      <c r="C1683">
        <v>20</v>
      </c>
      <c r="D1683" t="s">
        <v>88</v>
      </c>
      <c r="E1683">
        <v>182</v>
      </c>
      <c r="F1683" t="s">
        <v>3427</v>
      </c>
      <c r="G1683">
        <v>1027</v>
      </c>
      <c r="H1683">
        <v>1</v>
      </c>
      <c r="I1683" t="s">
        <v>98</v>
      </c>
      <c r="J1683">
        <v>0</v>
      </c>
      <c r="K1683">
        <v>1</v>
      </c>
      <c r="L1683">
        <v>5</v>
      </c>
      <c r="M1683">
        <v>165</v>
      </c>
      <c r="N1683">
        <v>301</v>
      </c>
      <c r="O1683">
        <v>7</v>
      </c>
      <c r="P1683">
        <v>301</v>
      </c>
      <c r="Q1683">
        <v>2</v>
      </c>
      <c r="R1683">
        <v>9</v>
      </c>
      <c r="S1683">
        <v>1</v>
      </c>
      <c r="T1683">
        <v>37</v>
      </c>
      <c r="U1683">
        <v>4</v>
      </c>
      <c r="V1683">
        <v>1</v>
      </c>
      <c r="W1683">
        <v>1</v>
      </c>
      <c r="X1683">
        <v>155</v>
      </c>
      <c r="Y1683">
        <v>66</v>
      </c>
      <c r="Z1683">
        <v>9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0</v>
      </c>
      <c r="AK1683">
        <v>2</v>
      </c>
      <c r="AL1683">
        <v>0</v>
      </c>
      <c r="AM1683">
        <v>0</v>
      </c>
      <c r="AN1683">
        <v>0</v>
      </c>
      <c r="AZ1683">
        <v>1</v>
      </c>
      <c r="BC1683">
        <v>0</v>
      </c>
      <c r="BD1683">
        <v>13</v>
      </c>
      <c r="BE1683">
        <v>301</v>
      </c>
      <c r="BF1683">
        <v>301</v>
      </c>
      <c r="BG1683">
        <v>443</v>
      </c>
      <c r="BJ1683">
        <v>1</v>
      </c>
      <c r="BL1683" t="s">
        <v>3524</v>
      </c>
      <c r="BM1683" s="4">
        <v>43283.119444444441</v>
      </c>
      <c r="BN1683" s="4">
        <v>43283.125451388885</v>
      </c>
      <c r="BO1683" s="4">
        <v>43283.125451388885</v>
      </c>
      <c r="BP1683" t="s">
        <v>92</v>
      </c>
      <c r="BQ1683" t="s">
        <v>93</v>
      </c>
      <c r="BR1683" t="s">
        <v>94</v>
      </c>
    </row>
    <row r="1684" spans="1:70" x14ac:dyDescent="0.3">
      <c r="A1684" t="str">
        <f>"201028B0100"</f>
        <v>201028B0100</v>
      </c>
      <c r="B1684" t="s">
        <v>3525</v>
      </c>
      <c r="C1684">
        <v>20</v>
      </c>
      <c r="D1684" t="s">
        <v>88</v>
      </c>
      <c r="E1684">
        <v>182</v>
      </c>
      <c r="F1684" t="s">
        <v>3427</v>
      </c>
      <c r="G1684">
        <v>1028</v>
      </c>
      <c r="H1684">
        <v>1</v>
      </c>
      <c r="I1684" t="s">
        <v>90</v>
      </c>
      <c r="J1684">
        <v>0</v>
      </c>
      <c r="K1684">
        <v>1</v>
      </c>
      <c r="L1684">
        <v>5</v>
      </c>
      <c r="M1684">
        <v>205</v>
      </c>
      <c r="N1684">
        <v>378</v>
      </c>
      <c r="O1684">
        <v>10</v>
      </c>
      <c r="P1684">
        <v>378</v>
      </c>
      <c r="Q1684">
        <v>8</v>
      </c>
      <c r="R1684">
        <v>21</v>
      </c>
      <c r="S1684">
        <v>1</v>
      </c>
      <c r="T1684">
        <v>45</v>
      </c>
      <c r="U1684">
        <v>11</v>
      </c>
      <c r="V1684">
        <v>10</v>
      </c>
      <c r="W1684">
        <v>2</v>
      </c>
      <c r="X1684">
        <v>158</v>
      </c>
      <c r="Y1684">
        <v>99</v>
      </c>
      <c r="Z1684">
        <v>3</v>
      </c>
      <c r="AA1684">
        <v>0</v>
      </c>
      <c r="AB1684">
        <v>0</v>
      </c>
      <c r="AC1684">
        <v>3</v>
      </c>
      <c r="AD1684">
        <v>0</v>
      </c>
      <c r="AE1684">
        <v>0</v>
      </c>
      <c r="AF1684">
        <v>0</v>
      </c>
      <c r="AK1684">
        <v>0</v>
      </c>
      <c r="AL1684">
        <v>0</v>
      </c>
      <c r="AM1684">
        <v>0</v>
      </c>
      <c r="AN1684">
        <v>0</v>
      </c>
      <c r="AZ1684">
        <v>9</v>
      </c>
      <c r="BC1684">
        <v>0</v>
      </c>
      <c r="BD1684">
        <v>8</v>
      </c>
      <c r="BE1684">
        <v>378</v>
      </c>
      <c r="BF1684">
        <v>378</v>
      </c>
      <c r="BG1684">
        <v>560</v>
      </c>
      <c r="BJ1684">
        <v>1</v>
      </c>
      <c r="BL1684" t="s">
        <v>3526</v>
      </c>
      <c r="BM1684" s="4">
        <v>43283.118055555555</v>
      </c>
      <c r="BN1684" s="4">
        <v>43283.124780092592</v>
      </c>
      <c r="BO1684" s="4">
        <v>43283.124780092592</v>
      </c>
      <c r="BP1684" t="s">
        <v>92</v>
      </c>
      <c r="BQ1684" t="s">
        <v>93</v>
      </c>
      <c r="BR1684" t="s">
        <v>94</v>
      </c>
    </row>
    <row r="1685" spans="1:70" x14ac:dyDescent="0.3">
      <c r="A1685" t="str">
        <f>"201028C0100"</f>
        <v>201028C0100</v>
      </c>
      <c r="B1685" t="s">
        <v>3527</v>
      </c>
      <c r="C1685">
        <v>20</v>
      </c>
      <c r="D1685" t="s">
        <v>88</v>
      </c>
      <c r="E1685">
        <v>182</v>
      </c>
      <c r="F1685" t="s">
        <v>3427</v>
      </c>
      <c r="G1685">
        <v>1028</v>
      </c>
      <c r="H1685">
        <v>1</v>
      </c>
      <c r="I1685" t="s">
        <v>98</v>
      </c>
      <c r="J1685">
        <v>0</v>
      </c>
      <c r="K1685">
        <v>1</v>
      </c>
      <c r="L1685">
        <v>5</v>
      </c>
      <c r="M1685">
        <v>186</v>
      </c>
      <c r="N1685">
        <v>397</v>
      </c>
      <c r="O1685">
        <v>14</v>
      </c>
      <c r="P1685">
        <v>397</v>
      </c>
      <c r="Q1685">
        <v>0</v>
      </c>
      <c r="R1685">
        <v>20</v>
      </c>
      <c r="S1685">
        <v>1</v>
      </c>
      <c r="T1685">
        <v>58</v>
      </c>
      <c r="U1685">
        <v>10</v>
      </c>
      <c r="V1685">
        <v>7</v>
      </c>
      <c r="W1685">
        <v>2</v>
      </c>
      <c r="X1685">
        <v>163</v>
      </c>
      <c r="Y1685">
        <v>104</v>
      </c>
      <c r="Z1685">
        <v>0</v>
      </c>
      <c r="AA1685">
        <v>0</v>
      </c>
      <c r="AB1685">
        <v>1</v>
      </c>
      <c r="AC1685">
        <v>2</v>
      </c>
      <c r="AD1685">
        <v>0</v>
      </c>
      <c r="AE1685">
        <v>0</v>
      </c>
      <c r="AF1685">
        <v>0</v>
      </c>
      <c r="AK1685">
        <v>5</v>
      </c>
      <c r="AL1685">
        <v>1</v>
      </c>
      <c r="AM1685">
        <v>0</v>
      </c>
      <c r="AN1685">
        <v>1</v>
      </c>
      <c r="AZ1685">
        <v>7</v>
      </c>
      <c r="BC1685">
        <v>0</v>
      </c>
      <c r="BD1685">
        <v>13</v>
      </c>
      <c r="BE1685">
        <v>397</v>
      </c>
      <c r="BF1685">
        <v>395</v>
      </c>
      <c r="BG1685">
        <v>560</v>
      </c>
      <c r="BJ1685">
        <v>1</v>
      </c>
      <c r="BL1685" t="s">
        <v>3528</v>
      </c>
      <c r="BM1685" s="4">
        <v>43283.120138888888</v>
      </c>
      <c r="BN1685" s="4">
        <v>43283.126921296294</v>
      </c>
      <c r="BO1685" s="4">
        <v>43283.126921296294</v>
      </c>
      <c r="BP1685" t="s">
        <v>92</v>
      </c>
      <c r="BQ1685" t="s">
        <v>93</v>
      </c>
      <c r="BR1685" t="s">
        <v>94</v>
      </c>
    </row>
    <row r="1686" spans="1:70" x14ac:dyDescent="0.3">
      <c r="A1686" t="str">
        <f>"201029B0100"</f>
        <v>201029B0100</v>
      </c>
      <c r="B1686" t="s">
        <v>3529</v>
      </c>
      <c r="C1686">
        <v>20</v>
      </c>
      <c r="D1686" t="s">
        <v>88</v>
      </c>
      <c r="E1686">
        <v>182</v>
      </c>
      <c r="F1686" t="s">
        <v>3427</v>
      </c>
      <c r="G1686">
        <v>1029</v>
      </c>
      <c r="H1686">
        <v>1</v>
      </c>
      <c r="I1686" t="s">
        <v>90</v>
      </c>
      <c r="J1686">
        <v>0</v>
      </c>
      <c r="K1686">
        <v>1</v>
      </c>
      <c r="L1686">
        <v>5</v>
      </c>
      <c r="M1686">
        <v>178</v>
      </c>
      <c r="N1686">
        <v>385</v>
      </c>
      <c r="O1686">
        <v>11</v>
      </c>
      <c r="P1686" t="s">
        <v>105</v>
      </c>
      <c r="Q1686">
        <v>8</v>
      </c>
      <c r="R1686">
        <v>14</v>
      </c>
      <c r="S1686">
        <v>0</v>
      </c>
      <c r="T1686">
        <v>86</v>
      </c>
      <c r="U1686">
        <v>8</v>
      </c>
      <c r="V1686">
        <v>4</v>
      </c>
      <c r="W1686">
        <v>1</v>
      </c>
      <c r="X1686">
        <v>144</v>
      </c>
      <c r="Y1686">
        <v>90</v>
      </c>
      <c r="Z1686">
        <v>7</v>
      </c>
      <c r="AA1686">
        <v>2</v>
      </c>
      <c r="AB1686">
        <v>4</v>
      </c>
      <c r="AC1686">
        <v>0</v>
      </c>
      <c r="AD1686">
        <v>0</v>
      </c>
      <c r="AE1686">
        <v>0</v>
      </c>
      <c r="AF1686">
        <v>0</v>
      </c>
      <c r="AK1686">
        <v>3</v>
      </c>
      <c r="AL1686">
        <v>0</v>
      </c>
      <c r="AM1686">
        <v>0</v>
      </c>
      <c r="AN1686">
        <v>0</v>
      </c>
      <c r="AZ1686">
        <v>4</v>
      </c>
      <c r="BC1686" t="s">
        <v>105</v>
      </c>
      <c r="BD1686">
        <v>5</v>
      </c>
      <c r="BE1686">
        <v>380</v>
      </c>
      <c r="BF1686">
        <v>380</v>
      </c>
      <c r="BG1686">
        <v>544</v>
      </c>
      <c r="BI1686" t="s">
        <v>106</v>
      </c>
      <c r="BJ1686">
        <v>1</v>
      </c>
      <c r="BL1686" t="s">
        <v>3530</v>
      </c>
      <c r="BM1686" s="4">
        <v>43283.213194444441</v>
      </c>
      <c r="BN1686" s="4">
        <v>43283.362581018519</v>
      </c>
      <c r="BO1686" s="4">
        <v>43283.362581018519</v>
      </c>
      <c r="BP1686" t="s">
        <v>92</v>
      </c>
      <c r="BQ1686" t="s">
        <v>93</v>
      </c>
      <c r="BR1686" t="s">
        <v>94</v>
      </c>
    </row>
    <row r="1687" spans="1:70" x14ac:dyDescent="0.3">
      <c r="A1687" t="str">
        <f>"201029C0100"</f>
        <v>201029C0100</v>
      </c>
      <c r="B1687" t="s">
        <v>3531</v>
      </c>
      <c r="C1687">
        <v>20</v>
      </c>
      <c r="D1687" t="s">
        <v>88</v>
      </c>
      <c r="E1687">
        <v>182</v>
      </c>
      <c r="F1687" t="s">
        <v>3427</v>
      </c>
      <c r="G1687">
        <v>1029</v>
      </c>
      <c r="H1687">
        <v>1</v>
      </c>
      <c r="I1687" t="s">
        <v>98</v>
      </c>
      <c r="J1687">
        <v>0</v>
      </c>
      <c r="K1687">
        <v>1</v>
      </c>
      <c r="L1687">
        <v>5</v>
      </c>
      <c r="M1687">
        <v>192</v>
      </c>
      <c r="N1687">
        <v>376</v>
      </c>
      <c r="O1687">
        <v>14</v>
      </c>
      <c r="P1687">
        <v>382</v>
      </c>
      <c r="Q1687">
        <v>7</v>
      </c>
      <c r="R1687">
        <v>30</v>
      </c>
      <c r="S1687">
        <v>0</v>
      </c>
      <c r="T1687">
        <v>60</v>
      </c>
      <c r="U1687">
        <v>4</v>
      </c>
      <c r="V1687">
        <v>4</v>
      </c>
      <c r="W1687">
        <v>3</v>
      </c>
      <c r="X1687">
        <v>157</v>
      </c>
      <c r="Y1687">
        <v>93</v>
      </c>
      <c r="Z1687">
        <v>6</v>
      </c>
      <c r="AA1687">
        <v>1</v>
      </c>
      <c r="AB1687">
        <v>0</v>
      </c>
      <c r="AC1687">
        <v>1</v>
      </c>
      <c r="AD1687" t="s">
        <v>105</v>
      </c>
      <c r="AE1687" t="s">
        <v>105</v>
      </c>
      <c r="AF1687" t="s">
        <v>105</v>
      </c>
      <c r="AK1687">
        <v>4</v>
      </c>
      <c r="AL1687" t="s">
        <v>105</v>
      </c>
      <c r="AM1687" t="s">
        <v>105</v>
      </c>
      <c r="AN1687">
        <v>2</v>
      </c>
      <c r="AZ1687">
        <v>3</v>
      </c>
      <c r="BC1687" t="s">
        <v>105</v>
      </c>
      <c r="BD1687">
        <v>7</v>
      </c>
      <c r="BE1687">
        <v>382</v>
      </c>
      <c r="BF1687">
        <v>382</v>
      </c>
      <c r="BG1687">
        <v>544</v>
      </c>
      <c r="BI1687" t="s">
        <v>106</v>
      </c>
      <c r="BJ1687">
        <v>1</v>
      </c>
      <c r="BL1687" t="s">
        <v>3532</v>
      </c>
      <c r="BM1687" s="4">
        <v>43283.490972222222</v>
      </c>
      <c r="BN1687" s="4">
        <v>43283.494270833333</v>
      </c>
      <c r="BO1687" s="4">
        <v>43283.494270833333</v>
      </c>
      <c r="BP1687" t="s">
        <v>92</v>
      </c>
      <c r="BQ1687" t="s">
        <v>93</v>
      </c>
      <c r="BR1687" t="s">
        <v>94</v>
      </c>
    </row>
    <row r="1688" spans="1:70" x14ac:dyDescent="0.3">
      <c r="A1688" t="str">
        <f>"201030B0100"</f>
        <v>201030B0100</v>
      </c>
      <c r="B1688" t="s">
        <v>3533</v>
      </c>
      <c r="C1688">
        <v>20</v>
      </c>
      <c r="D1688" t="s">
        <v>88</v>
      </c>
      <c r="E1688">
        <v>182</v>
      </c>
      <c r="F1688" t="s">
        <v>3427</v>
      </c>
      <c r="G1688">
        <v>1030</v>
      </c>
      <c r="H1688">
        <v>1</v>
      </c>
      <c r="I1688" t="s">
        <v>90</v>
      </c>
      <c r="J1688">
        <v>0</v>
      </c>
      <c r="K1688">
        <v>1</v>
      </c>
      <c r="L1688">
        <v>5</v>
      </c>
      <c r="M1688">
        <v>170</v>
      </c>
      <c r="N1688">
        <v>267</v>
      </c>
      <c r="O1688">
        <v>13</v>
      </c>
      <c r="P1688" t="s">
        <v>105</v>
      </c>
      <c r="Q1688">
        <v>3</v>
      </c>
      <c r="R1688">
        <v>7</v>
      </c>
      <c r="S1688">
        <v>2</v>
      </c>
      <c r="T1688">
        <v>24</v>
      </c>
      <c r="U1688">
        <v>12</v>
      </c>
      <c r="V1688">
        <v>0</v>
      </c>
      <c r="W1688">
        <v>0</v>
      </c>
      <c r="X1688">
        <v>127</v>
      </c>
      <c r="Y1688">
        <v>74</v>
      </c>
      <c r="Z1688">
        <v>5</v>
      </c>
      <c r="AA1688">
        <v>1</v>
      </c>
      <c r="AB1688">
        <v>1</v>
      </c>
      <c r="AC1688">
        <v>0</v>
      </c>
      <c r="AD1688">
        <v>0</v>
      </c>
      <c r="AE1688">
        <v>0</v>
      </c>
      <c r="AF1688">
        <v>1</v>
      </c>
      <c r="AK1688">
        <v>1</v>
      </c>
      <c r="AL1688">
        <v>3</v>
      </c>
      <c r="AM1688">
        <v>0</v>
      </c>
      <c r="AN1688">
        <v>0</v>
      </c>
      <c r="AZ1688">
        <v>5</v>
      </c>
      <c r="BC1688">
        <v>2</v>
      </c>
      <c r="BD1688">
        <v>0</v>
      </c>
      <c r="BE1688">
        <v>268</v>
      </c>
      <c r="BF1688">
        <v>268</v>
      </c>
      <c r="BG1688">
        <v>414</v>
      </c>
      <c r="BJ1688">
        <v>1</v>
      </c>
      <c r="BL1688" t="s">
        <v>3534</v>
      </c>
      <c r="BM1688" s="4">
        <v>43283.158333333333</v>
      </c>
      <c r="BN1688" s="4">
        <v>43283.170069444444</v>
      </c>
      <c r="BO1688" s="4">
        <v>43283.170069444444</v>
      </c>
      <c r="BP1688" t="s">
        <v>92</v>
      </c>
      <c r="BQ1688" t="s">
        <v>93</v>
      </c>
      <c r="BR1688" t="s">
        <v>94</v>
      </c>
    </row>
    <row r="1689" spans="1:70" x14ac:dyDescent="0.3">
      <c r="A1689" t="str">
        <f>"201030C0100"</f>
        <v>201030C0100</v>
      </c>
      <c r="B1689" t="s">
        <v>3535</v>
      </c>
      <c r="C1689">
        <v>20</v>
      </c>
      <c r="D1689" t="s">
        <v>88</v>
      </c>
      <c r="E1689">
        <v>182</v>
      </c>
      <c r="F1689" t="s">
        <v>3427</v>
      </c>
      <c r="G1689">
        <v>1030</v>
      </c>
      <c r="H1689">
        <v>1</v>
      </c>
      <c r="I1689" t="s">
        <v>98</v>
      </c>
      <c r="J1689">
        <v>0</v>
      </c>
      <c r="K1689">
        <v>1</v>
      </c>
      <c r="L1689">
        <v>5</v>
      </c>
      <c r="M1689">
        <v>154</v>
      </c>
      <c r="N1689">
        <v>281</v>
      </c>
      <c r="O1689">
        <v>13</v>
      </c>
      <c r="P1689">
        <v>281</v>
      </c>
      <c r="Q1689">
        <v>8</v>
      </c>
      <c r="R1689">
        <v>15</v>
      </c>
      <c r="S1689">
        <v>2</v>
      </c>
      <c r="T1689">
        <v>27</v>
      </c>
      <c r="U1689">
        <v>8</v>
      </c>
      <c r="V1689">
        <v>1</v>
      </c>
      <c r="W1689">
        <v>1</v>
      </c>
      <c r="X1689">
        <v>137</v>
      </c>
      <c r="Y1689">
        <v>62</v>
      </c>
      <c r="Z1689">
        <v>2</v>
      </c>
      <c r="AA1689">
        <v>1</v>
      </c>
      <c r="AB1689">
        <v>2</v>
      </c>
      <c r="AC1689">
        <v>1</v>
      </c>
      <c r="AD1689">
        <v>0</v>
      </c>
      <c r="AE1689">
        <v>0</v>
      </c>
      <c r="AF1689">
        <v>0</v>
      </c>
      <c r="AK1689">
        <v>1</v>
      </c>
      <c r="AL1689">
        <v>0</v>
      </c>
      <c r="AM1689">
        <v>0</v>
      </c>
      <c r="AN1689">
        <v>0</v>
      </c>
      <c r="AZ1689">
        <v>8</v>
      </c>
      <c r="BC1689">
        <v>0</v>
      </c>
      <c r="BD1689">
        <v>5</v>
      </c>
      <c r="BE1689">
        <v>281</v>
      </c>
      <c r="BF1689">
        <v>281</v>
      </c>
      <c r="BG1689">
        <v>413</v>
      </c>
      <c r="BJ1689">
        <v>1</v>
      </c>
      <c r="BL1689" t="s">
        <v>3536</v>
      </c>
      <c r="BM1689" s="4">
        <v>43283.134722222225</v>
      </c>
      <c r="BN1689" s="4">
        <v>43283.138865740744</v>
      </c>
      <c r="BO1689" s="4">
        <v>43283.138865740744</v>
      </c>
      <c r="BP1689" t="s">
        <v>92</v>
      </c>
      <c r="BQ1689" t="s">
        <v>93</v>
      </c>
      <c r="BR1689" t="s">
        <v>94</v>
      </c>
    </row>
    <row r="1690" spans="1:70" x14ac:dyDescent="0.3">
      <c r="A1690" t="str">
        <f>"201030S0100"</f>
        <v>201030S0100</v>
      </c>
      <c r="B1690" t="s">
        <v>3537</v>
      </c>
      <c r="C1690">
        <v>20</v>
      </c>
      <c r="D1690" t="s">
        <v>88</v>
      </c>
      <c r="E1690">
        <v>182</v>
      </c>
      <c r="F1690" t="s">
        <v>3427</v>
      </c>
      <c r="G1690">
        <v>1030</v>
      </c>
      <c r="H1690">
        <v>1</v>
      </c>
      <c r="I1690" t="s">
        <v>113</v>
      </c>
      <c r="J1690">
        <v>0</v>
      </c>
      <c r="K1690">
        <v>1</v>
      </c>
      <c r="L1690">
        <v>6</v>
      </c>
      <c r="M1690">
        <v>723</v>
      </c>
      <c r="N1690">
        <v>762</v>
      </c>
      <c r="O1690">
        <v>0</v>
      </c>
      <c r="P1690" t="s">
        <v>105</v>
      </c>
      <c r="Q1690">
        <v>0</v>
      </c>
      <c r="R1690">
        <v>2</v>
      </c>
      <c r="S1690">
        <v>0</v>
      </c>
      <c r="T1690">
        <v>0</v>
      </c>
      <c r="U1690">
        <v>0</v>
      </c>
      <c r="V1690">
        <v>1</v>
      </c>
      <c r="W1690">
        <v>0</v>
      </c>
      <c r="X1690">
        <v>2</v>
      </c>
      <c r="Y1690">
        <v>10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0</v>
      </c>
      <c r="AK1690">
        <v>0</v>
      </c>
      <c r="AL1690">
        <v>0</v>
      </c>
      <c r="AM1690">
        <v>0</v>
      </c>
      <c r="AN1690">
        <v>0</v>
      </c>
      <c r="AZ1690">
        <v>0</v>
      </c>
      <c r="BC1690">
        <v>1</v>
      </c>
      <c r="BD1690">
        <v>2</v>
      </c>
      <c r="BE1690">
        <v>18</v>
      </c>
      <c r="BF1690">
        <v>18</v>
      </c>
      <c r="BG1690">
        <v>0</v>
      </c>
      <c r="BJ1690">
        <v>1</v>
      </c>
      <c r="BL1690" t="s">
        <v>3538</v>
      </c>
      <c r="BM1690" s="4">
        <v>43283.386805555558</v>
      </c>
      <c r="BN1690" s="4">
        <v>43283.404027777775</v>
      </c>
      <c r="BO1690" s="4">
        <v>43283.404027777775</v>
      </c>
      <c r="BP1690" t="s">
        <v>92</v>
      </c>
      <c r="BQ1690" t="s">
        <v>93</v>
      </c>
      <c r="BR1690" t="s">
        <v>94</v>
      </c>
    </row>
    <row r="1691" spans="1:70" x14ac:dyDescent="0.3">
      <c r="A1691" t="str">
        <f>"201030S0200"</f>
        <v>201030S0200</v>
      </c>
      <c r="B1691" t="s">
        <v>3539</v>
      </c>
      <c r="C1691">
        <v>20</v>
      </c>
      <c r="D1691" t="s">
        <v>88</v>
      </c>
      <c r="E1691">
        <v>182</v>
      </c>
      <c r="F1691" t="s">
        <v>3427</v>
      </c>
      <c r="G1691">
        <v>1030</v>
      </c>
      <c r="H1691">
        <v>2</v>
      </c>
      <c r="I1691" t="s">
        <v>113</v>
      </c>
      <c r="J1691">
        <v>0</v>
      </c>
      <c r="K1691">
        <v>1</v>
      </c>
      <c r="L1691">
        <v>6</v>
      </c>
      <c r="M1691">
        <v>718</v>
      </c>
      <c r="N1691">
        <v>53</v>
      </c>
      <c r="O1691">
        <v>0</v>
      </c>
      <c r="P1691">
        <v>49</v>
      </c>
      <c r="Q1691">
        <v>0</v>
      </c>
      <c r="R1691">
        <v>0</v>
      </c>
      <c r="S1691">
        <v>0</v>
      </c>
      <c r="T1691">
        <v>5</v>
      </c>
      <c r="U1691">
        <v>1</v>
      </c>
      <c r="V1691">
        <v>1</v>
      </c>
      <c r="W1691">
        <v>0</v>
      </c>
      <c r="X1691">
        <v>21</v>
      </c>
      <c r="Y1691">
        <v>21</v>
      </c>
      <c r="Z1691">
        <v>1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  <c r="AK1691">
        <v>0</v>
      </c>
      <c r="AL1691">
        <v>0</v>
      </c>
      <c r="AM1691">
        <v>0</v>
      </c>
      <c r="AN1691">
        <v>0</v>
      </c>
      <c r="AZ1691">
        <v>0</v>
      </c>
      <c r="BC1691">
        <v>0</v>
      </c>
      <c r="BD1691">
        <v>0</v>
      </c>
      <c r="BE1691">
        <v>0</v>
      </c>
      <c r="BF1691">
        <v>50</v>
      </c>
      <c r="BG1691">
        <v>0</v>
      </c>
      <c r="BJ1691">
        <v>1</v>
      </c>
      <c r="BL1691" t="s">
        <v>3540</v>
      </c>
      <c r="BM1691" s="4">
        <v>43283.027083333334</v>
      </c>
      <c r="BN1691" s="4">
        <v>43283.038599537038</v>
      </c>
      <c r="BO1691" s="4">
        <v>43283.038599537038</v>
      </c>
      <c r="BP1691" t="s">
        <v>92</v>
      </c>
      <c r="BQ1691" t="s">
        <v>93</v>
      </c>
      <c r="BR1691" t="s">
        <v>94</v>
      </c>
    </row>
    <row r="1692" spans="1:70" x14ac:dyDescent="0.3">
      <c r="A1692" t="str">
        <f>"201031B0100"</f>
        <v>201031B0100</v>
      </c>
      <c r="B1692" t="s">
        <v>3541</v>
      </c>
      <c r="C1692">
        <v>20</v>
      </c>
      <c r="D1692" t="s">
        <v>88</v>
      </c>
      <c r="E1692">
        <v>182</v>
      </c>
      <c r="F1692" t="s">
        <v>3427</v>
      </c>
      <c r="G1692">
        <v>1031</v>
      </c>
      <c r="H1692">
        <v>1</v>
      </c>
      <c r="I1692" t="s">
        <v>90</v>
      </c>
      <c r="J1692">
        <v>0</v>
      </c>
      <c r="K1692">
        <v>1</v>
      </c>
      <c r="L1692">
        <v>5</v>
      </c>
      <c r="M1692">
        <v>204</v>
      </c>
      <c r="N1692">
        <v>389</v>
      </c>
      <c r="O1692">
        <v>6</v>
      </c>
      <c r="P1692">
        <v>389</v>
      </c>
      <c r="Q1692">
        <v>9</v>
      </c>
      <c r="R1692">
        <v>25</v>
      </c>
      <c r="S1692">
        <v>1</v>
      </c>
      <c r="T1692">
        <v>59</v>
      </c>
      <c r="U1692">
        <v>11</v>
      </c>
      <c r="V1692">
        <v>6</v>
      </c>
      <c r="W1692">
        <v>1</v>
      </c>
      <c r="X1692">
        <v>167</v>
      </c>
      <c r="Y1692">
        <v>82</v>
      </c>
      <c r="Z1692">
        <v>0</v>
      </c>
      <c r="AA1692">
        <v>0</v>
      </c>
      <c r="AB1692">
        <v>0</v>
      </c>
      <c r="AC1692">
        <v>0</v>
      </c>
      <c r="AD1692">
        <v>0</v>
      </c>
      <c r="AE1692">
        <v>0</v>
      </c>
      <c r="AF1692">
        <v>0</v>
      </c>
      <c r="AK1692">
        <v>0</v>
      </c>
      <c r="AL1692">
        <v>0</v>
      </c>
      <c r="AM1692">
        <v>1</v>
      </c>
      <c r="AN1692">
        <v>0</v>
      </c>
      <c r="AZ1692">
        <v>13</v>
      </c>
      <c r="BC1692">
        <v>0</v>
      </c>
      <c r="BD1692">
        <v>4</v>
      </c>
      <c r="BE1692">
        <v>389</v>
      </c>
      <c r="BF1692">
        <v>379</v>
      </c>
      <c r="BG1692">
        <v>570</v>
      </c>
      <c r="BJ1692">
        <v>1</v>
      </c>
      <c r="BL1692" t="s">
        <v>3542</v>
      </c>
      <c r="BM1692" s="4">
        <v>43283.185416666667</v>
      </c>
      <c r="BN1692" s="4">
        <v>43283.20449074074</v>
      </c>
      <c r="BO1692" s="4">
        <v>43283.20449074074</v>
      </c>
      <c r="BP1692" t="s">
        <v>92</v>
      </c>
      <c r="BQ1692" t="s">
        <v>93</v>
      </c>
      <c r="BR1692" t="s">
        <v>94</v>
      </c>
    </row>
    <row r="1693" spans="1:70" x14ac:dyDescent="0.3">
      <c r="A1693" t="str">
        <f>"201031C0100"</f>
        <v>201031C0100</v>
      </c>
      <c r="B1693" t="s">
        <v>3543</v>
      </c>
      <c r="C1693">
        <v>20</v>
      </c>
      <c r="D1693" t="s">
        <v>88</v>
      </c>
      <c r="E1693">
        <v>182</v>
      </c>
      <c r="F1693" t="s">
        <v>3427</v>
      </c>
      <c r="G1693">
        <v>1031</v>
      </c>
      <c r="H1693">
        <v>1</v>
      </c>
      <c r="I1693" t="s">
        <v>98</v>
      </c>
      <c r="J1693">
        <v>0</v>
      </c>
      <c r="K1693">
        <v>1</v>
      </c>
      <c r="L1693">
        <v>5</v>
      </c>
      <c r="M1693">
        <v>175</v>
      </c>
      <c r="N1693">
        <v>417</v>
      </c>
      <c r="O1693">
        <v>12</v>
      </c>
      <c r="P1693" t="s">
        <v>105</v>
      </c>
      <c r="Q1693">
        <v>8</v>
      </c>
      <c r="R1693">
        <v>23</v>
      </c>
      <c r="S1693">
        <v>2</v>
      </c>
      <c r="T1693">
        <v>57</v>
      </c>
      <c r="U1693">
        <v>10</v>
      </c>
      <c r="V1693">
        <v>5</v>
      </c>
      <c r="W1693">
        <v>2</v>
      </c>
      <c r="X1693">
        <v>188</v>
      </c>
      <c r="Y1693">
        <v>90</v>
      </c>
      <c r="Z1693">
        <v>3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0</v>
      </c>
      <c r="AK1693">
        <v>0</v>
      </c>
      <c r="AL1693">
        <v>0</v>
      </c>
      <c r="AM1693">
        <v>0</v>
      </c>
      <c r="AN1693">
        <v>2</v>
      </c>
      <c r="AZ1693">
        <v>16</v>
      </c>
      <c r="BC1693">
        <v>0</v>
      </c>
      <c r="BD1693">
        <v>9</v>
      </c>
      <c r="BE1693">
        <v>417</v>
      </c>
      <c r="BF1693">
        <v>415</v>
      </c>
      <c r="BG1693">
        <v>570</v>
      </c>
      <c r="BJ1693">
        <v>1</v>
      </c>
      <c r="BL1693" t="s">
        <v>3544</v>
      </c>
      <c r="BM1693" s="4">
        <v>43283.49722222222</v>
      </c>
      <c r="BN1693" s="4">
        <v>43283.5000462963</v>
      </c>
      <c r="BO1693" s="4">
        <v>43283.5000462963</v>
      </c>
      <c r="BP1693" t="s">
        <v>92</v>
      </c>
      <c r="BQ1693" t="s">
        <v>93</v>
      </c>
      <c r="BR1693" t="s">
        <v>94</v>
      </c>
    </row>
    <row r="1694" spans="1:70" x14ac:dyDescent="0.3">
      <c r="A1694" t="str">
        <f>"201032B0100"</f>
        <v>201032B0100</v>
      </c>
      <c r="B1694" t="s">
        <v>3545</v>
      </c>
      <c r="C1694">
        <v>20</v>
      </c>
      <c r="D1694" t="s">
        <v>88</v>
      </c>
      <c r="E1694">
        <v>182</v>
      </c>
      <c r="F1694" t="s">
        <v>3427</v>
      </c>
      <c r="G1694">
        <v>1032</v>
      </c>
      <c r="H1694">
        <v>1</v>
      </c>
      <c r="I1694" t="s">
        <v>90</v>
      </c>
      <c r="J1694">
        <v>0</v>
      </c>
      <c r="K1694">
        <v>1</v>
      </c>
      <c r="L1694">
        <v>5</v>
      </c>
      <c r="M1694">
        <v>139</v>
      </c>
      <c r="N1694">
        <v>291</v>
      </c>
      <c r="O1694">
        <v>5</v>
      </c>
      <c r="P1694">
        <v>291</v>
      </c>
      <c r="Q1694">
        <v>2</v>
      </c>
      <c r="R1694">
        <v>37</v>
      </c>
      <c r="S1694">
        <v>0</v>
      </c>
      <c r="T1694">
        <v>28</v>
      </c>
      <c r="U1694">
        <v>11</v>
      </c>
      <c r="V1694">
        <v>2</v>
      </c>
      <c r="W1694">
        <v>0</v>
      </c>
      <c r="X1694">
        <v>121</v>
      </c>
      <c r="Y1694">
        <v>66</v>
      </c>
      <c r="Z1694">
        <v>10</v>
      </c>
      <c r="AA1694">
        <v>0</v>
      </c>
      <c r="AB1694">
        <v>0</v>
      </c>
      <c r="AC1694">
        <v>1</v>
      </c>
      <c r="AD1694">
        <v>0</v>
      </c>
      <c r="AE1694">
        <v>0</v>
      </c>
      <c r="AF1694">
        <v>0</v>
      </c>
      <c r="AK1694">
        <v>0</v>
      </c>
      <c r="AL1694">
        <v>2</v>
      </c>
      <c r="AM1694">
        <v>0</v>
      </c>
      <c r="AN1694">
        <v>0</v>
      </c>
      <c r="AZ1694">
        <v>7</v>
      </c>
      <c r="BC1694">
        <v>0</v>
      </c>
      <c r="BD1694">
        <v>4</v>
      </c>
      <c r="BE1694">
        <v>291</v>
      </c>
      <c r="BF1694">
        <v>291</v>
      </c>
      <c r="BG1694">
        <v>407</v>
      </c>
      <c r="BJ1694">
        <v>1</v>
      </c>
      <c r="BL1694" t="s">
        <v>3546</v>
      </c>
      <c r="BM1694" s="4">
        <v>43283.224999999999</v>
      </c>
      <c r="BN1694" s="4">
        <v>43283.252997685187</v>
      </c>
      <c r="BO1694" s="4">
        <v>43283.252997685187</v>
      </c>
      <c r="BP1694" t="s">
        <v>92</v>
      </c>
      <c r="BQ1694" t="s">
        <v>93</v>
      </c>
      <c r="BR1694" t="s">
        <v>94</v>
      </c>
    </row>
    <row r="1695" spans="1:70" x14ac:dyDescent="0.3">
      <c r="A1695" t="str">
        <f>"201032C0100"</f>
        <v>201032C0100</v>
      </c>
      <c r="B1695" t="s">
        <v>3547</v>
      </c>
      <c r="C1695">
        <v>20</v>
      </c>
      <c r="D1695" t="s">
        <v>88</v>
      </c>
      <c r="E1695">
        <v>182</v>
      </c>
      <c r="F1695" t="s">
        <v>3427</v>
      </c>
      <c r="G1695">
        <v>1032</v>
      </c>
      <c r="H1695">
        <v>1</v>
      </c>
      <c r="I1695" t="s">
        <v>98</v>
      </c>
      <c r="J1695">
        <v>0</v>
      </c>
      <c r="K1695">
        <v>1</v>
      </c>
      <c r="L1695">
        <v>5</v>
      </c>
      <c r="M1695">
        <v>148</v>
      </c>
      <c r="N1695">
        <v>282</v>
      </c>
      <c r="O1695">
        <v>7</v>
      </c>
      <c r="P1695">
        <v>282</v>
      </c>
      <c r="Q1695">
        <v>11</v>
      </c>
      <c r="R1695">
        <v>17</v>
      </c>
      <c r="S1695">
        <v>2</v>
      </c>
      <c r="T1695">
        <v>27</v>
      </c>
      <c r="U1695">
        <v>4</v>
      </c>
      <c r="V1695">
        <v>2</v>
      </c>
      <c r="W1695">
        <v>0</v>
      </c>
      <c r="X1695">
        <v>139</v>
      </c>
      <c r="Y1695">
        <v>59</v>
      </c>
      <c r="Z1695">
        <v>5</v>
      </c>
      <c r="AA1695">
        <v>0</v>
      </c>
      <c r="AB1695">
        <v>1</v>
      </c>
      <c r="AC1695">
        <v>0</v>
      </c>
      <c r="AD1695">
        <v>0</v>
      </c>
      <c r="AE1695">
        <v>0</v>
      </c>
      <c r="AF1695">
        <v>0</v>
      </c>
      <c r="AK1695">
        <v>0</v>
      </c>
      <c r="AL1695">
        <v>0</v>
      </c>
      <c r="AM1695">
        <v>0</v>
      </c>
      <c r="AN1695">
        <v>0</v>
      </c>
      <c r="AZ1695">
        <v>8</v>
      </c>
      <c r="BC1695">
        <v>0</v>
      </c>
      <c r="BD1695">
        <v>7</v>
      </c>
      <c r="BE1695">
        <v>282</v>
      </c>
      <c r="BF1695">
        <v>282</v>
      </c>
      <c r="BG1695">
        <v>407</v>
      </c>
      <c r="BJ1695">
        <v>1</v>
      </c>
      <c r="BL1695" t="s">
        <v>3548</v>
      </c>
      <c r="BM1695" s="4">
        <v>43283.056250000001</v>
      </c>
      <c r="BN1695" s="4">
        <v>43283.060532407406</v>
      </c>
      <c r="BO1695" s="4">
        <v>43283.060532407406</v>
      </c>
      <c r="BP1695" t="s">
        <v>92</v>
      </c>
      <c r="BQ1695" t="s">
        <v>93</v>
      </c>
      <c r="BR1695" t="s">
        <v>94</v>
      </c>
    </row>
    <row r="1696" spans="1:70" x14ac:dyDescent="0.3">
      <c r="A1696" t="str">
        <f>"201033B0100"</f>
        <v>201033B0100</v>
      </c>
      <c r="B1696" t="s">
        <v>3549</v>
      </c>
      <c r="C1696">
        <v>20</v>
      </c>
      <c r="D1696" t="s">
        <v>88</v>
      </c>
      <c r="E1696">
        <v>182</v>
      </c>
      <c r="F1696" t="s">
        <v>3427</v>
      </c>
      <c r="G1696">
        <v>1033</v>
      </c>
      <c r="H1696">
        <v>1</v>
      </c>
      <c r="I1696" t="s">
        <v>90</v>
      </c>
      <c r="J1696">
        <v>0</v>
      </c>
      <c r="K1696">
        <v>1</v>
      </c>
      <c r="L1696">
        <v>5</v>
      </c>
      <c r="M1696">
        <v>249</v>
      </c>
      <c r="N1696">
        <v>455</v>
      </c>
      <c r="O1696">
        <v>6</v>
      </c>
      <c r="P1696">
        <v>454</v>
      </c>
      <c r="Q1696">
        <v>4</v>
      </c>
      <c r="R1696">
        <v>18</v>
      </c>
      <c r="S1696">
        <v>0</v>
      </c>
      <c r="T1696">
        <v>38</v>
      </c>
      <c r="U1696">
        <v>6</v>
      </c>
      <c r="V1696">
        <v>9</v>
      </c>
      <c r="W1696">
        <v>2</v>
      </c>
      <c r="X1696">
        <v>201</v>
      </c>
      <c r="Y1696">
        <v>129</v>
      </c>
      <c r="Z1696">
        <v>3</v>
      </c>
      <c r="AA1696">
        <v>1</v>
      </c>
      <c r="AB1696">
        <v>1</v>
      </c>
      <c r="AC1696">
        <v>0</v>
      </c>
      <c r="AD1696">
        <v>0</v>
      </c>
      <c r="AE1696">
        <v>0</v>
      </c>
      <c r="AF1696">
        <v>0</v>
      </c>
      <c r="AK1696">
        <v>0</v>
      </c>
      <c r="AL1696">
        <v>0</v>
      </c>
      <c r="AM1696">
        <v>0</v>
      </c>
      <c r="AN1696">
        <v>0</v>
      </c>
      <c r="AZ1696">
        <v>15</v>
      </c>
      <c r="BC1696">
        <v>0</v>
      </c>
      <c r="BD1696">
        <v>27</v>
      </c>
      <c r="BE1696">
        <v>454</v>
      </c>
      <c r="BF1696">
        <v>454</v>
      </c>
      <c r="BG1696">
        <v>681</v>
      </c>
      <c r="BJ1696">
        <v>1</v>
      </c>
      <c r="BL1696" t="s">
        <v>3550</v>
      </c>
      <c r="BM1696" s="4">
        <v>43283.23541666667</v>
      </c>
      <c r="BN1696" s="4">
        <v>43283.257430555554</v>
      </c>
      <c r="BO1696" s="4">
        <v>43283.257430555554</v>
      </c>
      <c r="BP1696" t="s">
        <v>92</v>
      </c>
      <c r="BQ1696" t="s">
        <v>93</v>
      </c>
      <c r="BR1696" t="s">
        <v>94</v>
      </c>
    </row>
    <row r="1697" spans="1:70" x14ac:dyDescent="0.3">
      <c r="A1697" t="str">
        <f>"201033C0100"</f>
        <v>201033C0100</v>
      </c>
      <c r="B1697" t="s">
        <v>3551</v>
      </c>
      <c r="C1697">
        <v>20</v>
      </c>
      <c r="D1697" t="s">
        <v>88</v>
      </c>
      <c r="E1697">
        <v>182</v>
      </c>
      <c r="F1697" t="s">
        <v>3427</v>
      </c>
      <c r="G1697">
        <v>1033</v>
      </c>
      <c r="H1697">
        <v>1</v>
      </c>
      <c r="I1697" t="s">
        <v>98</v>
      </c>
      <c r="J1697">
        <v>0</v>
      </c>
      <c r="K1697">
        <v>1</v>
      </c>
      <c r="L1697">
        <v>5</v>
      </c>
      <c r="M1697">
        <v>249</v>
      </c>
      <c r="N1697">
        <v>458</v>
      </c>
      <c r="O1697">
        <v>0</v>
      </c>
      <c r="P1697">
        <v>456</v>
      </c>
      <c r="Q1697">
        <v>8</v>
      </c>
      <c r="R1697">
        <v>18</v>
      </c>
      <c r="S1697">
        <v>5</v>
      </c>
      <c r="T1697">
        <v>26</v>
      </c>
      <c r="U1697">
        <v>8</v>
      </c>
      <c r="V1697">
        <v>17</v>
      </c>
      <c r="W1697">
        <v>0</v>
      </c>
      <c r="X1697">
        <v>222</v>
      </c>
      <c r="Y1697">
        <v>112</v>
      </c>
      <c r="Z1697">
        <v>5</v>
      </c>
      <c r="AA1697">
        <v>1</v>
      </c>
      <c r="AB1697">
        <v>3</v>
      </c>
      <c r="AC1697">
        <v>1</v>
      </c>
      <c r="AD1697">
        <v>0</v>
      </c>
      <c r="AE1697">
        <v>0</v>
      </c>
      <c r="AF1697">
        <v>0</v>
      </c>
      <c r="AK1697">
        <v>3</v>
      </c>
      <c r="AL1697">
        <v>2</v>
      </c>
      <c r="AM1697">
        <v>0</v>
      </c>
      <c r="AN1697">
        <v>0</v>
      </c>
      <c r="AZ1697">
        <v>11</v>
      </c>
      <c r="BC1697">
        <v>1</v>
      </c>
      <c r="BD1697">
        <v>13</v>
      </c>
      <c r="BE1697">
        <v>456</v>
      </c>
      <c r="BF1697">
        <v>456</v>
      </c>
      <c r="BG1697">
        <v>680</v>
      </c>
      <c r="BJ1697">
        <v>1</v>
      </c>
      <c r="BL1697" t="s">
        <v>3552</v>
      </c>
      <c r="BM1697" s="4">
        <v>43283.232638888891</v>
      </c>
      <c r="BN1697" s="4">
        <v>43283.255416666667</v>
      </c>
      <c r="BO1697" s="4">
        <v>43283.255416666667</v>
      </c>
      <c r="BP1697" t="s">
        <v>92</v>
      </c>
      <c r="BQ1697" t="s">
        <v>93</v>
      </c>
      <c r="BR1697" t="s">
        <v>94</v>
      </c>
    </row>
    <row r="1698" spans="1:70" x14ac:dyDescent="0.3">
      <c r="A1698" t="str">
        <f>"201034B0100"</f>
        <v>201034B0100</v>
      </c>
      <c r="B1698" t="s">
        <v>3553</v>
      </c>
      <c r="C1698">
        <v>20</v>
      </c>
      <c r="D1698" t="s">
        <v>88</v>
      </c>
      <c r="E1698">
        <v>182</v>
      </c>
      <c r="F1698" t="s">
        <v>3427</v>
      </c>
      <c r="G1698">
        <v>1034</v>
      </c>
      <c r="H1698">
        <v>1</v>
      </c>
      <c r="I1698" t="s">
        <v>90</v>
      </c>
      <c r="J1698">
        <v>0</v>
      </c>
      <c r="K1698">
        <v>2</v>
      </c>
      <c r="L1698">
        <v>5</v>
      </c>
      <c r="M1698">
        <v>192</v>
      </c>
      <c r="N1698">
        <v>385</v>
      </c>
      <c r="O1698">
        <v>8</v>
      </c>
      <c r="P1698" t="s">
        <v>105</v>
      </c>
      <c r="Q1698">
        <v>3</v>
      </c>
      <c r="R1698">
        <v>27</v>
      </c>
      <c r="S1698">
        <v>0</v>
      </c>
      <c r="T1698">
        <v>23</v>
      </c>
      <c r="U1698">
        <v>10</v>
      </c>
      <c r="V1698">
        <v>12</v>
      </c>
      <c r="W1698">
        <v>2</v>
      </c>
      <c r="X1698">
        <v>166</v>
      </c>
      <c r="Y1698">
        <v>108</v>
      </c>
      <c r="Z1698">
        <v>10</v>
      </c>
      <c r="AA1698">
        <v>1</v>
      </c>
      <c r="AB1698">
        <v>0</v>
      </c>
      <c r="AC1698">
        <v>0</v>
      </c>
      <c r="AD1698">
        <v>0</v>
      </c>
      <c r="AE1698">
        <v>0</v>
      </c>
      <c r="AF1698">
        <v>0</v>
      </c>
      <c r="AK1698">
        <v>6</v>
      </c>
      <c r="AL1698">
        <v>1</v>
      </c>
      <c r="AM1698">
        <v>1</v>
      </c>
      <c r="AN1698">
        <v>1</v>
      </c>
      <c r="AZ1698">
        <v>7</v>
      </c>
      <c r="BC1698">
        <v>0</v>
      </c>
      <c r="BD1698">
        <v>7</v>
      </c>
      <c r="BE1698">
        <v>385</v>
      </c>
      <c r="BF1698">
        <v>385</v>
      </c>
      <c r="BG1698">
        <v>554</v>
      </c>
      <c r="BJ1698">
        <v>1</v>
      </c>
      <c r="BL1698" t="s">
        <v>3554</v>
      </c>
      <c r="BM1698" s="4">
        <v>43283.109722222223</v>
      </c>
      <c r="BN1698" s="4">
        <v>43283.113993055558</v>
      </c>
      <c r="BO1698" s="4">
        <v>43283.113993055558</v>
      </c>
      <c r="BP1698" t="s">
        <v>92</v>
      </c>
      <c r="BQ1698" t="s">
        <v>93</v>
      </c>
      <c r="BR1698" t="s">
        <v>94</v>
      </c>
    </row>
    <row r="1699" spans="1:70" x14ac:dyDescent="0.3">
      <c r="A1699" t="str">
        <f>"201034C0100"</f>
        <v>201034C0100</v>
      </c>
      <c r="B1699" t="s">
        <v>3555</v>
      </c>
      <c r="C1699">
        <v>20</v>
      </c>
      <c r="D1699" t="s">
        <v>88</v>
      </c>
      <c r="E1699">
        <v>182</v>
      </c>
      <c r="F1699" t="s">
        <v>3427</v>
      </c>
      <c r="G1699">
        <v>1034</v>
      </c>
      <c r="H1699">
        <v>1</v>
      </c>
      <c r="I1699" t="s">
        <v>98</v>
      </c>
      <c r="J1699">
        <v>0</v>
      </c>
      <c r="K1699">
        <v>2</v>
      </c>
      <c r="L1699">
        <v>5</v>
      </c>
      <c r="M1699">
        <v>179</v>
      </c>
      <c r="N1699">
        <v>397</v>
      </c>
      <c r="O1699">
        <v>14</v>
      </c>
      <c r="P1699">
        <v>397</v>
      </c>
      <c r="Q1699">
        <v>6</v>
      </c>
      <c r="R1699">
        <v>19</v>
      </c>
      <c r="S1699">
        <v>1</v>
      </c>
      <c r="T1699">
        <v>35</v>
      </c>
      <c r="U1699">
        <v>7</v>
      </c>
      <c r="V1699">
        <v>6</v>
      </c>
      <c r="W1699">
        <v>1</v>
      </c>
      <c r="X1699">
        <v>158</v>
      </c>
      <c r="Y1699">
        <v>124</v>
      </c>
      <c r="Z1699">
        <v>11</v>
      </c>
      <c r="AA1699">
        <v>0</v>
      </c>
      <c r="AB1699">
        <v>1</v>
      </c>
      <c r="AC1699">
        <v>0</v>
      </c>
      <c r="AD1699">
        <v>0</v>
      </c>
      <c r="AE1699">
        <v>0</v>
      </c>
      <c r="AF1699">
        <v>0</v>
      </c>
      <c r="AK1699">
        <v>3</v>
      </c>
      <c r="AL1699">
        <v>1</v>
      </c>
      <c r="AM1699">
        <v>0</v>
      </c>
      <c r="AN1699">
        <v>3</v>
      </c>
      <c r="AZ1699">
        <v>11</v>
      </c>
      <c r="BC1699">
        <v>0</v>
      </c>
      <c r="BD1699">
        <v>10</v>
      </c>
      <c r="BE1699">
        <v>397</v>
      </c>
      <c r="BF1699">
        <v>397</v>
      </c>
      <c r="BG1699">
        <v>553</v>
      </c>
      <c r="BJ1699">
        <v>1</v>
      </c>
      <c r="BL1699" t="s">
        <v>3556</v>
      </c>
      <c r="BM1699" s="4">
        <v>43283.111111111109</v>
      </c>
      <c r="BN1699" s="4">
        <v>43283.116076388891</v>
      </c>
      <c r="BO1699" s="4">
        <v>43283.116076388891</v>
      </c>
      <c r="BP1699" t="s">
        <v>92</v>
      </c>
      <c r="BQ1699" t="s">
        <v>93</v>
      </c>
      <c r="BR1699" t="s">
        <v>94</v>
      </c>
    </row>
    <row r="1700" spans="1:70" x14ac:dyDescent="0.3">
      <c r="A1700" t="str">
        <f>"201034C0200"</f>
        <v>201034C0200</v>
      </c>
      <c r="B1700" t="s">
        <v>3557</v>
      </c>
      <c r="C1700">
        <v>20</v>
      </c>
      <c r="D1700" t="s">
        <v>88</v>
      </c>
      <c r="E1700">
        <v>182</v>
      </c>
      <c r="F1700" t="s">
        <v>3427</v>
      </c>
      <c r="G1700">
        <v>1034</v>
      </c>
      <c r="H1700">
        <v>2</v>
      </c>
      <c r="I1700" t="s">
        <v>98</v>
      </c>
      <c r="J1700">
        <v>0</v>
      </c>
      <c r="K1700">
        <v>2</v>
      </c>
      <c r="L1700">
        <v>5</v>
      </c>
      <c r="M1700">
        <v>192</v>
      </c>
      <c r="N1700">
        <v>383</v>
      </c>
      <c r="O1700">
        <v>16</v>
      </c>
      <c r="P1700">
        <v>383</v>
      </c>
      <c r="Q1700">
        <v>4</v>
      </c>
      <c r="R1700">
        <v>18</v>
      </c>
      <c r="S1700">
        <v>1</v>
      </c>
      <c r="T1700">
        <v>19</v>
      </c>
      <c r="U1700">
        <v>12</v>
      </c>
      <c r="V1700">
        <v>5</v>
      </c>
      <c r="W1700">
        <v>4</v>
      </c>
      <c r="X1700">
        <v>161</v>
      </c>
      <c r="Y1700">
        <v>130</v>
      </c>
      <c r="Z1700">
        <v>8</v>
      </c>
      <c r="AA1700">
        <v>1</v>
      </c>
      <c r="AB1700">
        <v>0</v>
      </c>
      <c r="AC1700">
        <v>0</v>
      </c>
      <c r="AD1700">
        <v>0</v>
      </c>
      <c r="AE1700">
        <v>0</v>
      </c>
      <c r="AF1700">
        <v>0</v>
      </c>
      <c r="AK1700">
        <v>4</v>
      </c>
      <c r="AL1700">
        <v>2</v>
      </c>
      <c r="AM1700">
        <v>0</v>
      </c>
      <c r="AN1700">
        <v>0</v>
      </c>
      <c r="AZ1700">
        <v>4</v>
      </c>
      <c r="BC1700">
        <v>0</v>
      </c>
      <c r="BD1700">
        <v>10</v>
      </c>
      <c r="BE1700">
        <v>383</v>
      </c>
      <c r="BF1700">
        <v>383</v>
      </c>
      <c r="BG1700">
        <v>553</v>
      </c>
      <c r="BJ1700">
        <v>1</v>
      </c>
      <c r="BL1700" t="s">
        <v>3558</v>
      </c>
      <c r="BM1700" s="4">
        <v>43283.11041666667</v>
      </c>
      <c r="BN1700" s="4">
        <v>43283.118379629632</v>
      </c>
      <c r="BO1700" s="4">
        <v>43283.118379629632</v>
      </c>
      <c r="BP1700" t="s">
        <v>92</v>
      </c>
      <c r="BQ1700" t="s">
        <v>93</v>
      </c>
      <c r="BR1700" t="s">
        <v>94</v>
      </c>
    </row>
    <row r="1701" spans="1:70" x14ac:dyDescent="0.3">
      <c r="A1701" t="str">
        <f>"201034E0100"</f>
        <v>201034E0100</v>
      </c>
      <c r="B1701" s="2" t="s">
        <v>3559</v>
      </c>
      <c r="C1701">
        <v>20</v>
      </c>
      <c r="D1701" t="s">
        <v>88</v>
      </c>
      <c r="E1701">
        <v>182</v>
      </c>
      <c r="F1701" t="s">
        <v>3427</v>
      </c>
      <c r="G1701">
        <v>1034</v>
      </c>
      <c r="H1701">
        <v>1</v>
      </c>
      <c r="I1701" t="s">
        <v>156</v>
      </c>
      <c r="J1701">
        <v>0</v>
      </c>
      <c r="K1701">
        <v>2</v>
      </c>
      <c r="L1701">
        <v>5</v>
      </c>
      <c r="M1701">
        <v>239</v>
      </c>
      <c r="N1701">
        <v>375</v>
      </c>
      <c r="O1701">
        <v>5</v>
      </c>
      <c r="P1701">
        <v>357</v>
      </c>
      <c r="Q1701">
        <v>5</v>
      </c>
      <c r="R1701">
        <v>16</v>
      </c>
      <c r="S1701">
        <v>4</v>
      </c>
      <c r="T1701">
        <v>23</v>
      </c>
      <c r="U1701">
        <v>3</v>
      </c>
      <c r="V1701">
        <v>5</v>
      </c>
      <c r="W1701">
        <v>2</v>
      </c>
      <c r="X1701">
        <v>171</v>
      </c>
      <c r="Y1701">
        <v>108</v>
      </c>
      <c r="Z1701">
        <v>8</v>
      </c>
      <c r="AA1701" t="s">
        <v>105</v>
      </c>
      <c r="AB1701" t="s">
        <v>105</v>
      </c>
      <c r="AC1701">
        <v>1</v>
      </c>
      <c r="AD1701" t="s">
        <v>105</v>
      </c>
      <c r="AE1701" t="s">
        <v>105</v>
      </c>
      <c r="AF1701" t="s">
        <v>105</v>
      </c>
      <c r="AK1701">
        <v>6</v>
      </c>
      <c r="AL1701">
        <v>3</v>
      </c>
      <c r="AM1701">
        <v>1</v>
      </c>
      <c r="AN1701">
        <v>1</v>
      </c>
      <c r="AZ1701">
        <v>1</v>
      </c>
      <c r="BC1701" t="s">
        <v>105</v>
      </c>
      <c r="BD1701" t="s">
        <v>105</v>
      </c>
      <c r="BE1701" t="s">
        <v>105</v>
      </c>
      <c r="BF1701">
        <v>358</v>
      </c>
      <c r="BG1701">
        <v>591</v>
      </c>
      <c r="BI1701" t="s">
        <v>106</v>
      </c>
      <c r="BJ1701">
        <v>1</v>
      </c>
      <c r="BL1701" t="s">
        <v>3560</v>
      </c>
      <c r="BM1701" s="4">
        <v>43283.191666666666</v>
      </c>
      <c r="BN1701" s="4">
        <v>43283.211157407408</v>
      </c>
      <c r="BO1701" s="4">
        <v>43283.211157407408</v>
      </c>
      <c r="BP1701" t="s">
        <v>92</v>
      </c>
      <c r="BQ1701" t="s">
        <v>93</v>
      </c>
      <c r="BR1701" t="s">
        <v>94</v>
      </c>
    </row>
    <row r="1702" spans="1:70" x14ac:dyDescent="0.3">
      <c r="A1702" t="str">
        <f>"201034E0101"</f>
        <v>201034E0101</v>
      </c>
      <c r="B1702" s="2" t="s">
        <v>3561</v>
      </c>
      <c r="C1702">
        <v>20</v>
      </c>
      <c r="D1702" t="s">
        <v>88</v>
      </c>
      <c r="E1702">
        <v>182</v>
      </c>
      <c r="F1702" t="s">
        <v>3427</v>
      </c>
      <c r="G1702">
        <v>1034</v>
      </c>
      <c r="H1702">
        <v>1</v>
      </c>
      <c r="I1702" t="s">
        <v>156</v>
      </c>
      <c r="J1702">
        <v>1</v>
      </c>
      <c r="K1702">
        <v>2</v>
      </c>
      <c r="L1702">
        <v>5</v>
      </c>
      <c r="M1702">
        <v>237</v>
      </c>
      <c r="N1702">
        <v>375</v>
      </c>
      <c r="O1702">
        <v>8</v>
      </c>
      <c r="P1702">
        <v>360</v>
      </c>
      <c r="Q1702">
        <v>4</v>
      </c>
      <c r="R1702">
        <v>19</v>
      </c>
      <c r="S1702">
        <v>3</v>
      </c>
      <c r="T1702">
        <v>37</v>
      </c>
      <c r="U1702">
        <v>7</v>
      </c>
      <c r="V1702">
        <v>3</v>
      </c>
      <c r="W1702">
        <v>0</v>
      </c>
      <c r="X1702">
        <v>171</v>
      </c>
      <c r="Y1702">
        <v>97</v>
      </c>
      <c r="Z1702">
        <v>8</v>
      </c>
      <c r="AA1702">
        <v>0</v>
      </c>
      <c r="AB1702">
        <v>2</v>
      </c>
      <c r="AC1702">
        <v>0</v>
      </c>
      <c r="AD1702">
        <v>0</v>
      </c>
      <c r="AE1702">
        <v>0</v>
      </c>
      <c r="AF1702">
        <v>0</v>
      </c>
      <c r="AK1702">
        <v>2</v>
      </c>
      <c r="AL1702">
        <v>2</v>
      </c>
      <c r="AM1702">
        <v>0</v>
      </c>
      <c r="AN1702">
        <v>2</v>
      </c>
      <c r="AZ1702">
        <v>3</v>
      </c>
      <c r="BC1702">
        <v>0</v>
      </c>
      <c r="BD1702">
        <v>21</v>
      </c>
      <c r="BE1702">
        <v>381</v>
      </c>
      <c r="BF1702">
        <v>381</v>
      </c>
      <c r="BG1702">
        <v>591</v>
      </c>
      <c r="BJ1702">
        <v>1</v>
      </c>
      <c r="BL1702" t="s">
        <v>3562</v>
      </c>
      <c r="BM1702" s="4">
        <v>43283.1875</v>
      </c>
      <c r="BN1702" s="4">
        <v>43283.205763888887</v>
      </c>
      <c r="BO1702" s="4">
        <v>43283.205763888887</v>
      </c>
      <c r="BP1702" t="s">
        <v>92</v>
      </c>
      <c r="BQ1702" t="s">
        <v>93</v>
      </c>
      <c r="BR1702" t="s">
        <v>94</v>
      </c>
    </row>
    <row r="1703" spans="1:70" x14ac:dyDescent="0.3">
      <c r="A1703" t="str">
        <f>"201034E0102"</f>
        <v>201034E0102</v>
      </c>
      <c r="B1703" s="2" t="s">
        <v>3563</v>
      </c>
      <c r="C1703">
        <v>20</v>
      </c>
      <c r="D1703" t="s">
        <v>88</v>
      </c>
      <c r="E1703">
        <v>182</v>
      </c>
      <c r="F1703" t="s">
        <v>3427</v>
      </c>
      <c r="G1703">
        <v>1034</v>
      </c>
      <c r="H1703">
        <v>1</v>
      </c>
      <c r="I1703" t="s">
        <v>156</v>
      </c>
      <c r="J1703">
        <v>2</v>
      </c>
      <c r="K1703">
        <v>2</v>
      </c>
      <c r="L1703">
        <v>5</v>
      </c>
      <c r="M1703">
        <v>227</v>
      </c>
      <c r="N1703">
        <v>381</v>
      </c>
      <c r="O1703">
        <v>11</v>
      </c>
      <c r="P1703">
        <v>381</v>
      </c>
      <c r="Q1703">
        <v>3</v>
      </c>
      <c r="R1703">
        <v>22</v>
      </c>
      <c r="S1703">
        <v>5</v>
      </c>
      <c r="T1703">
        <v>27</v>
      </c>
      <c r="U1703">
        <v>5</v>
      </c>
      <c r="V1703">
        <v>13</v>
      </c>
      <c r="W1703">
        <v>0</v>
      </c>
      <c r="X1703">
        <v>151</v>
      </c>
      <c r="Y1703">
        <v>102</v>
      </c>
      <c r="Z1703">
        <v>6</v>
      </c>
      <c r="AA1703">
        <v>0</v>
      </c>
      <c r="AB1703">
        <v>1</v>
      </c>
      <c r="AC1703">
        <v>0</v>
      </c>
      <c r="AD1703">
        <v>1</v>
      </c>
      <c r="AE1703">
        <v>0</v>
      </c>
      <c r="AF1703">
        <v>0</v>
      </c>
      <c r="AK1703">
        <v>7</v>
      </c>
      <c r="AL1703">
        <v>1</v>
      </c>
      <c r="AM1703">
        <v>1</v>
      </c>
      <c r="AN1703">
        <v>3</v>
      </c>
      <c r="AZ1703">
        <v>5</v>
      </c>
      <c r="BC1703">
        <v>0</v>
      </c>
      <c r="BD1703">
        <v>28</v>
      </c>
      <c r="BE1703">
        <v>381</v>
      </c>
      <c r="BF1703">
        <v>381</v>
      </c>
      <c r="BG1703">
        <v>590</v>
      </c>
      <c r="BJ1703">
        <v>1</v>
      </c>
      <c r="BL1703" t="s">
        <v>3564</v>
      </c>
      <c r="BM1703" s="4">
        <v>43283.186805555553</v>
      </c>
      <c r="BN1703" s="4">
        <v>43283.205567129633</v>
      </c>
      <c r="BO1703" s="4">
        <v>43283.205567129633</v>
      </c>
      <c r="BP1703" t="s">
        <v>92</v>
      </c>
      <c r="BQ1703" t="s">
        <v>93</v>
      </c>
      <c r="BR1703" t="s">
        <v>94</v>
      </c>
    </row>
    <row r="1704" spans="1:70" x14ac:dyDescent="0.3">
      <c r="A1704" t="str">
        <f>"201034E0103"</f>
        <v>201034E0103</v>
      </c>
      <c r="B1704" s="2" t="s">
        <v>3565</v>
      </c>
      <c r="C1704">
        <v>20</v>
      </c>
      <c r="D1704" t="s">
        <v>88</v>
      </c>
      <c r="E1704">
        <v>182</v>
      </c>
      <c r="F1704" t="s">
        <v>3427</v>
      </c>
      <c r="G1704">
        <v>1034</v>
      </c>
      <c r="H1704">
        <v>1</v>
      </c>
      <c r="I1704" t="s">
        <v>156</v>
      </c>
      <c r="J1704">
        <v>3</v>
      </c>
      <c r="K1704">
        <v>2</v>
      </c>
      <c r="L1704">
        <v>5</v>
      </c>
      <c r="M1704">
        <v>227</v>
      </c>
      <c r="N1704">
        <v>386</v>
      </c>
      <c r="O1704">
        <v>14</v>
      </c>
      <c r="P1704">
        <v>392</v>
      </c>
      <c r="Q1704">
        <v>8</v>
      </c>
      <c r="R1704">
        <v>31</v>
      </c>
      <c r="S1704">
        <v>2</v>
      </c>
      <c r="T1704">
        <v>30</v>
      </c>
      <c r="U1704">
        <v>7</v>
      </c>
      <c r="V1704">
        <v>11</v>
      </c>
      <c r="W1704">
        <v>1</v>
      </c>
      <c r="X1704">
        <v>154</v>
      </c>
      <c r="Y1704">
        <v>112</v>
      </c>
      <c r="Z1704">
        <v>14</v>
      </c>
      <c r="AA1704">
        <v>0</v>
      </c>
      <c r="AB1704">
        <v>0</v>
      </c>
      <c r="AC1704">
        <v>0</v>
      </c>
      <c r="AD1704">
        <v>1</v>
      </c>
      <c r="AE1704">
        <v>0</v>
      </c>
      <c r="AF1704">
        <v>0</v>
      </c>
      <c r="AK1704">
        <v>0</v>
      </c>
      <c r="AL1704">
        <v>3</v>
      </c>
      <c r="AM1704">
        <v>0</v>
      </c>
      <c r="AN1704">
        <v>0</v>
      </c>
      <c r="AZ1704" t="s">
        <v>105</v>
      </c>
      <c r="BC1704" t="s">
        <v>105</v>
      </c>
      <c r="BD1704">
        <v>17</v>
      </c>
      <c r="BE1704">
        <v>392</v>
      </c>
      <c r="BF1704">
        <v>391</v>
      </c>
      <c r="BG1704">
        <v>590</v>
      </c>
      <c r="BI1704" t="s">
        <v>106</v>
      </c>
      <c r="BJ1704">
        <v>1</v>
      </c>
      <c r="BL1704" t="s">
        <v>3566</v>
      </c>
      <c r="BM1704" s="4">
        <v>43283.189583333333</v>
      </c>
      <c r="BN1704" s="4">
        <v>43283.207858796297</v>
      </c>
      <c r="BO1704" s="4">
        <v>43283.207858796297</v>
      </c>
      <c r="BP1704" t="s">
        <v>92</v>
      </c>
      <c r="BQ1704" t="s">
        <v>93</v>
      </c>
      <c r="BR1704" t="s">
        <v>94</v>
      </c>
    </row>
    <row r="1705" spans="1:70" x14ac:dyDescent="0.3">
      <c r="A1705" t="str">
        <f>"201035B0100"</f>
        <v>201035B0100</v>
      </c>
      <c r="B1705" t="s">
        <v>3567</v>
      </c>
      <c r="C1705">
        <v>20</v>
      </c>
      <c r="D1705" t="s">
        <v>88</v>
      </c>
      <c r="E1705">
        <v>182</v>
      </c>
      <c r="F1705" t="s">
        <v>3427</v>
      </c>
      <c r="G1705">
        <v>1035</v>
      </c>
      <c r="H1705">
        <v>1</v>
      </c>
      <c r="I1705" t="s">
        <v>90</v>
      </c>
      <c r="J1705">
        <v>0</v>
      </c>
      <c r="K1705">
        <v>1</v>
      </c>
      <c r="L1705">
        <v>5</v>
      </c>
      <c r="M1705">
        <v>171</v>
      </c>
      <c r="N1705">
        <v>366</v>
      </c>
      <c r="O1705">
        <v>2</v>
      </c>
      <c r="P1705">
        <v>366</v>
      </c>
      <c r="Q1705">
        <v>3</v>
      </c>
      <c r="R1705">
        <v>23</v>
      </c>
      <c r="S1705">
        <v>2</v>
      </c>
      <c r="T1705">
        <v>21</v>
      </c>
      <c r="U1705">
        <v>3</v>
      </c>
      <c r="V1705">
        <v>8</v>
      </c>
      <c r="W1705">
        <v>0</v>
      </c>
      <c r="X1705">
        <v>199</v>
      </c>
      <c r="Y1705">
        <v>72</v>
      </c>
      <c r="Z1705">
        <v>5</v>
      </c>
      <c r="AA1705">
        <v>4</v>
      </c>
      <c r="AB1705" t="s">
        <v>105</v>
      </c>
      <c r="AC1705">
        <v>0</v>
      </c>
      <c r="AD1705">
        <v>0</v>
      </c>
      <c r="AE1705">
        <v>0</v>
      </c>
      <c r="AF1705">
        <v>0</v>
      </c>
      <c r="AK1705">
        <v>3</v>
      </c>
      <c r="AL1705">
        <v>1</v>
      </c>
      <c r="AM1705">
        <v>1</v>
      </c>
      <c r="AN1705">
        <v>0</v>
      </c>
      <c r="AZ1705">
        <v>9</v>
      </c>
      <c r="BC1705" t="s">
        <v>105</v>
      </c>
      <c r="BD1705">
        <v>12</v>
      </c>
      <c r="BE1705">
        <v>366</v>
      </c>
      <c r="BF1705">
        <v>366</v>
      </c>
      <c r="BG1705">
        <v>514</v>
      </c>
      <c r="BI1705" t="s">
        <v>106</v>
      </c>
      <c r="BJ1705">
        <v>1</v>
      </c>
      <c r="BL1705" t="s">
        <v>3568</v>
      </c>
      <c r="BM1705" s="4">
        <v>43283.155555555553</v>
      </c>
      <c r="BN1705" s="4">
        <v>43283.166018518517</v>
      </c>
      <c r="BO1705" s="4">
        <v>43283.166018518517</v>
      </c>
      <c r="BP1705" t="s">
        <v>92</v>
      </c>
      <c r="BQ1705" t="s">
        <v>93</v>
      </c>
      <c r="BR1705" t="s">
        <v>94</v>
      </c>
    </row>
    <row r="1706" spans="1:70" x14ac:dyDescent="0.3">
      <c r="A1706" t="str">
        <f>"201035C0100"</f>
        <v>201035C0100</v>
      </c>
      <c r="B1706" t="s">
        <v>3569</v>
      </c>
      <c r="C1706">
        <v>20</v>
      </c>
      <c r="D1706" t="s">
        <v>88</v>
      </c>
      <c r="E1706">
        <v>182</v>
      </c>
      <c r="F1706" t="s">
        <v>3427</v>
      </c>
      <c r="G1706">
        <v>1035</v>
      </c>
      <c r="H1706">
        <v>1</v>
      </c>
      <c r="I1706" t="s">
        <v>98</v>
      </c>
      <c r="J1706">
        <v>0</v>
      </c>
      <c r="K1706">
        <v>1</v>
      </c>
      <c r="L1706">
        <v>5</v>
      </c>
      <c r="M1706">
        <v>193</v>
      </c>
      <c r="N1706">
        <v>344</v>
      </c>
      <c r="O1706">
        <v>0</v>
      </c>
      <c r="P1706">
        <v>344</v>
      </c>
      <c r="Q1706">
        <v>7</v>
      </c>
      <c r="R1706">
        <v>9</v>
      </c>
      <c r="S1706">
        <v>3</v>
      </c>
      <c r="T1706">
        <v>25</v>
      </c>
      <c r="U1706">
        <v>6</v>
      </c>
      <c r="V1706">
        <v>3</v>
      </c>
      <c r="W1706">
        <v>1</v>
      </c>
      <c r="X1706">
        <v>170</v>
      </c>
      <c r="Y1706">
        <v>92</v>
      </c>
      <c r="Z1706">
        <v>5</v>
      </c>
      <c r="AA1706">
        <v>2</v>
      </c>
      <c r="AB1706">
        <v>0</v>
      </c>
      <c r="AC1706">
        <v>0</v>
      </c>
      <c r="AD1706">
        <v>0</v>
      </c>
      <c r="AE1706">
        <v>0</v>
      </c>
      <c r="AF1706">
        <v>0</v>
      </c>
      <c r="AK1706">
        <v>5</v>
      </c>
      <c r="AL1706">
        <v>3</v>
      </c>
      <c r="AM1706">
        <v>0</v>
      </c>
      <c r="AN1706">
        <v>1</v>
      </c>
      <c r="AZ1706" t="s">
        <v>105</v>
      </c>
      <c r="BC1706" t="s">
        <v>105</v>
      </c>
      <c r="BD1706">
        <v>7</v>
      </c>
      <c r="BE1706">
        <v>344</v>
      </c>
      <c r="BF1706">
        <v>339</v>
      </c>
      <c r="BG1706">
        <v>514</v>
      </c>
      <c r="BI1706" t="s">
        <v>106</v>
      </c>
      <c r="BJ1706">
        <v>1</v>
      </c>
      <c r="BL1706" t="s">
        <v>3570</v>
      </c>
      <c r="BM1706" s="4">
        <v>43283.15625</v>
      </c>
      <c r="BN1706" s="4">
        <v>43283.168530092589</v>
      </c>
      <c r="BO1706" s="4">
        <v>43283.168530092589</v>
      </c>
      <c r="BP1706" t="s">
        <v>92</v>
      </c>
      <c r="BQ1706" t="s">
        <v>93</v>
      </c>
      <c r="BR1706" t="s">
        <v>94</v>
      </c>
    </row>
    <row r="1707" spans="1:70" x14ac:dyDescent="0.3">
      <c r="A1707" t="str">
        <f>"201035C0200"</f>
        <v>201035C0200</v>
      </c>
      <c r="B1707" t="s">
        <v>3571</v>
      </c>
      <c r="C1707">
        <v>20</v>
      </c>
      <c r="D1707" t="s">
        <v>88</v>
      </c>
      <c r="E1707">
        <v>182</v>
      </c>
      <c r="F1707" t="s">
        <v>3427</v>
      </c>
      <c r="G1707">
        <v>1035</v>
      </c>
      <c r="H1707">
        <v>2</v>
      </c>
      <c r="I1707" t="s">
        <v>98</v>
      </c>
      <c r="J1707">
        <v>0</v>
      </c>
      <c r="K1707">
        <v>1</v>
      </c>
      <c r="L1707">
        <v>5</v>
      </c>
      <c r="M1707">
        <v>165</v>
      </c>
      <c r="N1707">
        <v>371</v>
      </c>
      <c r="O1707">
        <v>4</v>
      </c>
      <c r="P1707">
        <v>371</v>
      </c>
      <c r="Q1707">
        <v>5</v>
      </c>
      <c r="R1707">
        <v>21</v>
      </c>
      <c r="S1707">
        <v>1</v>
      </c>
      <c r="T1707">
        <v>20</v>
      </c>
      <c r="U1707">
        <v>10</v>
      </c>
      <c r="V1707">
        <v>10</v>
      </c>
      <c r="W1707">
        <v>1</v>
      </c>
      <c r="X1707">
        <v>189</v>
      </c>
      <c r="Y1707">
        <v>86</v>
      </c>
      <c r="Z1707">
        <v>9</v>
      </c>
      <c r="AA1707">
        <v>1</v>
      </c>
      <c r="AB1707">
        <v>0</v>
      </c>
      <c r="AC1707">
        <v>0</v>
      </c>
      <c r="AD1707">
        <v>0</v>
      </c>
      <c r="AE1707">
        <v>0</v>
      </c>
      <c r="AF1707">
        <v>1</v>
      </c>
      <c r="AK1707">
        <v>2</v>
      </c>
      <c r="AL1707">
        <v>3</v>
      </c>
      <c r="AM1707">
        <v>0</v>
      </c>
      <c r="AN1707">
        <v>0</v>
      </c>
      <c r="AZ1707">
        <v>5</v>
      </c>
      <c r="BC1707">
        <v>0</v>
      </c>
      <c r="BD1707">
        <v>9</v>
      </c>
      <c r="BE1707">
        <v>371</v>
      </c>
      <c r="BF1707">
        <v>373</v>
      </c>
      <c r="BG1707">
        <v>513</v>
      </c>
      <c r="BJ1707">
        <v>1</v>
      </c>
      <c r="BL1707" s="2" t="s">
        <v>3572</v>
      </c>
      <c r="BM1707" s="4">
        <v>43283.15625</v>
      </c>
      <c r="BN1707" s="4">
        <v>43283.170983796299</v>
      </c>
      <c r="BO1707" s="4">
        <v>43283.170983796299</v>
      </c>
      <c r="BP1707" t="s">
        <v>92</v>
      </c>
      <c r="BQ1707" t="s">
        <v>93</v>
      </c>
      <c r="BR1707" t="s">
        <v>94</v>
      </c>
    </row>
    <row r="1708" spans="1:70" x14ac:dyDescent="0.3">
      <c r="A1708" t="str">
        <f>"201036B0100"</f>
        <v>201036B0100</v>
      </c>
      <c r="B1708" t="s">
        <v>3573</v>
      </c>
      <c r="C1708">
        <v>20</v>
      </c>
      <c r="D1708" t="s">
        <v>88</v>
      </c>
      <c r="E1708">
        <v>182</v>
      </c>
      <c r="F1708" t="s">
        <v>3427</v>
      </c>
      <c r="G1708">
        <v>1036</v>
      </c>
      <c r="H1708">
        <v>1</v>
      </c>
      <c r="I1708" t="s">
        <v>90</v>
      </c>
      <c r="J1708">
        <v>0</v>
      </c>
      <c r="K1708">
        <v>1</v>
      </c>
      <c r="L1708">
        <v>5</v>
      </c>
      <c r="M1708">
        <v>192</v>
      </c>
      <c r="N1708">
        <v>338</v>
      </c>
      <c r="O1708">
        <v>8</v>
      </c>
      <c r="P1708">
        <v>338</v>
      </c>
      <c r="Q1708">
        <v>3</v>
      </c>
      <c r="R1708">
        <v>21</v>
      </c>
      <c r="S1708">
        <v>0</v>
      </c>
      <c r="T1708">
        <v>16</v>
      </c>
      <c r="U1708">
        <v>7</v>
      </c>
      <c r="V1708">
        <v>5</v>
      </c>
      <c r="W1708">
        <v>0</v>
      </c>
      <c r="X1708">
        <v>163</v>
      </c>
      <c r="Y1708">
        <v>99</v>
      </c>
      <c r="Z1708">
        <v>7</v>
      </c>
      <c r="AA1708">
        <v>1</v>
      </c>
      <c r="AB1708">
        <v>0</v>
      </c>
      <c r="AC1708">
        <v>2</v>
      </c>
      <c r="AD1708">
        <v>0</v>
      </c>
      <c r="AE1708">
        <v>0</v>
      </c>
      <c r="AF1708">
        <v>0</v>
      </c>
      <c r="AK1708">
        <v>4</v>
      </c>
      <c r="AL1708">
        <v>0</v>
      </c>
      <c r="AM1708">
        <v>0</v>
      </c>
      <c r="AN1708">
        <v>0</v>
      </c>
      <c r="AZ1708">
        <v>5</v>
      </c>
      <c r="BC1708">
        <v>0</v>
      </c>
      <c r="BD1708">
        <v>5</v>
      </c>
      <c r="BE1708">
        <v>338</v>
      </c>
      <c r="BF1708">
        <v>338</v>
      </c>
      <c r="BG1708">
        <v>507</v>
      </c>
      <c r="BJ1708">
        <v>1</v>
      </c>
      <c r="BL1708" t="s">
        <v>3574</v>
      </c>
      <c r="BM1708" s="4">
        <v>43283.224305555559</v>
      </c>
      <c r="BN1708" s="4">
        <v>43283.246701388889</v>
      </c>
      <c r="BO1708" s="4">
        <v>43283.246701388889</v>
      </c>
      <c r="BP1708" t="s">
        <v>92</v>
      </c>
      <c r="BQ1708" t="s">
        <v>93</v>
      </c>
      <c r="BR1708" t="s">
        <v>94</v>
      </c>
    </row>
    <row r="1709" spans="1:70" x14ac:dyDescent="0.3">
      <c r="A1709" t="str">
        <f>"201036C0100"</f>
        <v>201036C0100</v>
      </c>
      <c r="B1709" t="s">
        <v>3575</v>
      </c>
      <c r="C1709">
        <v>20</v>
      </c>
      <c r="D1709" t="s">
        <v>88</v>
      </c>
      <c r="E1709">
        <v>182</v>
      </c>
      <c r="F1709" t="s">
        <v>3427</v>
      </c>
      <c r="G1709">
        <v>1036</v>
      </c>
      <c r="H1709">
        <v>1</v>
      </c>
      <c r="I1709" t="s">
        <v>98</v>
      </c>
      <c r="J1709">
        <v>0</v>
      </c>
      <c r="K1709">
        <v>1</v>
      </c>
      <c r="L1709">
        <v>5</v>
      </c>
      <c r="M1709">
        <v>199</v>
      </c>
      <c r="N1709" t="s">
        <v>127</v>
      </c>
      <c r="O1709">
        <v>6</v>
      </c>
      <c r="P1709" t="s">
        <v>105</v>
      </c>
      <c r="Q1709">
        <v>3</v>
      </c>
      <c r="R1709">
        <v>17</v>
      </c>
      <c r="S1709">
        <v>1</v>
      </c>
      <c r="T1709">
        <v>30</v>
      </c>
      <c r="U1709">
        <v>14</v>
      </c>
      <c r="V1709">
        <v>3</v>
      </c>
      <c r="W1709">
        <v>1</v>
      </c>
      <c r="X1709">
        <v>158</v>
      </c>
      <c r="Y1709">
        <v>83</v>
      </c>
      <c r="Z1709">
        <v>5</v>
      </c>
      <c r="AA1709">
        <v>0</v>
      </c>
      <c r="AB1709">
        <v>2</v>
      </c>
      <c r="AC1709">
        <v>0</v>
      </c>
      <c r="AD1709">
        <v>0</v>
      </c>
      <c r="AE1709">
        <v>0</v>
      </c>
      <c r="AF1709">
        <v>0</v>
      </c>
      <c r="AK1709">
        <v>1</v>
      </c>
      <c r="AL1709">
        <v>0</v>
      </c>
      <c r="AM1709">
        <v>0</v>
      </c>
      <c r="AN1709">
        <v>0</v>
      </c>
      <c r="AZ1709">
        <v>6</v>
      </c>
      <c r="BC1709">
        <v>0</v>
      </c>
      <c r="BD1709">
        <v>6</v>
      </c>
      <c r="BE1709">
        <v>330</v>
      </c>
      <c r="BF1709">
        <v>330</v>
      </c>
      <c r="BG1709">
        <v>507</v>
      </c>
      <c r="BJ1709">
        <v>1</v>
      </c>
      <c r="BL1709" t="s">
        <v>3576</v>
      </c>
      <c r="BM1709" s="4">
        <v>43283.223611111112</v>
      </c>
      <c r="BN1709" s="4">
        <v>43283.266446759262</v>
      </c>
      <c r="BO1709" s="4">
        <v>43283.266446759262</v>
      </c>
      <c r="BP1709" t="s">
        <v>92</v>
      </c>
      <c r="BQ1709" t="s">
        <v>93</v>
      </c>
      <c r="BR1709" t="s">
        <v>94</v>
      </c>
    </row>
    <row r="1710" spans="1:70" x14ac:dyDescent="0.3">
      <c r="A1710" t="str">
        <f>"201036C0200"</f>
        <v>201036C0200</v>
      </c>
      <c r="B1710" t="s">
        <v>3577</v>
      </c>
      <c r="C1710">
        <v>20</v>
      </c>
      <c r="D1710" t="s">
        <v>88</v>
      </c>
      <c r="E1710">
        <v>182</v>
      </c>
      <c r="F1710" t="s">
        <v>3427</v>
      </c>
      <c r="G1710">
        <v>1036</v>
      </c>
      <c r="H1710">
        <v>2</v>
      </c>
      <c r="I1710" t="s">
        <v>98</v>
      </c>
      <c r="J1710">
        <v>0</v>
      </c>
      <c r="K1710">
        <v>1</v>
      </c>
      <c r="L1710">
        <v>5</v>
      </c>
      <c r="M1710" t="s">
        <v>105</v>
      </c>
      <c r="N1710" t="s">
        <v>105</v>
      </c>
      <c r="O1710" t="s">
        <v>105</v>
      </c>
      <c r="P1710" t="s">
        <v>105</v>
      </c>
      <c r="Q1710">
        <v>1</v>
      </c>
      <c r="R1710">
        <v>27</v>
      </c>
      <c r="S1710">
        <v>1</v>
      </c>
      <c r="T1710">
        <v>22</v>
      </c>
      <c r="U1710">
        <v>5</v>
      </c>
      <c r="V1710">
        <v>7</v>
      </c>
      <c r="W1710">
        <v>1</v>
      </c>
      <c r="X1710">
        <v>146</v>
      </c>
      <c r="Y1710">
        <v>100</v>
      </c>
      <c r="Z1710">
        <v>5</v>
      </c>
      <c r="AA1710">
        <v>1</v>
      </c>
      <c r="AB1710">
        <v>0</v>
      </c>
      <c r="AC1710">
        <v>0</v>
      </c>
      <c r="AD1710">
        <v>0</v>
      </c>
      <c r="AE1710">
        <v>1</v>
      </c>
      <c r="AF1710">
        <v>0</v>
      </c>
      <c r="AK1710">
        <v>1</v>
      </c>
      <c r="AL1710">
        <v>3</v>
      </c>
      <c r="AM1710">
        <v>0</v>
      </c>
      <c r="AN1710">
        <v>1</v>
      </c>
      <c r="AZ1710">
        <v>3</v>
      </c>
      <c r="BC1710">
        <v>0</v>
      </c>
      <c r="BD1710">
        <v>8</v>
      </c>
      <c r="BE1710">
        <v>336</v>
      </c>
      <c r="BF1710">
        <v>333</v>
      </c>
      <c r="BG1710">
        <v>506</v>
      </c>
      <c r="BJ1710">
        <v>1</v>
      </c>
      <c r="BL1710" t="s">
        <v>3578</v>
      </c>
      <c r="BM1710" s="4">
        <v>43283.224305555559</v>
      </c>
      <c r="BN1710" s="4">
        <v>43283.273379629631</v>
      </c>
      <c r="BO1710" s="4">
        <v>43283.273379629631</v>
      </c>
      <c r="BP1710" t="s">
        <v>92</v>
      </c>
      <c r="BQ1710" t="s">
        <v>93</v>
      </c>
      <c r="BR1710" t="s">
        <v>94</v>
      </c>
    </row>
    <row r="1711" spans="1:70" x14ac:dyDescent="0.3">
      <c r="A1711" t="str">
        <f>"201037B0100"</f>
        <v>201037B0100</v>
      </c>
      <c r="B1711" t="s">
        <v>3579</v>
      </c>
      <c r="C1711">
        <v>20</v>
      </c>
      <c r="D1711" t="s">
        <v>88</v>
      </c>
      <c r="E1711">
        <v>182</v>
      </c>
      <c r="F1711" t="s">
        <v>3427</v>
      </c>
      <c r="G1711">
        <v>1037</v>
      </c>
      <c r="H1711">
        <v>1</v>
      </c>
      <c r="I1711" t="s">
        <v>90</v>
      </c>
      <c r="J1711">
        <v>0</v>
      </c>
      <c r="K1711">
        <v>1</v>
      </c>
      <c r="L1711">
        <v>5</v>
      </c>
      <c r="M1711">
        <v>244</v>
      </c>
      <c r="N1711">
        <v>509</v>
      </c>
      <c r="O1711">
        <v>1</v>
      </c>
      <c r="P1711">
        <v>509</v>
      </c>
      <c r="Q1711">
        <v>5</v>
      </c>
      <c r="R1711">
        <v>10</v>
      </c>
      <c r="S1711">
        <v>1</v>
      </c>
      <c r="T1711">
        <v>26</v>
      </c>
      <c r="U1711">
        <v>14</v>
      </c>
      <c r="V1711">
        <v>16</v>
      </c>
      <c r="W1711">
        <v>2</v>
      </c>
      <c r="X1711">
        <v>270</v>
      </c>
      <c r="Y1711">
        <v>121</v>
      </c>
      <c r="Z1711">
        <v>5</v>
      </c>
      <c r="AA1711">
        <v>1</v>
      </c>
      <c r="AB1711" t="s">
        <v>105</v>
      </c>
      <c r="AC1711">
        <v>2</v>
      </c>
      <c r="AD1711" t="s">
        <v>105</v>
      </c>
      <c r="AE1711" t="s">
        <v>105</v>
      </c>
      <c r="AF1711" t="s">
        <v>105</v>
      </c>
      <c r="AK1711">
        <v>1</v>
      </c>
      <c r="AL1711">
        <v>1</v>
      </c>
      <c r="AM1711" t="s">
        <v>105</v>
      </c>
      <c r="AN1711" t="s">
        <v>105</v>
      </c>
      <c r="AZ1711">
        <v>4</v>
      </c>
      <c r="BC1711" t="s">
        <v>105</v>
      </c>
      <c r="BD1711">
        <v>30</v>
      </c>
      <c r="BE1711">
        <v>509</v>
      </c>
      <c r="BF1711">
        <v>509</v>
      </c>
      <c r="BG1711">
        <v>730</v>
      </c>
      <c r="BI1711" t="s">
        <v>106</v>
      </c>
      <c r="BJ1711">
        <v>1</v>
      </c>
      <c r="BL1711" t="s">
        <v>3580</v>
      </c>
      <c r="BM1711" s="4">
        <v>43283.173611111109</v>
      </c>
      <c r="BN1711" s="4">
        <v>43283.189976851849</v>
      </c>
      <c r="BO1711" s="4">
        <v>43283.189976851849</v>
      </c>
      <c r="BP1711" t="s">
        <v>92</v>
      </c>
      <c r="BQ1711" t="s">
        <v>93</v>
      </c>
      <c r="BR1711" t="s">
        <v>94</v>
      </c>
    </row>
    <row r="1712" spans="1:70" x14ac:dyDescent="0.3">
      <c r="A1712" t="str">
        <f>"201037C0100"</f>
        <v>201037C0100</v>
      </c>
      <c r="B1712" t="s">
        <v>3581</v>
      </c>
      <c r="C1712">
        <v>20</v>
      </c>
      <c r="D1712" t="s">
        <v>88</v>
      </c>
      <c r="E1712">
        <v>182</v>
      </c>
      <c r="F1712" t="s">
        <v>3427</v>
      </c>
      <c r="G1712">
        <v>1037</v>
      </c>
      <c r="H1712">
        <v>1</v>
      </c>
      <c r="I1712" t="s">
        <v>98</v>
      </c>
      <c r="J1712">
        <v>0</v>
      </c>
      <c r="K1712">
        <v>1</v>
      </c>
      <c r="L1712">
        <v>5</v>
      </c>
      <c r="M1712">
        <v>253</v>
      </c>
      <c r="N1712">
        <v>500</v>
      </c>
      <c r="O1712">
        <v>5</v>
      </c>
      <c r="P1712">
        <v>500</v>
      </c>
      <c r="Q1712">
        <v>5</v>
      </c>
      <c r="R1712">
        <v>19</v>
      </c>
      <c r="S1712">
        <v>3</v>
      </c>
      <c r="T1712">
        <v>37</v>
      </c>
      <c r="U1712">
        <v>6</v>
      </c>
      <c r="V1712">
        <v>16</v>
      </c>
      <c r="W1712">
        <v>2</v>
      </c>
      <c r="X1712">
        <v>249</v>
      </c>
      <c r="Y1712">
        <v>135</v>
      </c>
      <c r="Z1712">
        <v>16</v>
      </c>
      <c r="AA1712">
        <v>0</v>
      </c>
      <c r="AB1712">
        <v>1</v>
      </c>
      <c r="AC1712">
        <v>0</v>
      </c>
      <c r="AD1712">
        <v>0</v>
      </c>
      <c r="AE1712">
        <v>0</v>
      </c>
      <c r="AF1712">
        <v>0</v>
      </c>
      <c r="AK1712">
        <v>4</v>
      </c>
      <c r="AL1712">
        <v>0</v>
      </c>
      <c r="AM1712">
        <v>0</v>
      </c>
      <c r="AN1712">
        <v>0</v>
      </c>
      <c r="AZ1712">
        <v>1</v>
      </c>
      <c r="BC1712">
        <v>0</v>
      </c>
      <c r="BD1712">
        <v>18</v>
      </c>
      <c r="BE1712" t="s">
        <v>105</v>
      </c>
      <c r="BF1712">
        <v>512</v>
      </c>
      <c r="BG1712">
        <v>730</v>
      </c>
      <c r="BJ1712">
        <v>1</v>
      </c>
      <c r="BL1712" t="s">
        <v>3582</v>
      </c>
      <c r="BM1712" s="4">
        <v>43283.177083333336</v>
      </c>
      <c r="BN1712" s="4">
        <v>43283.193229166667</v>
      </c>
      <c r="BO1712" s="4">
        <v>43283.193229166667</v>
      </c>
      <c r="BP1712" t="s">
        <v>92</v>
      </c>
      <c r="BQ1712" t="s">
        <v>93</v>
      </c>
      <c r="BR1712" t="s">
        <v>94</v>
      </c>
    </row>
    <row r="1713" spans="1:70" x14ac:dyDescent="0.3">
      <c r="A1713" t="str">
        <f>"201038B0100"</f>
        <v>201038B0100</v>
      </c>
      <c r="B1713" t="s">
        <v>3583</v>
      </c>
      <c r="C1713">
        <v>20</v>
      </c>
      <c r="D1713" t="s">
        <v>88</v>
      </c>
      <c r="E1713">
        <v>182</v>
      </c>
      <c r="F1713" t="s">
        <v>3427</v>
      </c>
      <c r="G1713">
        <v>1038</v>
      </c>
      <c r="H1713">
        <v>1</v>
      </c>
      <c r="I1713" t="s">
        <v>90</v>
      </c>
      <c r="J1713">
        <v>0</v>
      </c>
      <c r="K1713">
        <v>1</v>
      </c>
      <c r="L1713">
        <v>5</v>
      </c>
      <c r="M1713">
        <v>193</v>
      </c>
      <c r="N1713">
        <v>382</v>
      </c>
      <c r="O1713">
        <v>13</v>
      </c>
      <c r="P1713">
        <v>385</v>
      </c>
      <c r="Q1713">
        <v>1</v>
      </c>
      <c r="R1713">
        <v>18</v>
      </c>
      <c r="S1713">
        <v>4</v>
      </c>
      <c r="T1713">
        <v>20</v>
      </c>
      <c r="U1713">
        <v>13</v>
      </c>
      <c r="V1713">
        <v>3</v>
      </c>
      <c r="W1713">
        <v>0</v>
      </c>
      <c r="X1713">
        <v>217</v>
      </c>
      <c r="Y1713">
        <v>82</v>
      </c>
      <c r="Z1713">
        <v>4</v>
      </c>
      <c r="AA1713" t="s">
        <v>105</v>
      </c>
      <c r="AB1713" t="s">
        <v>105</v>
      </c>
      <c r="AC1713" t="s">
        <v>105</v>
      </c>
      <c r="AD1713" t="s">
        <v>105</v>
      </c>
      <c r="AE1713" t="s">
        <v>105</v>
      </c>
      <c r="AF1713" t="s">
        <v>105</v>
      </c>
      <c r="AK1713">
        <v>6</v>
      </c>
      <c r="AL1713">
        <v>2</v>
      </c>
      <c r="AM1713">
        <v>0</v>
      </c>
      <c r="AN1713">
        <v>1</v>
      </c>
      <c r="AZ1713">
        <v>4</v>
      </c>
      <c r="BC1713">
        <v>0</v>
      </c>
      <c r="BD1713">
        <v>10</v>
      </c>
      <c r="BE1713">
        <v>385</v>
      </c>
      <c r="BF1713">
        <v>385</v>
      </c>
      <c r="BG1713">
        <v>554</v>
      </c>
      <c r="BI1713" t="s">
        <v>106</v>
      </c>
      <c r="BJ1713">
        <v>1</v>
      </c>
      <c r="BL1713" t="s">
        <v>3584</v>
      </c>
      <c r="BM1713" s="4">
        <v>43283.175000000003</v>
      </c>
      <c r="BN1713" s="4">
        <v>43283.190439814818</v>
      </c>
      <c r="BO1713" s="4">
        <v>43283.190439814818</v>
      </c>
      <c r="BP1713" t="s">
        <v>92</v>
      </c>
      <c r="BQ1713" t="s">
        <v>93</v>
      </c>
      <c r="BR1713" t="s">
        <v>94</v>
      </c>
    </row>
    <row r="1714" spans="1:70" x14ac:dyDescent="0.3">
      <c r="A1714" t="str">
        <f>"201038C0100"</f>
        <v>201038C0100</v>
      </c>
      <c r="B1714" t="s">
        <v>3585</v>
      </c>
      <c r="C1714">
        <v>20</v>
      </c>
      <c r="D1714" t="s">
        <v>88</v>
      </c>
      <c r="E1714">
        <v>182</v>
      </c>
      <c r="F1714" t="s">
        <v>3427</v>
      </c>
      <c r="G1714">
        <v>1038</v>
      </c>
      <c r="H1714">
        <v>1</v>
      </c>
      <c r="I1714" t="s">
        <v>98</v>
      </c>
      <c r="J1714">
        <v>0</v>
      </c>
      <c r="K1714">
        <v>1</v>
      </c>
      <c r="L1714">
        <v>5</v>
      </c>
      <c r="M1714">
        <v>192</v>
      </c>
      <c r="N1714">
        <v>382</v>
      </c>
      <c r="O1714">
        <v>12</v>
      </c>
      <c r="P1714">
        <v>377</v>
      </c>
      <c r="Q1714">
        <v>1</v>
      </c>
      <c r="R1714">
        <v>17</v>
      </c>
      <c r="S1714">
        <v>3</v>
      </c>
      <c r="T1714">
        <v>23</v>
      </c>
      <c r="U1714">
        <v>3</v>
      </c>
      <c r="V1714">
        <v>3</v>
      </c>
      <c r="W1714">
        <v>3</v>
      </c>
      <c r="X1714">
        <v>207</v>
      </c>
      <c r="Y1714">
        <v>93</v>
      </c>
      <c r="Z1714">
        <v>4</v>
      </c>
      <c r="AA1714">
        <v>0</v>
      </c>
      <c r="AB1714">
        <v>1</v>
      </c>
      <c r="AC1714">
        <v>2</v>
      </c>
      <c r="AD1714">
        <v>0</v>
      </c>
      <c r="AE1714">
        <v>0</v>
      </c>
      <c r="AF1714">
        <v>0</v>
      </c>
      <c r="AK1714">
        <v>1</v>
      </c>
      <c r="AL1714">
        <v>1</v>
      </c>
      <c r="AM1714">
        <v>0</v>
      </c>
      <c r="AN1714">
        <v>1</v>
      </c>
      <c r="AZ1714">
        <v>8</v>
      </c>
      <c r="BC1714">
        <v>0</v>
      </c>
      <c r="BD1714">
        <v>7</v>
      </c>
      <c r="BE1714">
        <v>378</v>
      </c>
      <c r="BF1714">
        <v>378</v>
      </c>
      <c r="BG1714">
        <v>554</v>
      </c>
      <c r="BJ1714">
        <v>1</v>
      </c>
      <c r="BL1714" t="s">
        <v>3586</v>
      </c>
      <c r="BM1714" s="4">
        <v>43283.171527777777</v>
      </c>
      <c r="BN1714" s="4">
        <v>43283.185567129629</v>
      </c>
      <c r="BO1714" s="4">
        <v>43283.185567129629</v>
      </c>
      <c r="BP1714" t="s">
        <v>92</v>
      </c>
      <c r="BQ1714" t="s">
        <v>93</v>
      </c>
      <c r="BR1714" t="s">
        <v>94</v>
      </c>
    </row>
    <row r="1715" spans="1:70" x14ac:dyDescent="0.3">
      <c r="A1715" t="str">
        <f>"201038C0200"</f>
        <v>201038C0200</v>
      </c>
      <c r="B1715" t="s">
        <v>3587</v>
      </c>
      <c r="C1715">
        <v>20</v>
      </c>
      <c r="D1715" t="s">
        <v>88</v>
      </c>
      <c r="E1715">
        <v>182</v>
      </c>
      <c r="F1715" t="s">
        <v>3427</v>
      </c>
      <c r="G1715">
        <v>1038</v>
      </c>
      <c r="H1715">
        <v>2</v>
      </c>
      <c r="I1715" t="s">
        <v>98</v>
      </c>
      <c r="J1715">
        <v>0</v>
      </c>
      <c r="K1715">
        <v>1</v>
      </c>
      <c r="L1715">
        <v>5</v>
      </c>
      <c r="M1715">
        <v>179</v>
      </c>
      <c r="N1715">
        <v>398</v>
      </c>
      <c r="O1715">
        <v>10</v>
      </c>
      <c r="P1715">
        <v>400</v>
      </c>
      <c r="Q1715">
        <v>2</v>
      </c>
      <c r="R1715">
        <v>30</v>
      </c>
      <c r="S1715">
        <v>3</v>
      </c>
      <c r="T1715">
        <v>25</v>
      </c>
      <c r="U1715">
        <v>12</v>
      </c>
      <c r="V1715">
        <v>1</v>
      </c>
      <c r="W1715">
        <v>1</v>
      </c>
      <c r="X1715">
        <v>221</v>
      </c>
      <c r="Y1715">
        <v>79</v>
      </c>
      <c r="Z1715">
        <v>2</v>
      </c>
      <c r="AA1715">
        <v>3</v>
      </c>
      <c r="AB1715">
        <v>1</v>
      </c>
      <c r="AC1715">
        <v>0</v>
      </c>
      <c r="AD1715">
        <v>0</v>
      </c>
      <c r="AE1715">
        <v>0</v>
      </c>
      <c r="AF1715">
        <v>0</v>
      </c>
      <c r="AK1715">
        <v>2</v>
      </c>
      <c r="AL1715">
        <v>1</v>
      </c>
      <c r="AM1715">
        <v>0</v>
      </c>
      <c r="AN1715">
        <v>1</v>
      </c>
      <c r="AZ1715">
        <v>5</v>
      </c>
      <c r="BC1715">
        <v>0</v>
      </c>
      <c r="BD1715">
        <v>14</v>
      </c>
      <c r="BE1715">
        <v>403</v>
      </c>
      <c r="BF1715">
        <v>403</v>
      </c>
      <c r="BG1715">
        <v>553</v>
      </c>
      <c r="BJ1715">
        <v>1</v>
      </c>
      <c r="BL1715" t="s">
        <v>3588</v>
      </c>
      <c r="BM1715" s="4">
        <v>43283.172222222223</v>
      </c>
      <c r="BN1715" s="4">
        <v>43283.186053240737</v>
      </c>
      <c r="BO1715" s="4">
        <v>43283.186053240737</v>
      </c>
      <c r="BP1715" t="s">
        <v>92</v>
      </c>
      <c r="BQ1715" t="s">
        <v>93</v>
      </c>
      <c r="BR1715" t="s">
        <v>94</v>
      </c>
    </row>
    <row r="1716" spans="1:70" x14ac:dyDescent="0.3">
      <c r="A1716" t="str">
        <f>"201039B0100"</f>
        <v>201039B0100</v>
      </c>
      <c r="B1716" t="s">
        <v>3589</v>
      </c>
      <c r="C1716">
        <v>20</v>
      </c>
      <c r="D1716" t="s">
        <v>88</v>
      </c>
      <c r="E1716">
        <v>182</v>
      </c>
      <c r="F1716" t="s">
        <v>3427</v>
      </c>
      <c r="G1716">
        <v>1039</v>
      </c>
      <c r="H1716">
        <v>1</v>
      </c>
      <c r="I1716" t="s">
        <v>90</v>
      </c>
      <c r="J1716">
        <v>0</v>
      </c>
      <c r="K1716">
        <v>1</v>
      </c>
      <c r="L1716">
        <v>5</v>
      </c>
      <c r="M1716">
        <v>181</v>
      </c>
      <c r="N1716">
        <v>365</v>
      </c>
      <c r="O1716">
        <v>10</v>
      </c>
      <c r="P1716">
        <v>367</v>
      </c>
      <c r="Q1716">
        <v>2</v>
      </c>
      <c r="R1716">
        <v>19</v>
      </c>
      <c r="S1716">
        <v>1</v>
      </c>
      <c r="T1716">
        <v>47</v>
      </c>
      <c r="U1716">
        <v>9</v>
      </c>
      <c r="V1716">
        <v>8</v>
      </c>
      <c r="W1716">
        <v>0</v>
      </c>
      <c r="X1716">
        <v>189</v>
      </c>
      <c r="Y1716">
        <v>63</v>
      </c>
      <c r="Z1716">
        <v>3</v>
      </c>
      <c r="AA1716">
        <v>0</v>
      </c>
      <c r="AB1716">
        <v>1</v>
      </c>
      <c r="AC1716">
        <v>0</v>
      </c>
      <c r="AD1716">
        <v>0</v>
      </c>
      <c r="AE1716">
        <v>0</v>
      </c>
      <c r="AF1716">
        <v>0</v>
      </c>
      <c r="AK1716">
        <v>1</v>
      </c>
      <c r="AL1716">
        <v>1</v>
      </c>
      <c r="AM1716">
        <v>0</v>
      </c>
      <c r="AN1716">
        <v>0</v>
      </c>
      <c r="AZ1716">
        <v>5</v>
      </c>
      <c r="BC1716">
        <v>0</v>
      </c>
      <c r="BD1716">
        <v>18</v>
      </c>
      <c r="BE1716">
        <v>367</v>
      </c>
      <c r="BF1716">
        <v>367</v>
      </c>
      <c r="BG1716">
        <v>523</v>
      </c>
      <c r="BJ1716">
        <v>1</v>
      </c>
      <c r="BL1716" t="s">
        <v>3590</v>
      </c>
      <c r="BM1716" s="4">
        <v>43283.490277777775</v>
      </c>
      <c r="BN1716" s="4">
        <v>43283.503321759257</v>
      </c>
      <c r="BO1716" s="4">
        <v>43283.503321759257</v>
      </c>
      <c r="BP1716" t="s">
        <v>92</v>
      </c>
      <c r="BQ1716" t="s">
        <v>93</v>
      </c>
      <c r="BR1716" t="s">
        <v>94</v>
      </c>
    </row>
    <row r="1717" spans="1:70" x14ac:dyDescent="0.3">
      <c r="A1717" t="str">
        <f>"201039C0100"</f>
        <v>201039C0100</v>
      </c>
      <c r="B1717" t="s">
        <v>3591</v>
      </c>
      <c r="C1717">
        <v>20</v>
      </c>
      <c r="D1717" t="s">
        <v>88</v>
      </c>
      <c r="E1717">
        <v>182</v>
      </c>
      <c r="F1717" t="s">
        <v>3427</v>
      </c>
      <c r="G1717">
        <v>1039</v>
      </c>
      <c r="H1717">
        <v>1</v>
      </c>
      <c r="I1717" t="s">
        <v>98</v>
      </c>
      <c r="J1717">
        <v>0</v>
      </c>
      <c r="K1717">
        <v>1</v>
      </c>
      <c r="L1717">
        <v>5</v>
      </c>
      <c r="M1717">
        <v>169</v>
      </c>
      <c r="N1717">
        <v>375</v>
      </c>
      <c r="O1717">
        <v>5</v>
      </c>
      <c r="P1717">
        <v>375</v>
      </c>
      <c r="Q1717">
        <v>5</v>
      </c>
      <c r="R1717">
        <v>38</v>
      </c>
      <c r="S1717">
        <v>0</v>
      </c>
      <c r="T1717">
        <v>26</v>
      </c>
      <c r="U1717">
        <v>14</v>
      </c>
      <c r="V1717">
        <v>1</v>
      </c>
      <c r="W1717">
        <v>1</v>
      </c>
      <c r="X1717">
        <v>186</v>
      </c>
      <c r="Y1717">
        <v>78</v>
      </c>
      <c r="Z1717">
        <v>2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K1717">
        <v>0</v>
      </c>
      <c r="AL1717">
        <v>2</v>
      </c>
      <c r="AM1717">
        <v>1</v>
      </c>
      <c r="AN1717">
        <v>0</v>
      </c>
      <c r="AZ1717">
        <v>4</v>
      </c>
      <c r="BC1717">
        <v>0</v>
      </c>
      <c r="BD1717">
        <v>17</v>
      </c>
      <c r="BE1717">
        <v>375</v>
      </c>
      <c r="BF1717">
        <v>375</v>
      </c>
      <c r="BG1717">
        <v>522</v>
      </c>
      <c r="BJ1717">
        <v>1</v>
      </c>
      <c r="BL1717" t="s">
        <v>3592</v>
      </c>
      <c r="BM1717" s="4">
        <v>43283.20208333333</v>
      </c>
      <c r="BN1717" s="4">
        <v>43283.269687499997</v>
      </c>
      <c r="BO1717" s="4">
        <v>43283.269687499997</v>
      </c>
      <c r="BP1717" t="s">
        <v>92</v>
      </c>
      <c r="BQ1717" t="s">
        <v>93</v>
      </c>
      <c r="BR1717" t="s">
        <v>94</v>
      </c>
    </row>
    <row r="1718" spans="1:70" x14ac:dyDescent="0.3">
      <c r="A1718" t="str">
        <f>"201039C0200"</f>
        <v>201039C0200</v>
      </c>
      <c r="B1718" t="s">
        <v>3593</v>
      </c>
      <c r="C1718">
        <v>20</v>
      </c>
      <c r="D1718" t="s">
        <v>88</v>
      </c>
      <c r="E1718">
        <v>182</v>
      </c>
      <c r="F1718" t="s">
        <v>3427</v>
      </c>
      <c r="G1718">
        <v>1039</v>
      </c>
      <c r="H1718">
        <v>2</v>
      </c>
      <c r="I1718" t="s">
        <v>98</v>
      </c>
      <c r="J1718">
        <v>0</v>
      </c>
      <c r="K1718">
        <v>1</v>
      </c>
      <c r="L1718">
        <v>5</v>
      </c>
      <c r="M1718">
        <v>187</v>
      </c>
      <c r="N1718">
        <v>357</v>
      </c>
      <c r="O1718">
        <v>5</v>
      </c>
      <c r="P1718">
        <v>357</v>
      </c>
      <c r="Q1718">
        <v>1</v>
      </c>
      <c r="R1718">
        <v>14</v>
      </c>
      <c r="S1718">
        <v>2</v>
      </c>
      <c r="T1718">
        <v>30</v>
      </c>
      <c r="U1718">
        <v>8</v>
      </c>
      <c r="V1718">
        <v>2</v>
      </c>
      <c r="W1718">
        <v>0</v>
      </c>
      <c r="X1718">
        <v>193</v>
      </c>
      <c r="Y1718">
        <v>82</v>
      </c>
      <c r="Z1718">
        <v>4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  <c r="AK1718">
        <v>0</v>
      </c>
      <c r="AL1718">
        <v>0</v>
      </c>
      <c r="AM1718">
        <v>0</v>
      </c>
      <c r="AN1718">
        <v>0</v>
      </c>
      <c r="AZ1718">
        <v>3</v>
      </c>
      <c r="BC1718">
        <v>0</v>
      </c>
      <c r="BD1718">
        <v>18</v>
      </c>
      <c r="BE1718">
        <v>357</v>
      </c>
      <c r="BF1718">
        <v>357</v>
      </c>
      <c r="BG1718">
        <v>522</v>
      </c>
      <c r="BJ1718">
        <v>1</v>
      </c>
      <c r="BL1718" t="s">
        <v>3594</v>
      </c>
      <c r="BM1718" s="4">
        <v>43283.201388888891</v>
      </c>
      <c r="BN1718" s="4">
        <v>43283.219537037039</v>
      </c>
      <c r="BO1718" s="4">
        <v>43283.219537037039</v>
      </c>
      <c r="BP1718" t="s">
        <v>92</v>
      </c>
      <c r="BQ1718" t="s">
        <v>93</v>
      </c>
      <c r="BR1718" t="s">
        <v>94</v>
      </c>
    </row>
    <row r="1719" spans="1:70" x14ac:dyDescent="0.3">
      <c r="A1719" t="str">
        <f>"201040B0100"</f>
        <v>201040B0100</v>
      </c>
      <c r="B1719" t="s">
        <v>3595</v>
      </c>
      <c r="C1719">
        <v>20</v>
      </c>
      <c r="D1719" t="s">
        <v>88</v>
      </c>
      <c r="E1719">
        <v>182</v>
      </c>
      <c r="F1719" t="s">
        <v>3427</v>
      </c>
      <c r="G1719">
        <v>1040</v>
      </c>
      <c r="H1719">
        <v>1</v>
      </c>
      <c r="I1719" t="s">
        <v>90</v>
      </c>
      <c r="J1719">
        <v>0</v>
      </c>
      <c r="K1719">
        <v>1</v>
      </c>
      <c r="L1719">
        <v>5</v>
      </c>
      <c r="M1719">
        <v>188</v>
      </c>
      <c r="N1719">
        <v>432</v>
      </c>
      <c r="O1719">
        <v>8</v>
      </c>
      <c r="P1719">
        <v>433</v>
      </c>
      <c r="Q1719">
        <v>3</v>
      </c>
      <c r="R1719">
        <v>23</v>
      </c>
      <c r="S1719">
        <v>2</v>
      </c>
      <c r="T1719">
        <v>37</v>
      </c>
      <c r="U1719">
        <v>6</v>
      </c>
      <c r="V1719">
        <v>13</v>
      </c>
      <c r="W1719">
        <v>0</v>
      </c>
      <c r="X1719">
        <v>195</v>
      </c>
      <c r="Y1719">
        <v>107</v>
      </c>
      <c r="Z1719">
        <v>12</v>
      </c>
      <c r="AA1719">
        <v>1</v>
      </c>
      <c r="AB1719">
        <v>2</v>
      </c>
      <c r="AC1719">
        <v>0</v>
      </c>
      <c r="AD1719">
        <v>0</v>
      </c>
      <c r="AE1719">
        <v>0</v>
      </c>
      <c r="AF1719">
        <v>0</v>
      </c>
      <c r="AK1719">
        <v>1</v>
      </c>
      <c r="AL1719">
        <v>1</v>
      </c>
      <c r="AM1719">
        <v>0</v>
      </c>
      <c r="AN1719">
        <v>1</v>
      </c>
      <c r="AZ1719">
        <v>10</v>
      </c>
      <c r="BC1719">
        <v>0</v>
      </c>
      <c r="BD1719">
        <v>19</v>
      </c>
      <c r="BE1719">
        <v>433</v>
      </c>
      <c r="BF1719">
        <v>433</v>
      </c>
      <c r="BG1719">
        <v>599</v>
      </c>
      <c r="BJ1719">
        <v>1</v>
      </c>
      <c r="BL1719" t="s">
        <v>3596</v>
      </c>
      <c r="BM1719" s="4">
        <v>43283.20208333333</v>
      </c>
      <c r="BN1719" s="4">
        <v>43283.217974537038</v>
      </c>
      <c r="BO1719" s="4">
        <v>43283.217974537038</v>
      </c>
      <c r="BP1719" t="s">
        <v>92</v>
      </c>
      <c r="BQ1719" t="s">
        <v>93</v>
      </c>
      <c r="BR1719" t="s">
        <v>94</v>
      </c>
    </row>
    <row r="1720" spans="1:70" x14ac:dyDescent="0.3">
      <c r="A1720" t="str">
        <f>"201041B0100"</f>
        <v>201041B0100</v>
      </c>
      <c r="B1720" t="s">
        <v>3597</v>
      </c>
      <c r="C1720">
        <v>20</v>
      </c>
      <c r="D1720" t="s">
        <v>88</v>
      </c>
      <c r="E1720">
        <v>182</v>
      </c>
      <c r="F1720" t="s">
        <v>3427</v>
      </c>
      <c r="G1720">
        <v>1041</v>
      </c>
      <c r="H1720">
        <v>1</v>
      </c>
      <c r="I1720" t="s">
        <v>90</v>
      </c>
      <c r="J1720">
        <v>0</v>
      </c>
      <c r="K1720">
        <v>1</v>
      </c>
      <c r="L1720">
        <v>5</v>
      </c>
      <c r="M1720">
        <v>218</v>
      </c>
      <c r="N1720">
        <v>419</v>
      </c>
      <c r="O1720">
        <v>10</v>
      </c>
      <c r="P1720" t="s">
        <v>105</v>
      </c>
      <c r="Q1720">
        <v>4</v>
      </c>
      <c r="R1720">
        <v>25</v>
      </c>
      <c r="S1720">
        <v>2</v>
      </c>
      <c r="T1720">
        <v>72</v>
      </c>
      <c r="U1720">
        <v>11</v>
      </c>
      <c r="V1720">
        <v>5</v>
      </c>
      <c r="W1720">
        <v>0</v>
      </c>
      <c r="X1720">
        <v>182</v>
      </c>
      <c r="Y1720">
        <v>84</v>
      </c>
      <c r="Z1720">
        <v>4</v>
      </c>
      <c r="AA1720">
        <v>1</v>
      </c>
      <c r="AB1720">
        <v>2</v>
      </c>
      <c r="AC1720">
        <v>0</v>
      </c>
      <c r="AD1720">
        <v>0</v>
      </c>
      <c r="AE1720">
        <v>0</v>
      </c>
      <c r="AF1720">
        <v>0</v>
      </c>
      <c r="AK1720">
        <v>0</v>
      </c>
      <c r="AL1720">
        <v>1</v>
      </c>
      <c r="AM1720">
        <v>1</v>
      </c>
      <c r="AN1720">
        <v>0</v>
      </c>
      <c r="AZ1720">
        <v>13</v>
      </c>
      <c r="BC1720">
        <v>0</v>
      </c>
      <c r="BD1720">
        <v>13</v>
      </c>
      <c r="BE1720">
        <v>420</v>
      </c>
      <c r="BF1720">
        <v>420</v>
      </c>
      <c r="BG1720">
        <v>614</v>
      </c>
      <c r="BJ1720">
        <v>1</v>
      </c>
      <c r="BL1720" t="s">
        <v>3598</v>
      </c>
      <c r="BM1720" s="4">
        <v>43283.227083333331</v>
      </c>
      <c r="BN1720" s="4">
        <v>43283.250497685185</v>
      </c>
      <c r="BO1720" s="4">
        <v>43283.250497685185</v>
      </c>
      <c r="BP1720" t="s">
        <v>92</v>
      </c>
      <c r="BQ1720" t="s">
        <v>93</v>
      </c>
      <c r="BR1720" t="s">
        <v>94</v>
      </c>
    </row>
    <row r="1721" spans="1:70" x14ac:dyDescent="0.3">
      <c r="A1721" t="str">
        <f>"201042B0100"</f>
        <v>201042B0100</v>
      </c>
      <c r="B1721" t="s">
        <v>3599</v>
      </c>
      <c r="C1721">
        <v>20</v>
      </c>
      <c r="D1721" t="s">
        <v>88</v>
      </c>
      <c r="E1721">
        <v>182</v>
      </c>
      <c r="F1721" t="s">
        <v>3427</v>
      </c>
      <c r="G1721">
        <v>1042</v>
      </c>
      <c r="H1721">
        <v>1</v>
      </c>
      <c r="I1721" t="s">
        <v>90</v>
      </c>
      <c r="J1721">
        <v>0</v>
      </c>
      <c r="K1721">
        <v>2</v>
      </c>
      <c r="L1721">
        <v>5</v>
      </c>
      <c r="M1721">
        <v>212</v>
      </c>
      <c r="N1721">
        <v>456</v>
      </c>
      <c r="O1721">
        <v>11</v>
      </c>
      <c r="P1721">
        <v>456</v>
      </c>
      <c r="Q1721">
        <v>9</v>
      </c>
      <c r="R1721">
        <v>19</v>
      </c>
      <c r="S1721">
        <v>2</v>
      </c>
      <c r="T1721">
        <v>27</v>
      </c>
      <c r="U1721">
        <v>16</v>
      </c>
      <c r="V1721">
        <v>12</v>
      </c>
      <c r="W1721">
        <v>3</v>
      </c>
      <c r="X1721">
        <v>227</v>
      </c>
      <c r="Y1721">
        <v>103</v>
      </c>
      <c r="Z1721">
        <v>12</v>
      </c>
      <c r="AA1721">
        <v>1</v>
      </c>
      <c r="AB1721" t="s">
        <v>105</v>
      </c>
      <c r="AC1721" t="s">
        <v>105</v>
      </c>
      <c r="AD1721" t="s">
        <v>105</v>
      </c>
      <c r="AE1721" t="s">
        <v>105</v>
      </c>
      <c r="AF1721" t="s">
        <v>105</v>
      </c>
      <c r="AK1721">
        <v>4</v>
      </c>
      <c r="AL1721">
        <v>2</v>
      </c>
      <c r="AM1721">
        <v>2</v>
      </c>
      <c r="AN1721" t="s">
        <v>105</v>
      </c>
      <c r="AZ1721">
        <v>3</v>
      </c>
      <c r="BC1721" t="s">
        <v>105</v>
      </c>
      <c r="BD1721">
        <v>14</v>
      </c>
      <c r="BE1721">
        <v>456</v>
      </c>
      <c r="BF1721">
        <v>456</v>
      </c>
      <c r="BG1721">
        <v>645</v>
      </c>
      <c r="BI1721" t="s">
        <v>106</v>
      </c>
      <c r="BJ1721">
        <v>1</v>
      </c>
      <c r="BL1721" t="s">
        <v>3600</v>
      </c>
      <c r="BM1721" s="4">
        <v>43283.263888888891</v>
      </c>
      <c r="BN1721" s="4">
        <v>43283.289814814816</v>
      </c>
      <c r="BO1721" s="4">
        <v>43283.289814814816</v>
      </c>
      <c r="BP1721" t="s">
        <v>92</v>
      </c>
      <c r="BQ1721" t="s">
        <v>93</v>
      </c>
      <c r="BR1721" t="s">
        <v>94</v>
      </c>
    </row>
    <row r="1722" spans="1:70" x14ac:dyDescent="0.3">
      <c r="A1722" t="str">
        <f>"201042C0100"</f>
        <v>201042C0100</v>
      </c>
      <c r="B1722" t="s">
        <v>3601</v>
      </c>
      <c r="C1722">
        <v>20</v>
      </c>
      <c r="D1722" t="s">
        <v>88</v>
      </c>
      <c r="E1722">
        <v>182</v>
      </c>
      <c r="F1722" t="s">
        <v>3427</v>
      </c>
      <c r="G1722">
        <v>1042</v>
      </c>
      <c r="H1722">
        <v>1</v>
      </c>
      <c r="I1722" t="s">
        <v>98</v>
      </c>
      <c r="J1722">
        <v>0</v>
      </c>
      <c r="K1722">
        <v>2</v>
      </c>
      <c r="L1722">
        <v>5</v>
      </c>
      <c r="M1722">
        <v>241</v>
      </c>
      <c r="N1722">
        <v>427</v>
      </c>
      <c r="O1722">
        <v>5</v>
      </c>
      <c r="P1722">
        <v>427</v>
      </c>
      <c r="Q1722">
        <v>7</v>
      </c>
      <c r="R1722">
        <v>22</v>
      </c>
      <c r="S1722">
        <v>4</v>
      </c>
      <c r="T1722">
        <v>22</v>
      </c>
      <c r="U1722">
        <v>14</v>
      </c>
      <c r="V1722">
        <v>10</v>
      </c>
      <c r="W1722">
        <v>2</v>
      </c>
      <c r="X1722">
        <v>168</v>
      </c>
      <c r="Y1722">
        <v>144</v>
      </c>
      <c r="Z1722">
        <v>5</v>
      </c>
      <c r="AA1722">
        <v>2</v>
      </c>
      <c r="AB1722">
        <v>0</v>
      </c>
      <c r="AC1722" t="s">
        <v>105</v>
      </c>
      <c r="AD1722">
        <v>1</v>
      </c>
      <c r="AE1722" t="s">
        <v>105</v>
      </c>
      <c r="AF1722">
        <v>6</v>
      </c>
      <c r="AK1722">
        <v>6</v>
      </c>
      <c r="AL1722">
        <v>1</v>
      </c>
      <c r="AM1722">
        <v>2</v>
      </c>
      <c r="AN1722">
        <v>2</v>
      </c>
      <c r="AZ1722" t="s">
        <v>127</v>
      </c>
      <c r="BC1722">
        <v>2</v>
      </c>
      <c r="BD1722">
        <v>17</v>
      </c>
      <c r="BE1722">
        <v>427</v>
      </c>
      <c r="BF1722">
        <v>437</v>
      </c>
      <c r="BG1722">
        <v>645</v>
      </c>
      <c r="BI1722" t="s">
        <v>106</v>
      </c>
      <c r="BJ1722">
        <v>1</v>
      </c>
      <c r="BL1722" t="s">
        <v>3602</v>
      </c>
      <c r="BM1722" s="4">
        <v>43283.265277777777</v>
      </c>
      <c r="BN1722" s="4">
        <v>43283.306574074071</v>
      </c>
      <c r="BO1722" s="4">
        <v>43283.306574074071</v>
      </c>
      <c r="BP1722" t="s">
        <v>92</v>
      </c>
      <c r="BQ1722" t="s">
        <v>93</v>
      </c>
      <c r="BR1722" t="s">
        <v>94</v>
      </c>
    </row>
    <row r="1723" spans="1:70" x14ac:dyDescent="0.3">
      <c r="A1723" t="str">
        <f>"201042C0200"</f>
        <v>201042C0200</v>
      </c>
      <c r="B1723" t="s">
        <v>3603</v>
      </c>
      <c r="C1723">
        <v>20</v>
      </c>
      <c r="D1723" t="s">
        <v>88</v>
      </c>
      <c r="E1723">
        <v>182</v>
      </c>
      <c r="F1723" t="s">
        <v>3427</v>
      </c>
      <c r="G1723">
        <v>1042</v>
      </c>
      <c r="H1723">
        <v>2</v>
      </c>
      <c r="I1723" t="s">
        <v>98</v>
      </c>
      <c r="J1723">
        <v>0</v>
      </c>
      <c r="K1723">
        <v>2</v>
      </c>
      <c r="L1723">
        <v>5</v>
      </c>
      <c r="M1723">
        <v>244</v>
      </c>
      <c r="N1723">
        <v>425</v>
      </c>
      <c r="O1723">
        <v>4</v>
      </c>
      <c r="P1723">
        <v>416</v>
      </c>
      <c r="Q1723">
        <v>7</v>
      </c>
      <c r="R1723">
        <v>17</v>
      </c>
      <c r="S1723">
        <v>6</v>
      </c>
      <c r="T1723">
        <v>24</v>
      </c>
      <c r="U1723">
        <v>9</v>
      </c>
      <c r="V1723">
        <v>5</v>
      </c>
      <c r="W1723">
        <v>3</v>
      </c>
      <c r="X1723">
        <v>196</v>
      </c>
      <c r="Y1723">
        <v>111</v>
      </c>
      <c r="Z1723">
        <v>7</v>
      </c>
      <c r="AA1723">
        <v>1</v>
      </c>
      <c r="AB1723">
        <v>1</v>
      </c>
      <c r="AC1723">
        <v>0</v>
      </c>
      <c r="AD1723">
        <v>0</v>
      </c>
      <c r="AE1723">
        <v>0</v>
      </c>
      <c r="AF1723">
        <v>0</v>
      </c>
      <c r="AK1723">
        <v>7</v>
      </c>
      <c r="AL1723">
        <v>2</v>
      </c>
      <c r="AM1723">
        <v>2</v>
      </c>
      <c r="AN1723">
        <v>1</v>
      </c>
      <c r="AZ1723">
        <v>1</v>
      </c>
      <c r="BC1723">
        <v>0</v>
      </c>
      <c r="BD1723">
        <v>16</v>
      </c>
      <c r="BE1723">
        <v>416</v>
      </c>
      <c r="BF1723">
        <v>416</v>
      </c>
      <c r="BG1723">
        <v>645</v>
      </c>
      <c r="BJ1723">
        <v>1</v>
      </c>
      <c r="BL1723" t="s">
        <v>3604</v>
      </c>
      <c r="BM1723" s="4">
        <v>43283.26458333333</v>
      </c>
      <c r="BN1723" s="4">
        <v>43283.293761574074</v>
      </c>
      <c r="BO1723" s="4">
        <v>43283.293761574074</v>
      </c>
      <c r="BP1723" t="s">
        <v>92</v>
      </c>
      <c r="BQ1723" t="s">
        <v>93</v>
      </c>
      <c r="BR1723" t="s">
        <v>94</v>
      </c>
    </row>
    <row r="1724" spans="1:70" x14ac:dyDescent="0.3">
      <c r="A1724" t="str">
        <f>"201042C0300"</f>
        <v>201042C0300</v>
      </c>
      <c r="B1724" t="s">
        <v>3605</v>
      </c>
      <c r="C1724">
        <v>20</v>
      </c>
      <c r="D1724" t="s">
        <v>88</v>
      </c>
      <c r="E1724">
        <v>182</v>
      </c>
      <c r="F1724" t="s">
        <v>3427</v>
      </c>
      <c r="G1724">
        <v>1042</v>
      </c>
      <c r="H1724">
        <v>3</v>
      </c>
      <c r="I1724" t="s">
        <v>98</v>
      </c>
      <c r="J1724">
        <v>0</v>
      </c>
      <c r="K1724">
        <v>2</v>
      </c>
      <c r="L1724">
        <v>5</v>
      </c>
      <c r="M1724" t="s">
        <v>105</v>
      </c>
      <c r="N1724" t="s">
        <v>105</v>
      </c>
      <c r="O1724" t="s">
        <v>105</v>
      </c>
      <c r="P1724" t="s">
        <v>105</v>
      </c>
      <c r="Q1724" t="s">
        <v>105</v>
      </c>
      <c r="R1724" t="s">
        <v>105</v>
      </c>
      <c r="S1724" t="s">
        <v>105</v>
      </c>
      <c r="T1724" t="s">
        <v>105</v>
      </c>
      <c r="U1724" t="s">
        <v>105</v>
      </c>
      <c r="V1724" t="s">
        <v>105</v>
      </c>
      <c r="W1724" t="s">
        <v>105</v>
      </c>
      <c r="X1724" t="s">
        <v>105</v>
      </c>
      <c r="Y1724" t="s">
        <v>105</v>
      </c>
      <c r="Z1724" t="s">
        <v>105</v>
      </c>
      <c r="AA1724" t="s">
        <v>105</v>
      </c>
      <c r="AB1724" t="s">
        <v>105</v>
      </c>
      <c r="AC1724" t="s">
        <v>105</v>
      </c>
      <c r="AD1724" t="s">
        <v>105</v>
      </c>
      <c r="AE1724" t="s">
        <v>105</v>
      </c>
      <c r="AF1724" t="s">
        <v>105</v>
      </c>
      <c r="AK1724" t="s">
        <v>105</v>
      </c>
      <c r="AL1724" t="s">
        <v>105</v>
      </c>
      <c r="AM1724" t="s">
        <v>105</v>
      </c>
      <c r="AN1724" t="s">
        <v>105</v>
      </c>
      <c r="AZ1724" t="s">
        <v>105</v>
      </c>
      <c r="BC1724" t="s">
        <v>105</v>
      </c>
      <c r="BD1724" t="s">
        <v>105</v>
      </c>
      <c r="BG1724">
        <v>645</v>
      </c>
      <c r="BI1724" t="s">
        <v>1244</v>
      </c>
      <c r="BJ1724">
        <v>0</v>
      </c>
      <c r="BL1724" t="s">
        <v>3606</v>
      </c>
      <c r="BM1724" s="4">
        <v>43283.76666666667</v>
      </c>
      <c r="BN1724" s="4">
        <v>43283.769942129627</v>
      </c>
      <c r="BO1724" s="4">
        <v>43283.769942129627</v>
      </c>
      <c r="BP1724" t="s">
        <v>92</v>
      </c>
      <c r="BQ1724" t="s">
        <v>93</v>
      </c>
      <c r="BR1724" t="s">
        <v>94</v>
      </c>
    </row>
    <row r="1725" spans="1:70" x14ac:dyDescent="0.3">
      <c r="A1725" t="str">
        <f>"201042C0400"</f>
        <v>201042C0400</v>
      </c>
      <c r="B1725" t="s">
        <v>3607</v>
      </c>
      <c r="C1725">
        <v>20</v>
      </c>
      <c r="D1725" t="s">
        <v>88</v>
      </c>
      <c r="E1725">
        <v>182</v>
      </c>
      <c r="F1725" t="s">
        <v>3427</v>
      </c>
      <c r="G1725">
        <v>1042</v>
      </c>
      <c r="H1725">
        <v>4</v>
      </c>
      <c r="I1725" t="s">
        <v>98</v>
      </c>
      <c r="J1725">
        <v>0</v>
      </c>
      <c r="K1725">
        <v>2</v>
      </c>
      <c r="L1725">
        <v>5</v>
      </c>
      <c r="M1725">
        <v>213</v>
      </c>
      <c r="N1725">
        <v>455</v>
      </c>
      <c r="O1725">
        <v>9</v>
      </c>
      <c r="P1725">
        <v>462</v>
      </c>
      <c r="Q1725">
        <v>23</v>
      </c>
      <c r="R1725">
        <v>22</v>
      </c>
      <c r="S1725">
        <v>8</v>
      </c>
      <c r="T1725">
        <v>25</v>
      </c>
      <c r="U1725">
        <v>13</v>
      </c>
      <c r="V1725">
        <v>8</v>
      </c>
      <c r="W1725">
        <v>1</v>
      </c>
      <c r="X1725">
        <v>147</v>
      </c>
      <c r="Y1725">
        <v>176</v>
      </c>
      <c r="Z1725">
        <v>6</v>
      </c>
      <c r="AA1725">
        <v>1</v>
      </c>
      <c r="AB1725">
        <v>2</v>
      </c>
      <c r="AC1725" t="s">
        <v>105</v>
      </c>
      <c r="AD1725" t="s">
        <v>105</v>
      </c>
      <c r="AE1725" t="s">
        <v>105</v>
      </c>
      <c r="AF1725" t="s">
        <v>105</v>
      </c>
      <c r="AK1725">
        <v>5</v>
      </c>
      <c r="AL1725">
        <v>1</v>
      </c>
      <c r="AM1725" t="s">
        <v>105</v>
      </c>
      <c r="AN1725">
        <v>2</v>
      </c>
      <c r="AZ1725" t="s">
        <v>105</v>
      </c>
      <c r="BC1725" t="s">
        <v>105</v>
      </c>
      <c r="BD1725">
        <v>22</v>
      </c>
      <c r="BE1725">
        <v>462</v>
      </c>
      <c r="BF1725">
        <v>462</v>
      </c>
      <c r="BG1725">
        <v>645</v>
      </c>
      <c r="BI1725" t="s">
        <v>106</v>
      </c>
      <c r="BJ1725">
        <v>1</v>
      </c>
      <c r="BL1725" t="s">
        <v>3608</v>
      </c>
      <c r="BM1725" s="4">
        <v>43283.26458333333</v>
      </c>
      <c r="BN1725" s="4">
        <v>43283.292060185187</v>
      </c>
      <c r="BO1725" s="4">
        <v>43283.292060185187</v>
      </c>
      <c r="BP1725" t="s">
        <v>92</v>
      </c>
      <c r="BQ1725" t="s">
        <v>93</v>
      </c>
      <c r="BR1725" t="s">
        <v>94</v>
      </c>
    </row>
    <row r="1726" spans="1:70" x14ac:dyDescent="0.3">
      <c r="A1726" t="str">
        <f>"201042C0500"</f>
        <v>201042C0500</v>
      </c>
      <c r="B1726" t="s">
        <v>3609</v>
      </c>
      <c r="C1726">
        <v>20</v>
      </c>
      <c r="D1726" t="s">
        <v>88</v>
      </c>
      <c r="E1726">
        <v>182</v>
      </c>
      <c r="F1726" t="s">
        <v>3427</v>
      </c>
      <c r="G1726">
        <v>1042</v>
      </c>
      <c r="H1726">
        <v>5</v>
      </c>
      <c r="I1726" t="s">
        <v>98</v>
      </c>
      <c r="J1726">
        <v>0</v>
      </c>
      <c r="K1726">
        <v>2</v>
      </c>
      <c r="L1726">
        <v>5</v>
      </c>
      <c r="M1726">
        <v>218</v>
      </c>
      <c r="N1726">
        <v>449</v>
      </c>
      <c r="O1726">
        <v>12</v>
      </c>
      <c r="P1726">
        <v>449</v>
      </c>
      <c r="Q1726">
        <v>4</v>
      </c>
      <c r="R1726">
        <v>33</v>
      </c>
      <c r="S1726">
        <v>2</v>
      </c>
      <c r="T1726">
        <v>25</v>
      </c>
      <c r="U1726">
        <v>15</v>
      </c>
      <c r="V1726">
        <v>10</v>
      </c>
      <c r="W1726">
        <v>1</v>
      </c>
      <c r="X1726">
        <v>191</v>
      </c>
      <c r="Y1726">
        <v>134</v>
      </c>
      <c r="Z1726">
        <v>10</v>
      </c>
      <c r="AA1726">
        <v>0</v>
      </c>
      <c r="AB1726">
        <v>1</v>
      </c>
      <c r="AC1726">
        <v>0</v>
      </c>
      <c r="AD1726">
        <v>0</v>
      </c>
      <c r="AE1726">
        <v>0</v>
      </c>
      <c r="AF1726">
        <v>0</v>
      </c>
      <c r="AK1726">
        <v>3</v>
      </c>
      <c r="AL1726">
        <v>2</v>
      </c>
      <c r="AM1726">
        <v>0</v>
      </c>
      <c r="AN1726">
        <v>1</v>
      </c>
      <c r="AZ1726">
        <v>2</v>
      </c>
      <c r="BC1726">
        <v>0</v>
      </c>
      <c r="BD1726">
        <v>15</v>
      </c>
      <c r="BE1726">
        <v>449</v>
      </c>
      <c r="BF1726">
        <v>449</v>
      </c>
      <c r="BG1726">
        <v>645</v>
      </c>
      <c r="BJ1726">
        <v>1</v>
      </c>
      <c r="BL1726" t="s">
        <v>3610</v>
      </c>
      <c r="BM1726" s="4">
        <v>43283.265277777777</v>
      </c>
      <c r="BN1726" s="4">
        <v>43283.291620370372</v>
      </c>
      <c r="BO1726" s="4">
        <v>43283.291620370372</v>
      </c>
      <c r="BP1726" t="s">
        <v>92</v>
      </c>
      <c r="BQ1726" t="s">
        <v>93</v>
      </c>
      <c r="BR1726" t="s">
        <v>94</v>
      </c>
    </row>
    <row r="1727" spans="1:70" x14ac:dyDescent="0.3">
      <c r="A1727" t="str">
        <f>"201042C0600"</f>
        <v>201042C0600</v>
      </c>
      <c r="B1727" t="s">
        <v>3611</v>
      </c>
      <c r="C1727">
        <v>20</v>
      </c>
      <c r="D1727" t="s">
        <v>88</v>
      </c>
      <c r="E1727">
        <v>182</v>
      </c>
      <c r="F1727" t="s">
        <v>3427</v>
      </c>
      <c r="G1727">
        <v>1042</v>
      </c>
      <c r="H1727">
        <v>6</v>
      </c>
      <c r="I1727" t="s">
        <v>98</v>
      </c>
      <c r="J1727">
        <v>0</v>
      </c>
      <c r="K1727">
        <v>2</v>
      </c>
      <c r="L1727">
        <v>5</v>
      </c>
      <c r="M1727">
        <v>226</v>
      </c>
      <c r="N1727">
        <v>439</v>
      </c>
      <c r="O1727">
        <v>9</v>
      </c>
      <c r="P1727">
        <v>439</v>
      </c>
      <c r="Q1727">
        <v>4</v>
      </c>
      <c r="R1727">
        <v>15</v>
      </c>
      <c r="S1727">
        <v>2</v>
      </c>
      <c r="T1727">
        <v>30</v>
      </c>
      <c r="U1727">
        <v>17</v>
      </c>
      <c r="V1727">
        <v>6</v>
      </c>
      <c r="W1727">
        <v>2</v>
      </c>
      <c r="X1727">
        <v>234</v>
      </c>
      <c r="Y1727">
        <v>90</v>
      </c>
      <c r="Z1727">
        <v>11</v>
      </c>
      <c r="AA1727">
        <v>0</v>
      </c>
      <c r="AB1727">
        <v>0</v>
      </c>
      <c r="AC1727">
        <v>1</v>
      </c>
      <c r="AD1727">
        <v>0</v>
      </c>
      <c r="AE1727">
        <v>0</v>
      </c>
      <c r="AF1727">
        <v>0</v>
      </c>
      <c r="AK1727">
        <v>2</v>
      </c>
      <c r="AL1727">
        <v>3</v>
      </c>
      <c r="AM1727">
        <v>0</v>
      </c>
      <c r="AN1727">
        <v>1</v>
      </c>
      <c r="AZ1727">
        <v>4</v>
      </c>
      <c r="BC1727" t="s">
        <v>105</v>
      </c>
      <c r="BD1727">
        <v>17</v>
      </c>
      <c r="BE1727">
        <v>439</v>
      </c>
      <c r="BF1727">
        <v>439</v>
      </c>
      <c r="BG1727">
        <v>644</v>
      </c>
      <c r="BI1727" t="s">
        <v>106</v>
      </c>
      <c r="BJ1727">
        <v>1</v>
      </c>
      <c r="BL1727" t="s">
        <v>3612</v>
      </c>
      <c r="BM1727" s="4">
        <v>43283.268055555556</v>
      </c>
      <c r="BN1727" s="4">
        <v>43283.307106481479</v>
      </c>
      <c r="BO1727" s="4">
        <v>43283.307106481479</v>
      </c>
      <c r="BP1727" t="s">
        <v>92</v>
      </c>
      <c r="BQ1727" t="s">
        <v>93</v>
      </c>
      <c r="BR1727" t="s">
        <v>94</v>
      </c>
    </row>
    <row r="1728" spans="1:70" x14ac:dyDescent="0.3">
      <c r="A1728" t="str">
        <f>"201042E0100"</f>
        <v>201042E0100</v>
      </c>
      <c r="B1728" s="2" t="s">
        <v>3613</v>
      </c>
      <c r="C1728">
        <v>20</v>
      </c>
      <c r="D1728" t="s">
        <v>88</v>
      </c>
      <c r="E1728">
        <v>182</v>
      </c>
      <c r="F1728" t="s">
        <v>3427</v>
      </c>
      <c r="G1728">
        <v>1042</v>
      </c>
      <c r="H1728">
        <v>1</v>
      </c>
      <c r="I1728" t="s">
        <v>156</v>
      </c>
      <c r="J1728">
        <v>0</v>
      </c>
      <c r="K1728">
        <v>2</v>
      </c>
      <c r="L1728">
        <v>5</v>
      </c>
      <c r="M1728">
        <v>237</v>
      </c>
      <c r="N1728">
        <v>441</v>
      </c>
      <c r="O1728" t="s">
        <v>105</v>
      </c>
      <c r="P1728">
        <v>415</v>
      </c>
      <c r="Q1728">
        <v>9</v>
      </c>
      <c r="R1728">
        <v>10</v>
      </c>
      <c r="S1728" t="s">
        <v>127</v>
      </c>
      <c r="T1728">
        <v>66</v>
      </c>
      <c r="U1728">
        <v>4</v>
      </c>
      <c r="V1728">
        <v>10</v>
      </c>
      <c r="W1728">
        <v>0</v>
      </c>
      <c r="X1728">
        <v>215</v>
      </c>
      <c r="Y1728">
        <v>79</v>
      </c>
      <c r="Z1728">
        <v>4</v>
      </c>
      <c r="AA1728">
        <v>0</v>
      </c>
      <c r="AB1728">
        <v>1</v>
      </c>
      <c r="AC1728">
        <v>0</v>
      </c>
      <c r="AD1728">
        <v>0</v>
      </c>
      <c r="AE1728">
        <v>0</v>
      </c>
      <c r="AF1728">
        <v>0</v>
      </c>
      <c r="AK1728">
        <v>0</v>
      </c>
      <c r="AL1728">
        <v>1</v>
      </c>
      <c r="AM1728">
        <v>0</v>
      </c>
      <c r="AN1728">
        <v>0</v>
      </c>
      <c r="AZ1728">
        <v>0</v>
      </c>
      <c r="BC1728">
        <v>0</v>
      </c>
      <c r="BD1728">
        <v>13</v>
      </c>
      <c r="BE1728">
        <v>415</v>
      </c>
      <c r="BF1728">
        <v>412</v>
      </c>
      <c r="BG1728">
        <v>628</v>
      </c>
      <c r="BI1728" t="s">
        <v>106</v>
      </c>
      <c r="BJ1728">
        <v>1</v>
      </c>
      <c r="BL1728" t="s">
        <v>3614</v>
      </c>
      <c r="BM1728" s="4">
        <v>43283.166666666664</v>
      </c>
      <c r="BN1728" s="4">
        <v>43283.282673611109</v>
      </c>
      <c r="BO1728" s="4">
        <v>43283.282673611109</v>
      </c>
      <c r="BP1728" t="s">
        <v>92</v>
      </c>
      <c r="BQ1728" t="s">
        <v>93</v>
      </c>
      <c r="BR1728" t="s">
        <v>94</v>
      </c>
    </row>
    <row r="1729" spans="1:70" x14ac:dyDescent="0.3">
      <c r="A1729" t="str">
        <f>"201042E0101"</f>
        <v>201042E0101</v>
      </c>
      <c r="B1729" s="2" t="s">
        <v>3615</v>
      </c>
      <c r="C1729">
        <v>20</v>
      </c>
      <c r="D1729" t="s">
        <v>88</v>
      </c>
      <c r="E1729">
        <v>182</v>
      </c>
      <c r="F1729" t="s">
        <v>3427</v>
      </c>
      <c r="G1729">
        <v>1042</v>
      </c>
      <c r="H1729">
        <v>1</v>
      </c>
      <c r="I1729" t="s">
        <v>156</v>
      </c>
      <c r="J1729">
        <v>1</v>
      </c>
      <c r="K1729">
        <v>2</v>
      </c>
      <c r="L1729">
        <v>5</v>
      </c>
      <c r="M1729">
        <v>237</v>
      </c>
      <c r="N1729">
        <v>414</v>
      </c>
      <c r="O1729">
        <v>4</v>
      </c>
      <c r="P1729">
        <v>422</v>
      </c>
      <c r="Q1729">
        <v>5</v>
      </c>
      <c r="R1729">
        <v>11</v>
      </c>
      <c r="S1729">
        <v>1</v>
      </c>
      <c r="T1729">
        <v>50</v>
      </c>
      <c r="U1729">
        <v>19</v>
      </c>
      <c r="V1729" t="s">
        <v>105</v>
      </c>
      <c r="W1729" t="s">
        <v>105</v>
      </c>
      <c r="X1729">
        <v>214</v>
      </c>
      <c r="Y1729">
        <v>96</v>
      </c>
      <c r="Z1729">
        <v>4</v>
      </c>
      <c r="AA1729" t="s">
        <v>105</v>
      </c>
      <c r="AB1729">
        <v>1</v>
      </c>
      <c r="AC1729">
        <v>3</v>
      </c>
      <c r="AD1729" t="s">
        <v>105</v>
      </c>
      <c r="AE1729">
        <v>1</v>
      </c>
      <c r="AF1729" t="s">
        <v>105</v>
      </c>
      <c r="AK1729">
        <v>3</v>
      </c>
      <c r="AL1729">
        <v>7</v>
      </c>
      <c r="AM1729" t="s">
        <v>105</v>
      </c>
      <c r="AN1729">
        <v>2</v>
      </c>
      <c r="AZ1729" t="s">
        <v>105</v>
      </c>
      <c r="BC1729" t="s">
        <v>105</v>
      </c>
      <c r="BD1729">
        <v>15</v>
      </c>
      <c r="BE1729">
        <v>422</v>
      </c>
      <c r="BF1729">
        <v>432</v>
      </c>
      <c r="BG1729">
        <v>628</v>
      </c>
      <c r="BI1729" t="s">
        <v>106</v>
      </c>
      <c r="BJ1729">
        <v>1</v>
      </c>
      <c r="BL1729" t="s">
        <v>3616</v>
      </c>
      <c r="BM1729" s="4">
        <v>43283.168055555558</v>
      </c>
      <c r="BN1729" s="4">
        <v>43283.194108796299</v>
      </c>
      <c r="BO1729" s="4">
        <v>43283.194108796299</v>
      </c>
      <c r="BP1729" t="s">
        <v>92</v>
      </c>
      <c r="BQ1729" t="s">
        <v>93</v>
      </c>
      <c r="BR1729" t="s">
        <v>94</v>
      </c>
    </row>
    <row r="1730" spans="1:70" x14ac:dyDescent="0.3">
      <c r="A1730" t="str">
        <f>"201042E0102"</f>
        <v>201042E0102</v>
      </c>
      <c r="B1730" s="2" t="s">
        <v>3617</v>
      </c>
      <c r="C1730">
        <v>20</v>
      </c>
      <c r="D1730" t="s">
        <v>88</v>
      </c>
      <c r="E1730">
        <v>182</v>
      </c>
      <c r="F1730" t="s">
        <v>3427</v>
      </c>
      <c r="G1730">
        <v>1042</v>
      </c>
      <c r="H1730">
        <v>1</v>
      </c>
      <c r="I1730" t="s">
        <v>156</v>
      </c>
      <c r="J1730">
        <v>2</v>
      </c>
      <c r="K1730">
        <v>2</v>
      </c>
      <c r="L1730">
        <v>5</v>
      </c>
      <c r="M1730">
        <v>233</v>
      </c>
      <c r="N1730">
        <v>417</v>
      </c>
      <c r="O1730">
        <v>5</v>
      </c>
      <c r="P1730">
        <v>418</v>
      </c>
      <c r="Q1730">
        <v>2</v>
      </c>
      <c r="R1730">
        <v>7</v>
      </c>
      <c r="S1730">
        <v>1</v>
      </c>
      <c r="T1730">
        <v>39</v>
      </c>
      <c r="U1730">
        <v>9</v>
      </c>
      <c r="V1730">
        <v>9</v>
      </c>
      <c r="W1730">
        <v>1</v>
      </c>
      <c r="X1730">
        <v>224</v>
      </c>
      <c r="Y1730">
        <v>96</v>
      </c>
      <c r="Z1730">
        <v>3</v>
      </c>
      <c r="AA1730">
        <v>0</v>
      </c>
      <c r="AB1730">
        <v>1</v>
      </c>
      <c r="AC1730">
        <v>0</v>
      </c>
      <c r="AD1730">
        <v>0</v>
      </c>
      <c r="AE1730">
        <v>0</v>
      </c>
      <c r="AF1730">
        <v>0</v>
      </c>
      <c r="AK1730">
        <v>1</v>
      </c>
      <c r="AL1730">
        <v>0</v>
      </c>
      <c r="AM1730">
        <v>0</v>
      </c>
      <c r="AN1730">
        <v>1</v>
      </c>
      <c r="AZ1730">
        <v>4</v>
      </c>
      <c r="BC1730">
        <v>0</v>
      </c>
      <c r="BD1730">
        <v>20</v>
      </c>
      <c r="BE1730">
        <v>418</v>
      </c>
      <c r="BF1730">
        <v>418</v>
      </c>
      <c r="BG1730">
        <v>627</v>
      </c>
      <c r="BJ1730">
        <v>1</v>
      </c>
      <c r="BL1730" t="s">
        <v>3618</v>
      </c>
      <c r="BM1730" s="4">
        <v>43283.170138888891</v>
      </c>
      <c r="BN1730" s="4">
        <v>43283.182685185187</v>
      </c>
      <c r="BO1730" s="4">
        <v>43283.182685185187</v>
      </c>
      <c r="BP1730" t="s">
        <v>92</v>
      </c>
      <c r="BQ1730" t="s">
        <v>93</v>
      </c>
      <c r="BR1730" t="s">
        <v>94</v>
      </c>
    </row>
    <row r="1731" spans="1:70" x14ac:dyDescent="0.3">
      <c r="A1731" t="str">
        <f>"201043B0100"</f>
        <v>201043B0100</v>
      </c>
      <c r="B1731" t="s">
        <v>3619</v>
      </c>
      <c r="C1731">
        <v>20</v>
      </c>
      <c r="D1731" t="s">
        <v>88</v>
      </c>
      <c r="E1731">
        <v>182</v>
      </c>
      <c r="F1731" t="s">
        <v>3427</v>
      </c>
      <c r="G1731">
        <v>1043</v>
      </c>
      <c r="H1731">
        <v>1</v>
      </c>
      <c r="I1731" t="s">
        <v>90</v>
      </c>
      <c r="J1731">
        <v>0</v>
      </c>
      <c r="K1731">
        <v>1</v>
      </c>
      <c r="L1731">
        <v>5</v>
      </c>
      <c r="BG1731">
        <v>520</v>
      </c>
      <c r="BI1731" t="s">
        <v>122</v>
      </c>
      <c r="BJ1731">
        <v>0</v>
      </c>
      <c r="BL1731" t="s">
        <v>3620</v>
      </c>
      <c r="BM1731" s="4">
        <v>43283.482638888891</v>
      </c>
      <c r="BN1731" s="4">
        <v>43283.49318287037</v>
      </c>
      <c r="BO1731" s="4">
        <v>43283.49318287037</v>
      </c>
      <c r="BP1731" t="s">
        <v>92</v>
      </c>
      <c r="BQ1731" t="s">
        <v>93</v>
      </c>
      <c r="BR1731" t="s">
        <v>94</v>
      </c>
    </row>
    <row r="1732" spans="1:70" x14ac:dyDescent="0.3">
      <c r="A1732" t="str">
        <f>"201043C0100"</f>
        <v>201043C0100</v>
      </c>
      <c r="B1732" t="s">
        <v>3621</v>
      </c>
      <c r="C1732">
        <v>20</v>
      </c>
      <c r="D1732" t="s">
        <v>88</v>
      </c>
      <c r="E1732">
        <v>182</v>
      </c>
      <c r="F1732" t="s">
        <v>3427</v>
      </c>
      <c r="G1732">
        <v>1043</v>
      </c>
      <c r="H1732">
        <v>1</v>
      </c>
      <c r="I1732" t="s">
        <v>98</v>
      </c>
      <c r="J1732">
        <v>0</v>
      </c>
      <c r="K1732">
        <v>1</v>
      </c>
      <c r="L1732">
        <v>5</v>
      </c>
      <c r="M1732">
        <v>175</v>
      </c>
      <c r="N1732">
        <v>381</v>
      </c>
      <c r="O1732">
        <v>8</v>
      </c>
      <c r="P1732" t="s">
        <v>105</v>
      </c>
      <c r="Q1732">
        <v>2</v>
      </c>
      <c r="R1732">
        <v>20</v>
      </c>
      <c r="S1732">
        <v>1</v>
      </c>
      <c r="T1732">
        <v>24</v>
      </c>
      <c r="U1732">
        <v>3</v>
      </c>
      <c r="V1732">
        <v>5</v>
      </c>
      <c r="W1732">
        <v>1</v>
      </c>
      <c r="X1732">
        <v>165</v>
      </c>
      <c r="Y1732">
        <v>106</v>
      </c>
      <c r="Z1732">
        <v>9</v>
      </c>
      <c r="AA1732">
        <v>1</v>
      </c>
      <c r="AB1732">
        <v>1</v>
      </c>
      <c r="AC1732">
        <v>0</v>
      </c>
      <c r="AD1732">
        <v>0</v>
      </c>
      <c r="AE1732">
        <v>0</v>
      </c>
      <c r="AF1732">
        <v>0</v>
      </c>
      <c r="AK1732">
        <v>0</v>
      </c>
      <c r="AL1732">
        <v>0</v>
      </c>
      <c r="AM1732">
        <v>0</v>
      </c>
      <c r="AN1732">
        <v>5</v>
      </c>
      <c r="AZ1732">
        <v>5</v>
      </c>
      <c r="BC1732" t="s">
        <v>105</v>
      </c>
      <c r="BD1732">
        <v>11</v>
      </c>
      <c r="BE1732">
        <v>354</v>
      </c>
      <c r="BF1732">
        <v>359</v>
      </c>
      <c r="BG1732">
        <v>519</v>
      </c>
      <c r="BI1732" t="s">
        <v>106</v>
      </c>
      <c r="BJ1732">
        <v>1</v>
      </c>
      <c r="BL1732" t="s">
        <v>3622</v>
      </c>
      <c r="BM1732" s="4">
        <v>43283.204861111109</v>
      </c>
      <c r="BN1732" s="4">
        <v>43283.221886574072</v>
      </c>
      <c r="BO1732" s="4">
        <v>43283.221886574072</v>
      </c>
      <c r="BP1732" t="s">
        <v>92</v>
      </c>
      <c r="BQ1732" t="s">
        <v>93</v>
      </c>
      <c r="BR1732" t="s">
        <v>94</v>
      </c>
    </row>
    <row r="1733" spans="1:70" x14ac:dyDescent="0.3">
      <c r="A1733" t="str">
        <f>"201043C0200"</f>
        <v>201043C0200</v>
      </c>
      <c r="B1733" t="s">
        <v>3623</v>
      </c>
      <c r="C1733">
        <v>20</v>
      </c>
      <c r="D1733" t="s">
        <v>88</v>
      </c>
      <c r="E1733">
        <v>182</v>
      </c>
      <c r="F1733" t="s">
        <v>3427</v>
      </c>
      <c r="G1733">
        <v>1043</v>
      </c>
      <c r="H1733">
        <v>2</v>
      </c>
      <c r="I1733" t="s">
        <v>98</v>
      </c>
      <c r="J1733">
        <v>0</v>
      </c>
      <c r="K1733">
        <v>1</v>
      </c>
      <c r="L1733">
        <v>5</v>
      </c>
      <c r="M1733">
        <v>177</v>
      </c>
      <c r="N1733">
        <v>364</v>
      </c>
      <c r="O1733">
        <v>5</v>
      </c>
      <c r="P1733">
        <v>0</v>
      </c>
      <c r="Q1733">
        <v>8</v>
      </c>
      <c r="R1733">
        <v>13</v>
      </c>
      <c r="S1733">
        <v>2</v>
      </c>
      <c r="T1733">
        <v>28</v>
      </c>
      <c r="U1733">
        <v>5</v>
      </c>
      <c r="V1733">
        <v>10</v>
      </c>
      <c r="W1733">
        <v>1</v>
      </c>
      <c r="X1733">
        <v>176</v>
      </c>
      <c r="Y1733">
        <v>86</v>
      </c>
      <c r="Z1733">
        <v>11</v>
      </c>
      <c r="AA1733">
        <v>2</v>
      </c>
      <c r="AB1733">
        <v>0</v>
      </c>
      <c r="AC1733">
        <v>0</v>
      </c>
      <c r="AD1733">
        <v>0</v>
      </c>
      <c r="AE1733">
        <v>0</v>
      </c>
      <c r="AF1733">
        <v>0</v>
      </c>
      <c r="AK1733">
        <v>1</v>
      </c>
      <c r="AL1733">
        <v>2</v>
      </c>
      <c r="AM1733">
        <v>1</v>
      </c>
      <c r="AN1733">
        <v>0</v>
      </c>
      <c r="AZ1733">
        <v>7</v>
      </c>
      <c r="BC1733">
        <v>0</v>
      </c>
      <c r="BD1733">
        <v>11</v>
      </c>
      <c r="BE1733">
        <v>364</v>
      </c>
      <c r="BF1733">
        <v>364</v>
      </c>
      <c r="BG1733">
        <v>519</v>
      </c>
      <c r="BJ1733">
        <v>1</v>
      </c>
      <c r="BL1733" t="s">
        <v>3624</v>
      </c>
      <c r="BM1733" s="4">
        <v>43283.488194444442</v>
      </c>
      <c r="BN1733" s="4">
        <v>43283.491689814815</v>
      </c>
      <c r="BO1733" s="4">
        <v>43283.491689814815</v>
      </c>
      <c r="BP1733" t="s">
        <v>92</v>
      </c>
      <c r="BQ1733" t="s">
        <v>93</v>
      </c>
      <c r="BR1733" t="s">
        <v>94</v>
      </c>
    </row>
    <row r="1734" spans="1:70" x14ac:dyDescent="0.3">
      <c r="A1734" t="str">
        <f>"201044B0100"</f>
        <v>201044B0100</v>
      </c>
      <c r="B1734" t="s">
        <v>3625</v>
      </c>
      <c r="C1734">
        <v>20</v>
      </c>
      <c r="D1734" t="s">
        <v>88</v>
      </c>
      <c r="E1734">
        <v>182</v>
      </c>
      <c r="F1734" t="s">
        <v>3427</v>
      </c>
      <c r="G1734">
        <v>1044</v>
      </c>
      <c r="H1734">
        <v>1</v>
      </c>
      <c r="I1734" t="s">
        <v>90</v>
      </c>
      <c r="J1734">
        <v>0</v>
      </c>
      <c r="K1734">
        <v>1</v>
      </c>
      <c r="L1734">
        <v>5</v>
      </c>
      <c r="M1734">
        <v>225</v>
      </c>
      <c r="N1734">
        <v>508</v>
      </c>
      <c r="O1734">
        <v>0</v>
      </c>
      <c r="P1734">
        <v>508</v>
      </c>
      <c r="Q1734">
        <v>3</v>
      </c>
      <c r="R1734">
        <v>13</v>
      </c>
      <c r="S1734">
        <v>1</v>
      </c>
      <c r="T1734">
        <v>18</v>
      </c>
      <c r="U1734">
        <v>12</v>
      </c>
      <c r="V1734">
        <v>7</v>
      </c>
      <c r="W1734">
        <v>0</v>
      </c>
      <c r="X1734">
        <v>288</v>
      </c>
      <c r="Y1734">
        <v>120</v>
      </c>
      <c r="Z1734">
        <v>13</v>
      </c>
      <c r="AA1734">
        <v>1</v>
      </c>
      <c r="AB1734">
        <v>3</v>
      </c>
      <c r="AC1734">
        <v>1</v>
      </c>
      <c r="AD1734">
        <v>0</v>
      </c>
      <c r="AE1734">
        <v>0</v>
      </c>
      <c r="AF1734">
        <v>0</v>
      </c>
      <c r="AK1734">
        <v>4</v>
      </c>
      <c r="AL1734">
        <v>0</v>
      </c>
      <c r="AM1734">
        <v>0</v>
      </c>
      <c r="AN1734">
        <v>0</v>
      </c>
      <c r="AZ1734">
        <v>2</v>
      </c>
      <c r="BC1734">
        <v>0</v>
      </c>
      <c r="BD1734">
        <v>22</v>
      </c>
      <c r="BE1734">
        <v>508</v>
      </c>
      <c r="BF1734">
        <v>508</v>
      </c>
      <c r="BG1734">
        <v>710</v>
      </c>
      <c r="BJ1734">
        <v>1</v>
      </c>
      <c r="BL1734" t="s">
        <v>3626</v>
      </c>
      <c r="BM1734" s="4">
        <v>43283.156805555554</v>
      </c>
      <c r="BN1734" s="4">
        <v>43283.166631944441</v>
      </c>
      <c r="BO1734" s="4">
        <v>43283.166631944441</v>
      </c>
      <c r="BP1734" t="s">
        <v>339</v>
      </c>
      <c r="BQ1734" t="s">
        <v>340</v>
      </c>
      <c r="BR1734" t="s">
        <v>94</v>
      </c>
    </row>
    <row r="1735" spans="1:70" x14ac:dyDescent="0.3">
      <c r="A1735" t="str">
        <f>"201044C0100"</f>
        <v>201044C0100</v>
      </c>
      <c r="B1735" t="s">
        <v>3627</v>
      </c>
      <c r="C1735">
        <v>20</v>
      </c>
      <c r="D1735" t="s">
        <v>88</v>
      </c>
      <c r="E1735">
        <v>182</v>
      </c>
      <c r="F1735" t="s">
        <v>3427</v>
      </c>
      <c r="G1735">
        <v>1044</v>
      </c>
      <c r="H1735">
        <v>1</v>
      </c>
      <c r="I1735" t="s">
        <v>98</v>
      </c>
      <c r="J1735">
        <v>0</v>
      </c>
      <c r="K1735">
        <v>1</v>
      </c>
      <c r="L1735">
        <v>5</v>
      </c>
      <c r="M1735">
        <v>238</v>
      </c>
      <c r="N1735">
        <v>494</v>
      </c>
      <c r="O1735">
        <v>2</v>
      </c>
      <c r="P1735">
        <v>494</v>
      </c>
      <c r="Q1735">
        <v>19</v>
      </c>
      <c r="R1735">
        <v>24</v>
      </c>
      <c r="S1735">
        <v>4</v>
      </c>
      <c r="T1735">
        <v>13</v>
      </c>
      <c r="U1735">
        <v>24</v>
      </c>
      <c r="V1735">
        <v>5</v>
      </c>
      <c r="W1735">
        <v>2</v>
      </c>
      <c r="X1735">
        <v>136</v>
      </c>
      <c r="Y1735">
        <v>213</v>
      </c>
      <c r="Z1735">
        <v>11</v>
      </c>
      <c r="AA1735">
        <v>3</v>
      </c>
      <c r="AB1735">
        <v>1</v>
      </c>
      <c r="AC1735">
        <v>0</v>
      </c>
      <c r="AD1735">
        <v>0</v>
      </c>
      <c r="AE1735">
        <v>1</v>
      </c>
      <c r="AF1735">
        <v>0</v>
      </c>
      <c r="AK1735">
        <v>10</v>
      </c>
      <c r="AL1735">
        <v>0</v>
      </c>
      <c r="AM1735">
        <v>0</v>
      </c>
      <c r="AN1735">
        <v>3</v>
      </c>
      <c r="AZ1735">
        <v>2</v>
      </c>
      <c r="BC1735">
        <v>0</v>
      </c>
      <c r="BD1735">
        <v>25</v>
      </c>
      <c r="BE1735">
        <v>494</v>
      </c>
      <c r="BF1735">
        <v>496</v>
      </c>
      <c r="BG1735">
        <v>709</v>
      </c>
      <c r="BJ1735">
        <v>1</v>
      </c>
      <c r="BL1735" t="s">
        <v>3628</v>
      </c>
      <c r="BM1735" s="4">
        <v>43283.194490740738</v>
      </c>
      <c r="BN1735" s="4">
        <v>43283.210300925923</v>
      </c>
      <c r="BO1735" s="4">
        <v>43283.210300925923</v>
      </c>
      <c r="BP1735" t="s">
        <v>339</v>
      </c>
      <c r="BQ1735" t="s">
        <v>340</v>
      </c>
      <c r="BR1735" t="s">
        <v>94</v>
      </c>
    </row>
    <row r="1736" spans="1:70" x14ac:dyDescent="0.3">
      <c r="A1736" t="str">
        <f>"201045B0100"</f>
        <v>201045B0100</v>
      </c>
      <c r="B1736" t="s">
        <v>3629</v>
      </c>
      <c r="C1736">
        <v>20</v>
      </c>
      <c r="D1736" t="s">
        <v>88</v>
      </c>
      <c r="E1736">
        <v>182</v>
      </c>
      <c r="F1736" t="s">
        <v>3427</v>
      </c>
      <c r="G1736">
        <v>1045</v>
      </c>
      <c r="H1736">
        <v>1</v>
      </c>
      <c r="I1736" t="s">
        <v>90</v>
      </c>
      <c r="J1736">
        <v>0</v>
      </c>
      <c r="K1736">
        <v>1</v>
      </c>
      <c r="L1736">
        <v>5</v>
      </c>
      <c r="M1736">
        <v>234</v>
      </c>
      <c r="N1736">
        <v>446</v>
      </c>
      <c r="O1736">
        <v>3</v>
      </c>
      <c r="P1736">
        <v>446</v>
      </c>
      <c r="Q1736">
        <v>6</v>
      </c>
      <c r="R1736">
        <v>20</v>
      </c>
      <c r="S1736">
        <v>1</v>
      </c>
      <c r="T1736">
        <v>30</v>
      </c>
      <c r="U1736">
        <v>13</v>
      </c>
      <c r="V1736">
        <v>3</v>
      </c>
      <c r="W1736">
        <v>1</v>
      </c>
      <c r="X1736">
        <v>192</v>
      </c>
      <c r="Y1736">
        <v>146</v>
      </c>
      <c r="Z1736">
        <v>15</v>
      </c>
      <c r="AA1736">
        <v>2</v>
      </c>
      <c r="AB1736">
        <v>0</v>
      </c>
      <c r="AC1736">
        <v>0</v>
      </c>
      <c r="AD1736">
        <v>0</v>
      </c>
      <c r="AE1736">
        <v>0</v>
      </c>
      <c r="AF1736">
        <v>0</v>
      </c>
      <c r="AK1736">
        <v>3</v>
      </c>
      <c r="AL1736">
        <v>0</v>
      </c>
      <c r="AM1736">
        <v>0</v>
      </c>
      <c r="AN1736">
        <v>1</v>
      </c>
      <c r="AZ1736">
        <v>1</v>
      </c>
      <c r="BC1736">
        <v>0</v>
      </c>
      <c r="BD1736">
        <v>12</v>
      </c>
      <c r="BE1736">
        <v>446</v>
      </c>
      <c r="BF1736">
        <v>446</v>
      </c>
      <c r="BG1736">
        <v>657</v>
      </c>
      <c r="BJ1736">
        <v>1</v>
      </c>
      <c r="BL1736" t="s">
        <v>3630</v>
      </c>
      <c r="BM1736" s="4">
        <v>43283.166597222225</v>
      </c>
      <c r="BN1736" s="4">
        <v>43283.17664351852</v>
      </c>
      <c r="BO1736" s="4">
        <v>43283.17664351852</v>
      </c>
      <c r="BP1736" t="s">
        <v>339</v>
      </c>
      <c r="BQ1736" t="s">
        <v>340</v>
      </c>
      <c r="BR1736" t="s">
        <v>94</v>
      </c>
    </row>
    <row r="1737" spans="1:70" x14ac:dyDescent="0.3">
      <c r="A1737" t="str">
        <f>"201045C0100"</f>
        <v>201045C0100</v>
      </c>
      <c r="B1737" t="s">
        <v>3631</v>
      </c>
      <c r="C1737">
        <v>20</v>
      </c>
      <c r="D1737" t="s">
        <v>88</v>
      </c>
      <c r="E1737">
        <v>182</v>
      </c>
      <c r="F1737" t="s">
        <v>3427</v>
      </c>
      <c r="G1737">
        <v>1045</v>
      </c>
      <c r="H1737">
        <v>1</v>
      </c>
      <c r="I1737" t="s">
        <v>98</v>
      </c>
      <c r="J1737">
        <v>0</v>
      </c>
      <c r="K1737">
        <v>1</v>
      </c>
      <c r="L1737">
        <v>5</v>
      </c>
      <c r="M1737">
        <v>191</v>
      </c>
      <c r="N1737">
        <v>489</v>
      </c>
      <c r="O1737">
        <v>1</v>
      </c>
      <c r="P1737">
        <v>489</v>
      </c>
      <c r="Q1737">
        <v>4</v>
      </c>
      <c r="R1737">
        <v>17</v>
      </c>
      <c r="S1737">
        <v>3</v>
      </c>
      <c r="T1737">
        <v>34</v>
      </c>
      <c r="U1737">
        <v>9</v>
      </c>
      <c r="V1737">
        <v>3</v>
      </c>
      <c r="W1737">
        <v>1</v>
      </c>
      <c r="X1737">
        <v>201</v>
      </c>
      <c r="Y1737">
        <v>172</v>
      </c>
      <c r="Z1737">
        <v>12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0</v>
      </c>
      <c r="AK1737">
        <v>7</v>
      </c>
      <c r="AL1737">
        <v>2</v>
      </c>
      <c r="AM1737">
        <v>0</v>
      </c>
      <c r="AN1737">
        <v>0</v>
      </c>
      <c r="AZ1737">
        <v>2</v>
      </c>
      <c r="BC1737">
        <v>0</v>
      </c>
      <c r="BD1737">
        <v>22</v>
      </c>
      <c r="BE1737">
        <v>489</v>
      </c>
      <c r="BF1737">
        <v>489</v>
      </c>
      <c r="BG1737">
        <v>657</v>
      </c>
      <c r="BJ1737">
        <v>1</v>
      </c>
      <c r="BL1737" t="s">
        <v>3632</v>
      </c>
      <c r="BM1737" s="4">
        <v>43283.170798611114</v>
      </c>
      <c r="BN1737" s="4">
        <v>43283.186377314814</v>
      </c>
      <c r="BO1737" s="4">
        <v>43283.186377314814</v>
      </c>
      <c r="BP1737" t="s">
        <v>339</v>
      </c>
      <c r="BQ1737" t="s">
        <v>340</v>
      </c>
      <c r="BR1737" t="s">
        <v>94</v>
      </c>
    </row>
    <row r="1738" spans="1:70" x14ac:dyDescent="0.3">
      <c r="A1738" t="str">
        <f>"201046B0100"</f>
        <v>201046B0100</v>
      </c>
      <c r="B1738" t="s">
        <v>3633</v>
      </c>
      <c r="C1738">
        <v>20</v>
      </c>
      <c r="D1738" t="s">
        <v>88</v>
      </c>
      <c r="E1738">
        <v>182</v>
      </c>
      <c r="F1738" t="s">
        <v>3427</v>
      </c>
      <c r="G1738">
        <v>1046</v>
      </c>
      <c r="H1738">
        <v>1</v>
      </c>
      <c r="I1738" t="s">
        <v>90</v>
      </c>
      <c r="J1738">
        <v>0</v>
      </c>
      <c r="K1738">
        <v>1</v>
      </c>
      <c r="L1738">
        <v>5</v>
      </c>
      <c r="BG1738">
        <v>418</v>
      </c>
      <c r="BI1738" t="s">
        <v>122</v>
      </c>
      <c r="BJ1738">
        <v>0</v>
      </c>
      <c r="BL1738" t="s">
        <v>3634</v>
      </c>
      <c r="BM1738" s="4">
        <v>43283.48333333333</v>
      </c>
      <c r="BN1738" s="4">
        <v>43283.493437500001</v>
      </c>
      <c r="BO1738" s="4">
        <v>43283.493437500001</v>
      </c>
      <c r="BP1738" t="s">
        <v>92</v>
      </c>
      <c r="BQ1738" t="s">
        <v>93</v>
      </c>
      <c r="BR1738" t="s">
        <v>94</v>
      </c>
    </row>
    <row r="1739" spans="1:70" x14ac:dyDescent="0.3">
      <c r="A1739" t="str">
        <f>"201046C0100"</f>
        <v>201046C0100</v>
      </c>
      <c r="B1739" t="s">
        <v>3635</v>
      </c>
      <c r="C1739">
        <v>20</v>
      </c>
      <c r="D1739" t="s">
        <v>88</v>
      </c>
      <c r="E1739">
        <v>182</v>
      </c>
      <c r="F1739" t="s">
        <v>3427</v>
      </c>
      <c r="G1739">
        <v>1046</v>
      </c>
      <c r="H1739">
        <v>1</v>
      </c>
      <c r="I1739" t="s">
        <v>98</v>
      </c>
      <c r="J1739">
        <v>0</v>
      </c>
      <c r="K1739">
        <v>1</v>
      </c>
      <c r="L1739">
        <v>5</v>
      </c>
      <c r="BG1739">
        <v>417</v>
      </c>
      <c r="BI1739" t="s">
        <v>122</v>
      </c>
      <c r="BJ1739">
        <v>0</v>
      </c>
      <c r="BL1739" s="2" t="s">
        <v>3636</v>
      </c>
      <c r="BM1739" s="4">
        <v>43283.484027777777</v>
      </c>
      <c r="BN1739" s="4">
        <v>43283.496145833335</v>
      </c>
      <c r="BO1739" s="4">
        <v>43283.496145833335</v>
      </c>
      <c r="BP1739" t="s">
        <v>92</v>
      </c>
      <c r="BQ1739" t="s">
        <v>93</v>
      </c>
      <c r="BR1739" t="s">
        <v>94</v>
      </c>
    </row>
    <row r="1740" spans="1:70" x14ac:dyDescent="0.3">
      <c r="A1740" t="str">
        <f>"201047B0100"</f>
        <v>201047B0100</v>
      </c>
      <c r="B1740" t="s">
        <v>3637</v>
      </c>
      <c r="C1740">
        <v>20</v>
      </c>
      <c r="D1740" t="s">
        <v>88</v>
      </c>
      <c r="E1740">
        <v>182</v>
      </c>
      <c r="F1740" t="s">
        <v>3427</v>
      </c>
      <c r="G1740">
        <v>1047</v>
      </c>
      <c r="H1740">
        <v>1</v>
      </c>
      <c r="I1740" t="s">
        <v>90</v>
      </c>
      <c r="J1740">
        <v>0</v>
      </c>
      <c r="K1740">
        <v>1</v>
      </c>
      <c r="L1740">
        <v>5</v>
      </c>
      <c r="M1740">
        <v>230</v>
      </c>
      <c r="N1740">
        <v>513</v>
      </c>
      <c r="O1740">
        <v>1</v>
      </c>
      <c r="P1740">
        <v>513</v>
      </c>
      <c r="Q1740">
        <v>11</v>
      </c>
      <c r="R1740">
        <v>33</v>
      </c>
      <c r="S1740">
        <v>6</v>
      </c>
      <c r="T1740">
        <v>32</v>
      </c>
      <c r="U1740">
        <v>17</v>
      </c>
      <c r="V1740">
        <v>9</v>
      </c>
      <c r="W1740">
        <v>0</v>
      </c>
      <c r="X1740">
        <v>140</v>
      </c>
      <c r="Y1740">
        <v>214</v>
      </c>
      <c r="Z1740">
        <v>18</v>
      </c>
      <c r="AA1740">
        <v>6</v>
      </c>
      <c r="AB1740">
        <v>1</v>
      </c>
      <c r="AC1740">
        <v>1</v>
      </c>
      <c r="AD1740">
        <v>0</v>
      </c>
      <c r="AE1740">
        <v>0</v>
      </c>
      <c r="AF1740">
        <v>0</v>
      </c>
      <c r="AK1740">
        <v>1</v>
      </c>
      <c r="AL1740">
        <v>2</v>
      </c>
      <c r="AM1740">
        <v>0</v>
      </c>
      <c r="AN1740">
        <v>1</v>
      </c>
      <c r="AZ1740">
        <v>1</v>
      </c>
      <c r="BC1740">
        <v>0</v>
      </c>
      <c r="BD1740">
        <v>20</v>
      </c>
      <c r="BE1740">
        <v>513</v>
      </c>
      <c r="BF1740">
        <v>513</v>
      </c>
      <c r="BG1740">
        <v>721</v>
      </c>
      <c r="BJ1740">
        <v>1</v>
      </c>
      <c r="BL1740" t="s">
        <v>3638</v>
      </c>
      <c r="BM1740" s="4">
        <v>43283.356249999997</v>
      </c>
      <c r="BN1740" s="4">
        <v>43283.368657407409</v>
      </c>
      <c r="BO1740" s="4">
        <v>43283.368657407409</v>
      </c>
      <c r="BP1740" t="s">
        <v>92</v>
      </c>
      <c r="BQ1740" t="s">
        <v>93</v>
      </c>
      <c r="BR1740" t="s">
        <v>94</v>
      </c>
    </row>
    <row r="1741" spans="1:70" x14ac:dyDescent="0.3">
      <c r="A1741" t="str">
        <f>"201048B0100"</f>
        <v>201048B0100</v>
      </c>
      <c r="B1741" t="s">
        <v>3639</v>
      </c>
      <c r="C1741">
        <v>20</v>
      </c>
      <c r="D1741" t="s">
        <v>88</v>
      </c>
      <c r="E1741">
        <v>182</v>
      </c>
      <c r="F1741" t="s">
        <v>3427</v>
      </c>
      <c r="G1741">
        <v>1048</v>
      </c>
      <c r="H1741">
        <v>1</v>
      </c>
      <c r="I1741" t="s">
        <v>90</v>
      </c>
      <c r="J1741">
        <v>0</v>
      </c>
      <c r="K1741">
        <v>2</v>
      </c>
      <c r="L1741">
        <v>5</v>
      </c>
      <c r="M1741">
        <v>194</v>
      </c>
      <c r="N1741">
        <v>474</v>
      </c>
      <c r="O1741">
        <v>5</v>
      </c>
      <c r="P1741">
        <v>474</v>
      </c>
      <c r="Q1741">
        <v>6</v>
      </c>
      <c r="R1741">
        <v>30</v>
      </c>
      <c r="S1741">
        <v>5</v>
      </c>
      <c r="T1741">
        <v>53</v>
      </c>
      <c r="U1741">
        <v>17</v>
      </c>
      <c r="V1741">
        <v>7</v>
      </c>
      <c r="W1741">
        <v>2</v>
      </c>
      <c r="X1741">
        <v>171</v>
      </c>
      <c r="Y1741">
        <v>153</v>
      </c>
      <c r="Z1741">
        <v>3</v>
      </c>
      <c r="AA1741">
        <v>1</v>
      </c>
      <c r="AB1741">
        <v>2</v>
      </c>
      <c r="AC1741">
        <v>0</v>
      </c>
      <c r="AD1741">
        <v>0</v>
      </c>
      <c r="AE1741">
        <v>0</v>
      </c>
      <c r="AF1741">
        <v>0</v>
      </c>
      <c r="AK1741">
        <v>8</v>
      </c>
      <c r="AL1741">
        <v>2</v>
      </c>
      <c r="AM1741">
        <v>0</v>
      </c>
      <c r="AN1741">
        <v>1</v>
      </c>
      <c r="AZ1741">
        <v>1</v>
      </c>
      <c r="BC1741">
        <v>0</v>
      </c>
      <c r="BD1741">
        <v>12</v>
      </c>
      <c r="BE1741">
        <v>474</v>
      </c>
      <c r="BF1741">
        <v>474</v>
      </c>
      <c r="BG1741">
        <v>645</v>
      </c>
      <c r="BJ1741">
        <v>1</v>
      </c>
      <c r="BL1741" t="s">
        <v>3640</v>
      </c>
      <c r="BM1741" s="4">
        <v>43283.306944444441</v>
      </c>
      <c r="BN1741" s="4">
        <v>43283.334953703707</v>
      </c>
      <c r="BO1741" s="4">
        <v>43283.334953703707</v>
      </c>
      <c r="BP1741" t="s">
        <v>92</v>
      </c>
      <c r="BQ1741" t="s">
        <v>93</v>
      </c>
      <c r="BR1741" t="s">
        <v>94</v>
      </c>
    </row>
    <row r="1742" spans="1:70" x14ac:dyDescent="0.3">
      <c r="A1742" t="str">
        <f>"201048C0100"</f>
        <v>201048C0100</v>
      </c>
      <c r="B1742" t="s">
        <v>3641</v>
      </c>
      <c r="C1742">
        <v>20</v>
      </c>
      <c r="D1742" t="s">
        <v>88</v>
      </c>
      <c r="E1742">
        <v>182</v>
      </c>
      <c r="F1742" t="s">
        <v>3427</v>
      </c>
      <c r="G1742">
        <v>1048</v>
      </c>
      <c r="H1742">
        <v>1</v>
      </c>
      <c r="I1742" t="s">
        <v>98</v>
      </c>
      <c r="J1742">
        <v>0</v>
      </c>
      <c r="K1742">
        <v>2</v>
      </c>
      <c r="L1742">
        <v>5</v>
      </c>
      <c r="M1742">
        <v>189</v>
      </c>
      <c r="N1742">
        <v>479</v>
      </c>
      <c r="O1742">
        <v>1</v>
      </c>
      <c r="P1742" t="s">
        <v>105</v>
      </c>
      <c r="Q1742">
        <v>6</v>
      </c>
      <c r="R1742">
        <v>35</v>
      </c>
      <c r="S1742">
        <v>4</v>
      </c>
      <c r="T1742">
        <v>52</v>
      </c>
      <c r="U1742">
        <v>16</v>
      </c>
      <c r="V1742">
        <v>10</v>
      </c>
      <c r="W1742">
        <v>0</v>
      </c>
      <c r="X1742">
        <v>185</v>
      </c>
      <c r="Y1742">
        <v>133</v>
      </c>
      <c r="Z1742">
        <v>5</v>
      </c>
      <c r="AA1742">
        <v>1</v>
      </c>
      <c r="AB1742">
        <v>0</v>
      </c>
      <c r="AC1742">
        <v>0</v>
      </c>
      <c r="AD1742">
        <v>0</v>
      </c>
      <c r="AE1742">
        <v>0</v>
      </c>
      <c r="AF1742">
        <v>0</v>
      </c>
      <c r="AK1742">
        <v>1</v>
      </c>
      <c r="AL1742">
        <v>1</v>
      </c>
      <c r="AM1742">
        <v>0</v>
      </c>
      <c r="AN1742">
        <v>1</v>
      </c>
      <c r="AZ1742">
        <v>2</v>
      </c>
      <c r="BC1742" t="s">
        <v>105</v>
      </c>
      <c r="BD1742">
        <v>26</v>
      </c>
      <c r="BE1742">
        <v>667</v>
      </c>
      <c r="BF1742">
        <v>478</v>
      </c>
      <c r="BG1742">
        <v>645</v>
      </c>
      <c r="BI1742" t="s">
        <v>106</v>
      </c>
      <c r="BJ1742">
        <v>1</v>
      </c>
      <c r="BL1742" t="s">
        <v>3642</v>
      </c>
      <c r="BM1742" s="4">
        <v>43283.308333333334</v>
      </c>
      <c r="BN1742" s="4">
        <v>43283.350636574076</v>
      </c>
      <c r="BO1742" s="4">
        <v>43283.350636574076</v>
      </c>
      <c r="BP1742" t="s">
        <v>92</v>
      </c>
      <c r="BQ1742" t="s">
        <v>93</v>
      </c>
      <c r="BR1742" t="s">
        <v>94</v>
      </c>
    </row>
    <row r="1743" spans="1:70" x14ac:dyDescent="0.3">
      <c r="A1743" t="str">
        <f>"201048E0100"</f>
        <v>201048E0100</v>
      </c>
      <c r="B1743" s="2" t="s">
        <v>3643</v>
      </c>
      <c r="C1743">
        <v>20</v>
      </c>
      <c r="D1743" t="s">
        <v>88</v>
      </c>
      <c r="E1743">
        <v>182</v>
      </c>
      <c r="F1743" t="s">
        <v>3427</v>
      </c>
      <c r="G1743">
        <v>1048</v>
      </c>
      <c r="H1743">
        <v>1</v>
      </c>
      <c r="I1743" t="s">
        <v>156</v>
      </c>
      <c r="J1743">
        <v>0</v>
      </c>
      <c r="K1743">
        <v>2</v>
      </c>
      <c r="L1743">
        <v>5</v>
      </c>
      <c r="M1743">
        <v>101</v>
      </c>
      <c r="N1743">
        <v>276</v>
      </c>
      <c r="O1743">
        <v>3</v>
      </c>
      <c r="P1743">
        <v>0</v>
      </c>
      <c r="Q1743">
        <v>1</v>
      </c>
      <c r="R1743">
        <v>27</v>
      </c>
      <c r="S1743">
        <v>2</v>
      </c>
      <c r="T1743">
        <v>44</v>
      </c>
      <c r="U1743">
        <v>1</v>
      </c>
      <c r="V1743">
        <v>1</v>
      </c>
      <c r="W1743">
        <v>0</v>
      </c>
      <c r="X1743">
        <v>158</v>
      </c>
      <c r="Y1743">
        <v>17</v>
      </c>
      <c r="Z1743">
        <v>2</v>
      </c>
      <c r="AA1743">
        <v>7</v>
      </c>
      <c r="AB1743">
        <v>0</v>
      </c>
      <c r="AC1743" t="s">
        <v>105</v>
      </c>
      <c r="AD1743" t="s">
        <v>105</v>
      </c>
      <c r="AE1743" t="s">
        <v>105</v>
      </c>
      <c r="AF1743" t="s">
        <v>105</v>
      </c>
      <c r="AK1743">
        <v>1</v>
      </c>
      <c r="AL1743" t="s">
        <v>105</v>
      </c>
      <c r="AM1743" t="s">
        <v>105</v>
      </c>
      <c r="AN1743" t="s">
        <v>105</v>
      </c>
      <c r="AZ1743">
        <v>2</v>
      </c>
      <c r="BC1743" t="s">
        <v>105</v>
      </c>
      <c r="BD1743">
        <v>13</v>
      </c>
      <c r="BE1743">
        <v>276</v>
      </c>
      <c r="BF1743">
        <v>276</v>
      </c>
      <c r="BG1743">
        <v>354</v>
      </c>
      <c r="BI1743" t="s">
        <v>106</v>
      </c>
      <c r="BJ1743">
        <v>1</v>
      </c>
      <c r="BL1743" t="s">
        <v>3644</v>
      </c>
      <c r="BM1743" s="4">
        <v>43283.163194444445</v>
      </c>
      <c r="BN1743" s="4">
        <v>43283.174432870372</v>
      </c>
      <c r="BO1743" s="4">
        <v>43283.174432870372</v>
      </c>
      <c r="BP1743" t="s">
        <v>92</v>
      </c>
      <c r="BQ1743" t="s">
        <v>93</v>
      </c>
      <c r="BR1743" t="s">
        <v>94</v>
      </c>
    </row>
    <row r="1744" spans="1:70" x14ac:dyDescent="0.3">
      <c r="A1744" t="str">
        <f>"201048E0200"</f>
        <v>201048E0200</v>
      </c>
      <c r="B1744" s="2" t="s">
        <v>3645</v>
      </c>
      <c r="C1744">
        <v>20</v>
      </c>
      <c r="D1744" t="s">
        <v>88</v>
      </c>
      <c r="E1744">
        <v>182</v>
      </c>
      <c r="F1744" t="s">
        <v>3427</v>
      </c>
      <c r="G1744">
        <v>1048</v>
      </c>
      <c r="H1744">
        <v>2</v>
      </c>
      <c r="I1744" t="s">
        <v>156</v>
      </c>
      <c r="J1744">
        <v>0</v>
      </c>
      <c r="K1744">
        <v>2</v>
      </c>
      <c r="L1744">
        <v>5</v>
      </c>
      <c r="M1744">
        <v>158</v>
      </c>
      <c r="N1744">
        <v>361</v>
      </c>
      <c r="O1744">
        <v>5</v>
      </c>
      <c r="P1744">
        <v>361</v>
      </c>
      <c r="Q1744">
        <v>4</v>
      </c>
      <c r="R1744">
        <v>59</v>
      </c>
      <c r="S1744">
        <v>0</v>
      </c>
      <c r="T1744">
        <v>27</v>
      </c>
      <c r="U1744">
        <v>14</v>
      </c>
      <c r="V1744">
        <v>11</v>
      </c>
      <c r="W1744">
        <v>1</v>
      </c>
      <c r="X1744">
        <v>128</v>
      </c>
      <c r="Y1744">
        <v>99</v>
      </c>
      <c r="Z1744">
        <v>2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0</v>
      </c>
      <c r="AK1744">
        <v>2</v>
      </c>
      <c r="AL1744">
        <v>1</v>
      </c>
      <c r="AM1744">
        <v>0</v>
      </c>
      <c r="AN1744">
        <v>1</v>
      </c>
      <c r="AZ1744">
        <v>2</v>
      </c>
      <c r="BC1744">
        <v>0</v>
      </c>
      <c r="BD1744">
        <v>11</v>
      </c>
      <c r="BE1744">
        <v>361</v>
      </c>
      <c r="BF1744">
        <v>362</v>
      </c>
      <c r="BG1744">
        <v>496</v>
      </c>
      <c r="BJ1744">
        <v>1</v>
      </c>
      <c r="BL1744" t="s">
        <v>3646</v>
      </c>
      <c r="BM1744" s="4">
        <v>43283.165277777778</v>
      </c>
      <c r="BN1744" s="4">
        <v>43283.269270833334</v>
      </c>
      <c r="BO1744" s="4">
        <v>43283.269270833334</v>
      </c>
      <c r="BP1744" t="s">
        <v>92</v>
      </c>
      <c r="BQ1744" t="s">
        <v>93</v>
      </c>
      <c r="BR1744" t="s">
        <v>94</v>
      </c>
    </row>
    <row r="1745" spans="1:70" x14ac:dyDescent="0.3">
      <c r="A1745" t="str">
        <f>"201048E0300"</f>
        <v>201048E0300</v>
      </c>
      <c r="B1745" s="2" t="s">
        <v>3647</v>
      </c>
      <c r="C1745">
        <v>20</v>
      </c>
      <c r="D1745" t="s">
        <v>88</v>
      </c>
      <c r="E1745">
        <v>182</v>
      </c>
      <c r="F1745" t="s">
        <v>3427</v>
      </c>
      <c r="G1745">
        <v>1048</v>
      </c>
      <c r="H1745">
        <v>3</v>
      </c>
      <c r="I1745" t="s">
        <v>156</v>
      </c>
      <c r="J1745">
        <v>0</v>
      </c>
      <c r="K1745">
        <v>2</v>
      </c>
      <c r="L1745">
        <v>5</v>
      </c>
      <c r="M1745">
        <v>164</v>
      </c>
      <c r="N1745">
        <v>378</v>
      </c>
      <c r="O1745">
        <v>2</v>
      </c>
      <c r="P1745">
        <v>378</v>
      </c>
      <c r="Q1745">
        <v>5</v>
      </c>
      <c r="R1745">
        <v>31</v>
      </c>
      <c r="S1745">
        <v>0</v>
      </c>
      <c r="T1745">
        <v>15</v>
      </c>
      <c r="U1745">
        <v>3</v>
      </c>
      <c r="V1745">
        <v>10</v>
      </c>
      <c r="W1745">
        <v>1</v>
      </c>
      <c r="X1745">
        <v>241</v>
      </c>
      <c r="Y1745">
        <v>50</v>
      </c>
      <c r="Z1745">
        <v>1</v>
      </c>
      <c r="AA1745">
        <v>0</v>
      </c>
      <c r="AB1745">
        <v>0</v>
      </c>
      <c r="AC1745">
        <v>1</v>
      </c>
      <c r="AD1745">
        <v>0</v>
      </c>
      <c r="AE1745">
        <v>0</v>
      </c>
      <c r="AF1745">
        <v>0</v>
      </c>
      <c r="AK1745">
        <v>0</v>
      </c>
      <c r="AL1745">
        <v>1</v>
      </c>
      <c r="AM1745">
        <v>0</v>
      </c>
      <c r="AN1745">
        <v>0</v>
      </c>
      <c r="AZ1745">
        <v>0</v>
      </c>
      <c r="BC1745">
        <v>0</v>
      </c>
      <c r="BD1745">
        <v>19</v>
      </c>
      <c r="BE1745">
        <v>378</v>
      </c>
      <c r="BF1745">
        <v>378</v>
      </c>
      <c r="BG1745">
        <v>519</v>
      </c>
      <c r="BJ1745">
        <v>1</v>
      </c>
      <c r="BL1745" t="s">
        <v>3648</v>
      </c>
      <c r="BM1745" s="4">
        <v>43283.161111111112</v>
      </c>
      <c r="BN1745" s="4">
        <v>43283.172106481485</v>
      </c>
      <c r="BO1745" s="4">
        <v>43283.172106481485</v>
      </c>
      <c r="BP1745" t="s">
        <v>92</v>
      </c>
      <c r="BQ1745" t="s">
        <v>93</v>
      </c>
      <c r="BR1745" t="s">
        <v>94</v>
      </c>
    </row>
    <row r="1746" spans="1:70" x14ac:dyDescent="0.3">
      <c r="A1746" t="str">
        <f>"201049B0100"</f>
        <v>201049B0100</v>
      </c>
      <c r="B1746" t="s">
        <v>3649</v>
      </c>
      <c r="C1746">
        <v>20</v>
      </c>
      <c r="D1746" t="s">
        <v>88</v>
      </c>
      <c r="E1746">
        <v>182</v>
      </c>
      <c r="F1746" t="s">
        <v>3427</v>
      </c>
      <c r="G1746">
        <v>1049</v>
      </c>
      <c r="H1746">
        <v>1</v>
      </c>
      <c r="I1746" t="s">
        <v>90</v>
      </c>
      <c r="J1746">
        <v>0</v>
      </c>
      <c r="K1746">
        <v>2</v>
      </c>
      <c r="L1746">
        <v>5</v>
      </c>
      <c r="M1746">
        <v>194</v>
      </c>
      <c r="N1746">
        <v>317</v>
      </c>
      <c r="O1746">
        <v>6</v>
      </c>
      <c r="P1746">
        <v>317</v>
      </c>
      <c r="Q1746">
        <v>9</v>
      </c>
      <c r="R1746">
        <v>14</v>
      </c>
      <c r="S1746">
        <v>3</v>
      </c>
      <c r="T1746">
        <v>56</v>
      </c>
      <c r="U1746">
        <v>7</v>
      </c>
      <c r="V1746">
        <v>10</v>
      </c>
      <c r="W1746">
        <v>1</v>
      </c>
      <c r="X1746">
        <v>92</v>
      </c>
      <c r="Y1746">
        <v>87</v>
      </c>
      <c r="Z1746">
        <v>5</v>
      </c>
      <c r="AA1746">
        <v>0</v>
      </c>
      <c r="AB1746">
        <v>1</v>
      </c>
      <c r="AC1746" t="s">
        <v>105</v>
      </c>
      <c r="AD1746" t="s">
        <v>105</v>
      </c>
      <c r="AE1746" t="s">
        <v>105</v>
      </c>
      <c r="AF1746" t="s">
        <v>105</v>
      </c>
      <c r="AK1746">
        <v>6</v>
      </c>
      <c r="AL1746">
        <v>2</v>
      </c>
      <c r="AM1746">
        <v>0</v>
      </c>
      <c r="AN1746">
        <v>2</v>
      </c>
      <c r="AZ1746">
        <v>1</v>
      </c>
      <c r="BC1746" t="s">
        <v>105</v>
      </c>
      <c r="BD1746">
        <v>21</v>
      </c>
      <c r="BE1746">
        <v>317</v>
      </c>
      <c r="BF1746">
        <v>317</v>
      </c>
      <c r="BG1746">
        <v>488</v>
      </c>
      <c r="BI1746" t="s">
        <v>106</v>
      </c>
      <c r="BJ1746">
        <v>1</v>
      </c>
      <c r="BL1746" t="s">
        <v>3650</v>
      </c>
      <c r="BM1746" s="4">
        <v>43283.23541666667</v>
      </c>
      <c r="BN1746" s="4">
        <v>43283.363425925927</v>
      </c>
      <c r="BO1746" s="4">
        <v>43283.363425925927</v>
      </c>
      <c r="BP1746" t="s">
        <v>92</v>
      </c>
      <c r="BQ1746" t="s">
        <v>93</v>
      </c>
      <c r="BR1746" t="s">
        <v>94</v>
      </c>
    </row>
    <row r="1747" spans="1:70" x14ac:dyDescent="0.3">
      <c r="A1747" t="str">
        <f>"201050B0100"</f>
        <v>201050B0100</v>
      </c>
      <c r="B1747" t="s">
        <v>3651</v>
      </c>
      <c r="C1747">
        <v>20</v>
      </c>
      <c r="D1747" t="s">
        <v>88</v>
      </c>
      <c r="E1747">
        <v>182</v>
      </c>
      <c r="F1747" t="s">
        <v>3427</v>
      </c>
      <c r="G1747">
        <v>1050</v>
      </c>
      <c r="H1747">
        <v>1</v>
      </c>
      <c r="I1747" t="s">
        <v>90</v>
      </c>
      <c r="J1747">
        <v>0</v>
      </c>
      <c r="K1747">
        <v>2</v>
      </c>
      <c r="L1747">
        <v>5</v>
      </c>
      <c r="M1747" t="s">
        <v>127</v>
      </c>
      <c r="N1747">
        <v>317</v>
      </c>
      <c r="O1747">
        <v>3</v>
      </c>
      <c r="P1747">
        <v>313</v>
      </c>
      <c r="Q1747">
        <v>5</v>
      </c>
      <c r="R1747">
        <v>14</v>
      </c>
      <c r="S1747">
        <v>6</v>
      </c>
      <c r="T1747">
        <v>24</v>
      </c>
      <c r="U1747">
        <v>4</v>
      </c>
      <c r="V1747">
        <v>5</v>
      </c>
      <c r="W1747">
        <v>0</v>
      </c>
      <c r="X1747">
        <v>109</v>
      </c>
      <c r="Y1747">
        <v>116</v>
      </c>
      <c r="Z1747">
        <v>5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>
        <v>0</v>
      </c>
      <c r="AK1747">
        <v>4</v>
      </c>
      <c r="AL1747">
        <v>0</v>
      </c>
      <c r="AM1747">
        <v>0</v>
      </c>
      <c r="AN1747">
        <v>0</v>
      </c>
      <c r="AZ1747">
        <v>6</v>
      </c>
      <c r="BC1747">
        <v>0</v>
      </c>
      <c r="BD1747">
        <v>11</v>
      </c>
      <c r="BE1747">
        <v>313</v>
      </c>
      <c r="BF1747">
        <v>309</v>
      </c>
      <c r="BG1747">
        <v>446</v>
      </c>
      <c r="BJ1747">
        <v>1</v>
      </c>
      <c r="BL1747" t="s">
        <v>3652</v>
      </c>
      <c r="BM1747" s="4">
        <v>43283.145833333336</v>
      </c>
      <c r="BN1747" s="4">
        <v>43283.164872685185</v>
      </c>
      <c r="BO1747" s="4">
        <v>43283.164872685185</v>
      </c>
      <c r="BP1747" t="s">
        <v>92</v>
      </c>
      <c r="BQ1747" t="s">
        <v>93</v>
      </c>
      <c r="BR1747" t="s">
        <v>94</v>
      </c>
    </row>
    <row r="1748" spans="1:70" x14ac:dyDescent="0.3">
      <c r="A1748" t="str">
        <f>"201050C0100"</f>
        <v>201050C0100</v>
      </c>
      <c r="B1748" t="s">
        <v>3653</v>
      </c>
      <c r="C1748">
        <v>20</v>
      </c>
      <c r="D1748" t="s">
        <v>88</v>
      </c>
      <c r="E1748">
        <v>182</v>
      </c>
      <c r="F1748" t="s">
        <v>3427</v>
      </c>
      <c r="G1748">
        <v>1050</v>
      </c>
      <c r="H1748">
        <v>1</v>
      </c>
      <c r="I1748" t="s">
        <v>98</v>
      </c>
      <c r="J1748">
        <v>0</v>
      </c>
      <c r="K1748">
        <v>2</v>
      </c>
      <c r="L1748">
        <v>5</v>
      </c>
      <c r="M1748">
        <v>152</v>
      </c>
      <c r="N1748" t="s">
        <v>105</v>
      </c>
      <c r="O1748" t="s">
        <v>105</v>
      </c>
      <c r="P1748" t="s">
        <v>105</v>
      </c>
      <c r="Q1748">
        <v>9</v>
      </c>
      <c r="R1748">
        <v>7</v>
      </c>
      <c r="S1748">
        <v>6</v>
      </c>
      <c r="T1748">
        <v>38</v>
      </c>
      <c r="U1748">
        <v>7</v>
      </c>
      <c r="V1748">
        <v>4</v>
      </c>
      <c r="W1748">
        <v>1</v>
      </c>
      <c r="X1748">
        <v>81</v>
      </c>
      <c r="Y1748">
        <v>133</v>
      </c>
      <c r="Z1748">
        <v>3</v>
      </c>
      <c r="AA1748">
        <v>0</v>
      </c>
      <c r="AB1748">
        <v>1</v>
      </c>
      <c r="AC1748">
        <v>0</v>
      </c>
      <c r="AD1748">
        <v>0</v>
      </c>
      <c r="AE1748">
        <v>0</v>
      </c>
      <c r="AF1748">
        <v>0</v>
      </c>
      <c r="AK1748">
        <v>0</v>
      </c>
      <c r="AL1748">
        <v>1</v>
      </c>
      <c r="AM1748">
        <v>0</v>
      </c>
      <c r="AN1748">
        <v>5</v>
      </c>
      <c r="AZ1748">
        <v>2</v>
      </c>
      <c r="BC1748">
        <v>0</v>
      </c>
      <c r="BD1748">
        <v>19</v>
      </c>
      <c r="BE1748">
        <v>317</v>
      </c>
      <c r="BF1748">
        <v>317</v>
      </c>
      <c r="BG1748">
        <v>445</v>
      </c>
      <c r="BJ1748">
        <v>1</v>
      </c>
      <c r="BL1748" t="s">
        <v>3654</v>
      </c>
      <c r="BM1748" s="4">
        <v>43283.145833333336</v>
      </c>
      <c r="BN1748" s="4">
        <v>43283.155393518522</v>
      </c>
      <c r="BO1748" s="4">
        <v>43283.155393518522</v>
      </c>
      <c r="BP1748" t="s">
        <v>92</v>
      </c>
      <c r="BQ1748" t="s">
        <v>93</v>
      </c>
      <c r="BR1748" t="s">
        <v>94</v>
      </c>
    </row>
    <row r="1749" spans="1:70" x14ac:dyDescent="0.3">
      <c r="A1749" t="str">
        <f>"201051B0100"</f>
        <v>201051B0100</v>
      </c>
      <c r="B1749" t="s">
        <v>3655</v>
      </c>
      <c r="C1749">
        <v>20</v>
      </c>
      <c r="D1749" t="s">
        <v>88</v>
      </c>
      <c r="E1749">
        <v>182</v>
      </c>
      <c r="F1749" t="s">
        <v>3427</v>
      </c>
      <c r="G1749">
        <v>1051</v>
      </c>
      <c r="H1749">
        <v>1</v>
      </c>
      <c r="I1749" t="s">
        <v>90</v>
      </c>
      <c r="J1749">
        <v>0</v>
      </c>
      <c r="K1749">
        <v>2</v>
      </c>
      <c r="L1749">
        <v>5</v>
      </c>
      <c r="M1749">
        <v>166</v>
      </c>
      <c r="N1749" t="s">
        <v>105</v>
      </c>
      <c r="O1749">
        <v>9</v>
      </c>
      <c r="P1749">
        <v>284</v>
      </c>
      <c r="Q1749">
        <v>7</v>
      </c>
      <c r="R1749">
        <v>6</v>
      </c>
      <c r="S1749">
        <v>6</v>
      </c>
      <c r="T1749">
        <v>35</v>
      </c>
      <c r="U1749">
        <v>5</v>
      </c>
      <c r="V1749">
        <v>1</v>
      </c>
      <c r="W1749">
        <v>1</v>
      </c>
      <c r="X1749">
        <v>63</v>
      </c>
      <c r="Y1749">
        <v>123</v>
      </c>
      <c r="Z1749">
        <v>3</v>
      </c>
      <c r="AA1749">
        <v>1</v>
      </c>
      <c r="AB1749">
        <v>0</v>
      </c>
      <c r="AC1749">
        <v>0</v>
      </c>
      <c r="AD1749">
        <v>0</v>
      </c>
      <c r="AE1749">
        <v>0</v>
      </c>
      <c r="AF1749">
        <v>0</v>
      </c>
      <c r="AK1749">
        <v>3</v>
      </c>
      <c r="AL1749">
        <v>0</v>
      </c>
      <c r="AM1749">
        <v>0</v>
      </c>
      <c r="AN1749">
        <v>1</v>
      </c>
      <c r="AZ1749">
        <v>7</v>
      </c>
      <c r="BC1749">
        <v>0</v>
      </c>
      <c r="BD1749">
        <v>22</v>
      </c>
      <c r="BE1749">
        <v>284</v>
      </c>
      <c r="BF1749">
        <v>284</v>
      </c>
      <c r="BG1749">
        <v>427</v>
      </c>
      <c r="BJ1749">
        <v>1</v>
      </c>
      <c r="BL1749" t="s">
        <v>3656</v>
      </c>
      <c r="BM1749" s="4">
        <v>43283.229861111111</v>
      </c>
      <c r="BN1749" s="4">
        <v>43283.268287037034</v>
      </c>
      <c r="BO1749" s="4">
        <v>43283.268287037034</v>
      </c>
      <c r="BP1749" t="s">
        <v>92</v>
      </c>
      <c r="BQ1749" t="s">
        <v>93</v>
      </c>
      <c r="BR1749" t="s">
        <v>94</v>
      </c>
    </row>
    <row r="1750" spans="1:70" x14ac:dyDescent="0.3">
      <c r="A1750" t="str">
        <f>"201051C0100"</f>
        <v>201051C0100</v>
      </c>
      <c r="B1750" t="s">
        <v>3657</v>
      </c>
      <c r="C1750">
        <v>20</v>
      </c>
      <c r="D1750" t="s">
        <v>88</v>
      </c>
      <c r="E1750">
        <v>182</v>
      </c>
      <c r="F1750" t="s">
        <v>3427</v>
      </c>
      <c r="G1750">
        <v>1051</v>
      </c>
      <c r="H1750">
        <v>1</v>
      </c>
      <c r="I1750" t="s">
        <v>98</v>
      </c>
      <c r="J1750">
        <v>0</v>
      </c>
      <c r="K1750">
        <v>2</v>
      </c>
      <c r="L1750">
        <v>5</v>
      </c>
      <c r="M1750">
        <v>182</v>
      </c>
      <c r="N1750" t="s">
        <v>105</v>
      </c>
      <c r="O1750">
        <v>3</v>
      </c>
      <c r="P1750">
        <v>268</v>
      </c>
      <c r="Q1750">
        <v>10</v>
      </c>
      <c r="R1750">
        <v>5</v>
      </c>
      <c r="S1750">
        <v>5</v>
      </c>
      <c r="T1750">
        <v>32</v>
      </c>
      <c r="U1750">
        <v>8</v>
      </c>
      <c r="V1750">
        <v>3</v>
      </c>
      <c r="W1750">
        <v>0</v>
      </c>
      <c r="X1750">
        <v>65</v>
      </c>
      <c r="Y1750">
        <v>8</v>
      </c>
      <c r="Z1750">
        <v>6</v>
      </c>
      <c r="AA1750">
        <v>1</v>
      </c>
      <c r="AB1750">
        <v>0</v>
      </c>
      <c r="AC1750">
        <v>0</v>
      </c>
      <c r="AD1750">
        <v>0</v>
      </c>
      <c r="AE1750">
        <v>0</v>
      </c>
      <c r="AF1750">
        <v>0</v>
      </c>
      <c r="AK1750">
        <v>2</v>
      </c>
      <c r="AL1750">
        <v>1</v>
      </c>
      <c r="AM1750">
        <v>1</v>
      </c>
      <c r="AN1750">
        <v>3</v>
      </c>
      <c r="AZ1750">
        <v>1</v>
      </c>
      <c r="BC1750">
        <v>0</v>
      </c>
      <c r="BD1750">
        <v>16</v>
      </c>
      <c r="BE1750">
        <v>268</v>
      </c>
      <c r="BF1750">
        <v>167</v>
      </c>
      <c r="BG1750">
        <v>427</v>
      </c>
      <c r="BJ1750">
        <v>1</v>
      </c>
      <c r="BL1750" t="s">
        <v>3658</v>
      </c>
      <c r="BM1750" s="4">
        <v>43283.23333333333</v>
      </c>
      <c r="BN1750" s="4">
        <v>43283.256597222222</v>
      </c>
      <c r="BO1750" s="4">
        <v>43283.256597222222</v>
      </c>
      <c r="BP1750" t="s">
        <v>92</v>
      </c>
      <c r="BQ1750" t="s">
        <v>93</v>
      </c>
      <c r="BR1750" t="s">
        <v>94</v>
      </c>
    </row>
    <row r="1751" spans="1:70" x14ac:dyDescent="0.3">
      <c r="A1751" t="str">
        <f>"201051E0100"</f>
        <v>201051E0100</v>
      </c>
      <c r="B1751" s="2" t="s">
        <v>3659</v>
      </c>
      <c r="C1751">
        <v>20</v>
      </c>
      <c r="D1751" t="s">
        <v>88</v>
      </c>
      <c r="E1751">
        <v>182</v>
      </c>
      <c r="F1751" t="s">
        <v>3427</v>
      </c>
      <c r="G1751">
        <v>1051</v>
      </c>
      <c r="H1751">
        <v>1</v>
      </c>
      <c r="I1751" t="s">
        <v>156</v>
      </c>
      <c r="J1751">
        <v>0</v>
      </c>
      <c r="K1751">
        <v>2</v>
      </c>
      <c r="L1751">
        <v>5</v>
      </c>
      <c r="M1751">
        <v>62</v>
      </c>
      <c r="N1751">
        <v>181</v>
      </c>
      <c r="O1751">
        <v>2</v>
      </c>
      <c r="P1751">
        <v>181</v>
      </c>
      <c r="Q1751">
        <v>6</v>
      </c>
      <c r="R1751">
        <v>4</v>
      </c>
      <c r="S1751">
        <v>2</v>
      </c>
      <c r="T1751">
        <v>20</v>
      </c>
      <c r="U1751">
        <v>7</v>
      </c>
      <c r="V1751">
        <v>9</v>
      </c>
      <c r="W1751">
        <v>1</v>
      </c>
      <c r="X1751">
        <v>62</v>
      </c>
      <c r="Y1751">
        <v>46</v>
      </c>
      <c r="Z1751">
        <v>3</v>
      </c>
      <c r="AA1751">
        <v>0</v>
      </c>
      <c r="AB1751">
        <v>1</v>
      </c>
      <c r="AC1751">
        <v>0</v>
      </c>
      <c r="AD1751">
        <v>0</v>
      </c>
      <c r="AE1751">
        <v>0</v>
      </c>
      <c r="AF1751">
        <v>0</v>
      </c>
      <c r="AK1751">
        <v>3</v>
      </c>
      <c r="AL1751">
        <v>1</v>
      </c>
      <c r="AM1751">
        <v>0</v>
      </c>
      <c r="AN1751">
        <v>0</v>
      </c>
      <c r="AZ1751">
        <v>0</v>
      </c>
      <c r="BC1751">
        <v>0</v>
      </c>
      <c r="BD1751">
        <v>16</v>
      </c>
      <c r="BE1751">
        <v>181</v>
      </c>
      <c r="BF1751">
        <v>181</v>
      </c>
      <c r="BG1751">
        <v>220</v>
      </c>
      <c r="BJ1751">
        <v>1</v>
      </c>
      <c r="BL1751" t="s">
        <v>3660</v>
      </c>
      <c r="BM1751" s="4">
        <v>43283.19027777778</v>
      </c>
      <c r="BN1751" s="4">
        <v>43283.206863425927</v>
      </c>
      <c r="BO1751" s="4">
        <v>43283.206863425927</v>
      </c>
      <c r="BP1751" t="s">
        <v>92</v>
      </c>
      <c r="BQ1751" t="s">
        <v>93</v>
      </c>
      <c r="BR1751" t="s">
        <v>94</v>
      </c>
    </row>
    <row r="1752" spans="1:70" x14ac:dyDescent="0.3">
      <c r="A1752" t="str">
        <f>"201051E0200"</f>
        <v>201051E0200</v>
      </c>
      <c r="B1752" s="2" t="s">
        <v>3661</v>
      </c>
      <c r="C1752">
        <v>20</v>
      </c>
      <c r="D1752" t="s">
        <v>88</v>
      </c>
      <c r="E1752">
        <v>182</v>
      </c>
      <c r="F1752" t="s">
        <v>3427</v>
      </c>
      <c r="G1752">
        <v>1051</v>
      </c>
      <c r="H1752">
        <v>2</v>
      </c>
      <c r="I1752" t="s">
        <v>156</v>
      </c>
      <c r="J1752">
        <v>0</v>
      </c>
      <c r="K1752">
        <v>2</v>
      </c>
      <c r="L1752">
        <v>5</v>
      </c>
      <c r="M1752">
        <v>106</v>
      </c>
      <c r="N1752">
        <v>223</v>
      </c>
      <c r="O1752">
        <v>3</v>
      </c>
      <c r="P1752">
        <v>223</v>
      </c>
      <c r="Q1752">
        <v>0</v>
      </c>
      <c r="R1752">
        <v>9</v>
      </c>
      <c r="S1752">
        <v>0</v>
      </c>
      <c r="T1752">
        <v>30</v>
      </c>
      <c r="U1752">
        <v>3</v>
      </c>
      <c r="V1752">
        <v>4</v>
      </c>
      <c r="W1752">
        <v>0</v>
      </c>
      <c r="X1752">
        <v>116</v>
      </c>
      <c r="Y1752">
        <v>38</v>
      </c>
      <c r="Z1752">
        <v>5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  <c r="AK1752">
        <v>1</v>
      </c>
      <c r="AL1752">
        <v>0</v>
      </c>
      <c r="AM1752">
        <v>0</v>
      </c>
      <c r="AN1752">
        <v>1</v>
      </c>
      <c r="AZ1752">
        <v>0</v>
      </c>
      <c r="BC1752">
        <v>0</v>
      </c>
      <c r="BD1752">
        <v>16</v>
      </c>
      <c r="BE1752">
        <v>223</v>
      </c>
      <c r="BF1752">
        <v>223</v>
      </c>
      <c r="BG1752">
        <v>306</v>
      </c>
      <c r="BJ1752">
        <v>1</v>
      </c>
      <c r="BL1752" t="s">
        <v>3662</v>
      </c>
      <c r="BM1752" s="4">
        <v>43283.23333333333</v>
      </c>
      <c r="BN1752" s="4">
        <v>43283.25677083333</v>
      </c>
      <c r="BO1752" s="4">
        <v>43283.25677083333</v>
      </c>
      <c r="BP1752" t="s">
        <v>92</v>
      </c>
      <c r="BQ1752" t="s">
        <v>93</v>
      </c>
      <c r="BR1752" t="s">
        <v>94</v>
      </c>
    </row>
    <row r="1753" spans="1:70" x14ac:dyDescent="0.3">
      <c r="A1753" t="str">
        <f>"201052B0100"</f>
        <v>201052B0100</v>
      </c>
      <c r="B1753" t="s">
        <v>3663</v>
      </c>
      <c r="C1753">
        <v>20</v>
      </c>
      <c r="D1753" t="s">
        <v>88</v>
      </c>
      <c r="E1753">
        <v>182</v>
      </c>
      <c r="F1753" t="s">
        <v>3427</v>
      </c>
      <c r="G1753">
        <v>1052</v>
      </c>
      <c r="H1753">
        <v>1</v>
      </c>
      <c r="I1753" t="s">
        <v>90</v>
      </c>
      <c r="J1753">
        <v>0</v>
      </c>
      <c r="K1753">
        <v>1</v>
      </c>
      <c r="L1753">
        <v>5</v>
      </c>
      <c r="M1753">
        <v>305</v>
      </c>
      <c r="N1753">
        <v>468</v>
      </c>
      <c r="O1753">
        <v>4</v>
      </c>
      <c r="P1753">
        <v>485</v>
      </c>
      <c r="Q1753">
        <v>2</v>
      </c>
      <c r="R1753">
        <v>24</v>
      </c>
      <c r="S1753">
        <v>1</v>
      </c>
      <c r="T1753">
        <v>32</v>
      </c>
      <c r="U1753">
        <v>14</v>
      </c>
      <c r="V1753">
        <v>5</v>
      </c>
      <c r="W1753">
        <v>1</v>
      </c>
      <c r="X1753">
        <v>262</v>
      </c>
      <c r="Y1753">
        <v>114</v>
      </c>
      <c r="Z1753">
        <v>4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K1753">
        <v>2</v>
      </c>
      <c r="AL1753">
        <v>1</v>
      </c>
      <c r="AM1753">
        <v>1</v>
      </c>
      <c r="AN1753">
        <v>3</v>
      </c>
      <c r="AZ1753">
        <v>6</v>
      </c>
      <c r="BC1753">
        <v>0</v>
      </c>
      <c r="BD1753">
        <v>8</v>
      </c>
      <c r="BE1753">
        <v>485</v>
      </c>
      <c r="BF1753">
        <v>480</v>
      </c>
      <c r="BG1753">
        <v>750</v>
      </c>
      <c r="BJ1753">
        <v>1</v>
      </c>
      <c r="BL1753" t="s">
        <v>3664</v>
      </c>
      <c r="BM1753" s="4">
        <v>43283.219444444447</v>
      </c>
      <c r="BN1753" s="4">
        <v>43283.242094907408</v>
      </c>
      <c r="BO1753" s="4">
        <v>43283.242094907408</v>
      </c>
      <c r="BP1753" t="s">
        <v>92</v>
      </c>
      <c r="BQ1753" t="s">
        <v>93</v>
      </c>
      <c r="BR1753" t="s">
        <v>94</v>
      </c>
    </row>
    <row r="1754" spans="1:70" x14ac:dyDescent="0.3">
      <c r="A1754" t="str">
        <f>"201052C0100"</f>
        <v>201052C0100</v>
      </c>
      <c r="B1754" t="s">
        <v>3665</v>
      </c>
      <c r="C1754">
        <v>20</v>
      </c>
      <c r="D1754" t="s">
        <v>88</v>
      </c>
      <c r="E1754">
        <v>182</v>
      </c>
      <c r="F1754" t="s">
        <v>3427</v>
      </c>
      <c r="G1754">
        <v>1052</v>
      </c>
      <c r="H1754">
        <v>1</v>
      </c>
      <c r="I1754" t="s">
        <v>98</v>
      </c>
      <c r="J1754">
        <v>0</v>
      </c>
      <c r="K1754">
        <v>1</v>
      </c>
      <c r="L1754">
        <v>5</v>
      </c>
      <c r="M1754">
        <v>300</v>
      </c>
      <c r="N1754">
        <v>472</v>
      </c>
      <c r="O1754">
        <v>8</v>
      </c>
      <c r="P1754">
        <v>460</v>
      </c>
      <c r="Q1754">
        <v>4</v>
      </c>
      <c r="R1754">
        <v>20</v>
      </c>
      <c r="S1754">
        <v>2</v>
      </c>
      <c r="T1754">
        <v>38</v>
      </c>
      <c r="U1754">
        <v>14</v>
      </c>
      <c r="V1754">
        <v>5</v>
      </c>
      <c r="W1754">
        <v>2</v>
      </c>
      <c r="X1754">
        <v>221</v>
      </c>
      <c r="Y1754">
        <v>118</v>
      </c>
      <c r="Z1754">
        <v>8</v>
      </c>
      <c r="AA1754">
        <v>0</v>
      </c>
      <c r="AB1754">
        <v>2</v>
      </c>
      <c r="AC1754">
        <v>0</v>
      </c>
      <c r="AD1754">
        <v>0</v>
      </c>
      <c r="AE1754">
        <v>0</v>
      </c>
      <c r="AF1754">
        <v>0</v>
      </c>
      <c r="AK1754">
        <v>1</v>
      </c>
      <c r="AL1754">
        <v>1</v>
      </c>
      <c r="AM1754">
        <v>0</v>
      </c>
      <c r="AN1754">
        <v>1</v>
      </c>
      <c r="AZ1754">
        <v>4</v>
      </c>
      <c r="BC1754">
        <v>0</v>
      </c>
      <c r="BD1754">
        <v>19</v>
      </c>
      <c r="BE1754">
        <v>460</v>
      </c>
      <c r="BF1754">
        <v>460</v>
      </c>
      <c r="BG1754">
        <v>750</v>
      </c>
      <c r="BJ1754">
        <v>1</v>
      </c>
      <c r="BL1754" t="s">
        <v>3666</v>
      </c>
      <c r="BM1754" s="4">
        <v>43283.218055555553</v>
      </c>
      <c r="BN1754" s="4">
        <v>43283.245439814818</v>
      </c>
      <c r="BO1754" s="4">
        <v>43283.245439814818</v>
      </c>
      <c r="BP1754" t="s">
        <v>92</v>
      </c>
      <c r="BQ1754" t="s">
        <v>93</v>
      </c>
      <c r="BR1754" t="s">
        <v>94</v>
      </c>
    </row>
    <row r="1755" spans="1:70" x14ac:dyDescent="0.3">
      <c r="A1755" t="str">
        <f>"201052C0200"</f>
        <v>201052C0200</v>
      </c>
      <c r="B1755" t="s">
        <v>3667</v>
      </c>
      <c r="C1755">
        <v>20</v>
      </c>
      <c r="D1755" t="s">
        <v>88</v>
      </c>
      <c r="E1755">
        <v>182</v>
      </c>
      <c r="F1755" t="s">
        <v>3427</v>
      </c>
      <c r="G1755">
        <v>1052</v>
      </c>
      <c r="H1755">
        <v>2</v>
      </c>
      <c r="I1755" t="s">
        <v>98</v>
      </c>
      <c r="J1755">
        <v>0</v>
      </c>
      <c r="K1755">
        <v>1</v>
      </c>
      <c r="L1755">
        <v>5</v>
      </c>
      <c r="M1755">
        <v>302</v>
      </c>
      <c r="N1755">
        <v>471</v>
      </c>
      <c r="O1755">
        <v>8</v>
      </c>
      <c r="P1755">
        <v>469</v>
      </c>
      <c r="Q1755">
        <v>7</v>
      </c>
      <c r="R1755">
        <v>28</v>
      </c>
      <c r="S1755">
        <v>2</v>
      </c>
      <c r="T1755">
        <v>32</v>
      </c>
      <c r="U1755">
        <v>10</v>
      </c>
      <c r="V1755">
        <v>7</v>
      </c>
      <c r="W1755">
        <v>1</v>
      </c>
      <c r="X1755">
        <v>246</v>
      </c>
      <c r="Y1755">
        <v>104</v>
      </c>
      <c r="Z1755">
        <v>4</v>
      </c>
      <c r="AA1755">
        <v>0</v>
      </c>
      <c r="AB1755">
        <v>0</v>
      </c>
      <c r="AC1755">
        <v>1</v>
      </c>
      <c r="AD1755">
        <v>2</v>
      </c>
      <c r="AE1755">
        <v>1</v>
      </c>
      <c r="AF1755">
        <v>0</v>
      </c>
      <c r="AK1755">
        <v>3</v>
      </c>
      <c r="AL1755">
        <v>0</v>
      </c>
      <c r="AM1755">
        <v>0</v>
      </c>
      <c r="AN1755">
        <v>1</v>
      </c>
      <c r="AZ1755">
        <v>7</v>
      </c>
      <c r="BC1755">
        <v>0</v>
      </c>
      <c r="BD1755">
        <v>21</v>
      </c>
      <c r="BE1755">
        <v>477</v>
      </c>
      <c r="BF1755">
        <v>477</v>
      </c>
      <c r="BG1755">
        <v>749</v>
      </c>
      <c r="BJ1755">
        <v>1</v>
      </c>
      <c r="BL1755" t="s">
        <v>3668</v>
      </c>
      <c r="BM1755" s="4">
        <v>43283.218055555553</v>
      </c>
      <c r="BN1755" s="4">
        <v>43283.239791666667</v>
      </c>
      <c r="BO1755" s="4">
        <v>43283.239791666667</v>
      </c>
      <c r="BP1755" t="s">
        <v>92</v>
      </c>
      <c r="BQ1755" t="s">
        <v>93</v>
      </c>
      <c r="BR1755" t="s">
        <v>94</v>
      </c>
    </row>
    <row r="1756" spans="1:70" x14ac:dyDescent="0.3">
      <c r="A1756" t="str">
        <f>"201052C0300"</f>
        <v>201052C0300</v>
      </c>
      <c r="B1756" t="s">
        <v>3669</v>
      </c>
      <c r="C1756">
        <v>20</v>
      </c>
      <c r="D1756" t="s">
        <v>88</v>
      </c>
      <c r="E1756">
        <v>182</v>
      </c>
      <c r="F1756" t="s">
        <v>3427</v>
      </c>
      <c r="G1756">
        <v>1052</v>
      </c>
      <c r="H1756">
        <v>3</v>
      </c>
      <c r="I1756" t="s">
        <v>98</v>
      </c>
      <c r="J1756">
        <v>0</v>
      </c>
      <c r="K1756">
        <v>1</v>
      </c>
      <c r="L1756">
        <v>5</v>
      </c>
      <c r="BG1756">
        <v>749</v>
      </c>
      <c r="BI1756" t="s">
        <v>365</v>
      </c>
      <c r="BJ1756">
        <v>0</v>
      </c>
      <c r="BL1756" t="s">
        <v>3670</v>
      </c>
      <c r="BM1756" s="4">
        <v>43283.502083333333</v>
      </c>
      <c r="BN1756" s="4">
        <v>43283.504189814812</v>
      </c>
      <c r="BO1756" s="4">
        <v>43283.504189814812</v>
      </c>
      <c r="BP1756" t="s">
        <v>92</v>
      </c>
      <c r="BQ1756" t="s">
        <v>93</v>
      </c>
      <c r="BR1756" t="s">
        <v>94</v>
      </c>
    </row>
    <row r="1757" spans="1:70" x14ac:dyDescent="0.3">
      <c r="A1757" t="str">
        <f>"201053B0100"</f>
        <v>201053B0100</v>
      </c>
      <c r="B1757" t="s">
        <v>3671</v>
      </c>
      <c r="C1757">
        <v>20</v>
      </c>
      <c r="D1757" t="s">
        <v>88</v>
      </c>
      <c r="E1757">
        <v>182</v>
      </c>
      <c r="F1757" t="s">
        <v>3427</v>
      </c>
      <c r="G1757">
        <v>1053</v>
      </c>
      <c r="H1757">
        <v>1</v>
      </c>
      <c r="I1757" t="s">
        <v>90</v>
      </c>
      <c r="J1757">
        <v>0</v>
      </c>
      <c r="K1757">
        <v>1</v>
      </c>
      <c r="L1757">
        <v>5</v>
      </c>
      <c r="M1757">
        <v>256</v>
      </c>
      <c r="N1757">
        <v>463</v>
      </c>
      <c r="O1757">
        <v>9</v>
      </c>
      <c r="P1757">
        <v>465</v>
      </c>
      <c r="Q1757">
        <v>1</v>
      </c>
      <c r="R1757">
        <v>28</v>
      </c>
      <c r="S1757">
        <v>0</v>
      </c>
      <c r="T1757">
        <v>31</v>
      </c>
      <c r="U1757">
        <v>11</v>
      </c>
      <c r="V1757">
        <v>4</v>
      </c>
      <c r="W1757">
        <v>3</v>
      </c>
      <c r="X1757">
        <v>236</v>
      </c>
      <c r="Y1757">
        <v>115</v>
      </c>
      <c r="Z1757">
        <v>2</v>
      </c>
      <c r="AA1757">
        <v>1</v>
      </c>
      <c r="AB1757">
        <v>1</v>
      </c>
      <c r="AC1757">
        <v>0</v>
      </c>
      <c r="AD1757">
        <v>0</v>
      </c>
      <c r="AE1757">
        <v>0</v>
      </c>
      <c r="AF1757">
        <v>0</v>
      </c>
      <c r="AK1757">
        <v>4</v>
      </c>
      <c r="AL1757">
        <v>3</v>
      </c>
      <c r="AM1757">
        <v>0</v>
      </c>
      <c r="AN1757">
        <v>0</v>
      </c>
      <c r="AZ1757">
        <v>1</v>
      </c>
      <c r="BC1757">
        <v>0</v>
      </c>
      <c r="BD1757">
        <v>24</v>
      </c>
      <c r="BE1757">
        <v>465</v>
      </c>
      <c r="BF1757">
        <v>465</v>
      </c>
      <c r="BG1757">
        <v>697</v>
      </c>
      <c r="BJ1757">
        <v>1</v>
      </c>
      <c r="BL1757" t="s">
        <v>3672</v>
      </c>
      <c r="BM1757" s="4">
        <v>43283.25</v>
      </c>
      <c r="BN1757" s="4">
        <v>43283.276759259257</v>
      </c>
      <c r="BO1757" s="4">
        <v>43283.276759259257</v>
      </c>
      <c r="BP1757" t="s">
        <v>92</v>
      </c>
      <c r="BQ1757" t="s">
        <v>93</v>
      </c>
      <c r="BR1757" t="s">
        <v>94</v>
      </c>
    </row>
    <row r="1758" spans="1:70" x14ac:dyDescent="0.3">
      <c r="A1758" t="str">
        <f>"201053C0100"</f>
        <v>201053C0100</v>
      </c>
      <c r="B1758" t="s">
        <v>3673</v>
      </c>
      <c r="C1758">
        <v>20</v>
      </c>
      <c r="D1758" t="s">
        <v>88</v>
      </c>
      <c r="E1758">
        <v>182</v>
      </c>
      <c r="F1758" t="s">
        <v>3427</v>
      </c>
      <c r="G1758">
        <v>1053</v>
      </c>
      <c r="H1758">
        <v>1</v>
      </c>
      <c r="I1758" t="s">
        <v>98</v>
      </c>
      <c r="J1758">
        <v>0</v>
      </c>
      <c r="K1758">
        <v>1</v>
      </c>
      <c r="L1758">
        <v>5</v>
      </c>
      <c r="M1758">
        <v>289</v>
      </c>
      <c r="N1758">
        <v>436</v>
      </c>
      <c r="O1758">
        <v>16</v>
      </c>
      <c r="P1758">
        <v>432</v>
      </c>
      <c r="Q1758">
        <v>7</v>
      </c>
      <c r="R1758">
        <v>16</v>
      </c>
      <c r="S1758">
        <v>3</v>
      </c>
      <c r="T1758">
        <v>32</v>
      </c>
      <c r="U1758">
        <v>9</v>
      </c>
      <c r="V1758">
        <v>3</v>
      </c>
      <c r="W1758">
        <v>2</v>
      </c>
      <c r="X1758">
        <v>232</v>
      </c>
      <c r="Y1758">
        <v>100</v>
      </c>
      <c r="Z1758">
        <v>5</v>
      </c>
      <c r="AA1758">
        <v>1</v>
      </c>
      <c r="AB1758">
        <v>0</v>
      </c>
      <c r="AC1758">
        <v>0</v>
      </c>
      <c r="AD1758">
        <v>0</v>
      </c>
      <c r="AE1758">
        <v>0</v>
      </c>
      <c r="AF1758">
        <v>0</v>
      </c>
      <c r="AK1758">
        <v>3</v>
      </c>
      <c r="AL1758">
        <v>3</v>
      </c>
      <c r="AM1758">
        <v>0</v>
      </c>
      <c r="AN1758">
        <v>0</v>
      </c>
      <c r="AZ1758">
        <v>1</v>
      </c>
      <c r="BC1758">
        <v>0</v>
      </c>
      <c r="BD1758">
        <v>15</v>
      </c>
      <c r="BE1758">
        <v>432</v>
      </c>
      <c r="BF1758">
        <v>432</v>
      </c>
      <c r="BG1758">
        <v>697</v>
      </c>
      <c r="BJ1758">
        <v>1</v>
      </c>
      <c r="BL1758" t="s">
        <v>3674</v>
      </c>
      <c r="BM1758" s="4">
        <v>43283.275694444441</v>
      </c>
      <c r="BN1758" s="4">
        <v>43283.302453703705</v>
      </c>
      <c r="BO1758" s="4">
        <v>43283.302453703705</v>
      </c>
      <c r="BP1758" t="s">
        <v>92</v>
      </c>
      <c r="BQ1758" t="s">
        <v>93</v>
      </c>
      <c r="BR1758" t="s">
        <v>94</v>
      </c>
    </row>
    <row r="1759" spans="1:70" x14ac:dyDescent="0.3">
      <c r="A1759" t="str">
        <f>"201053C0200"</f>
        <v>201053C0200</v>
      </c>
      <c r="B1759" t="s">
        <v>3675</v>
      </c>
      <c r="C1759">
        <v>20</v>
      </c>
      <c r="D1759" t="s">
        <v>88</v>
      </c>
      <c r="E1759">
        <v>182</v>
      </c>
      <c r="F1759" t="s">
        <v>3427</v>
      </c>
      <c r="G1759">
        <v>1053</v>
      </c>
      <c r="H1759">
        <v>2</v>
      </c>
      <c r="I1759" t="s">
        <v>98</v>
      </c>
      <c r="J1759">
        <v>0</v>
      </c>
      <c r="K1759">
        <v>1</v>
      </c>
      <c r="L1759">
        <v>5</v>
      </c>
      <c r="M1759">
        <v>260</v>
      </c>
      <c r="N1759">
        <v>459</v>
      </c>
      <c r="O1759">
        <v>4</v>
      </c>
      <c r="P1759">
        <v>457</v>
      </c>
      <c r="Q1759">
        <v>2</v>
      </c>
      <c r="R1759">
        <v>21</v>
      </c>
      <c r="S1759">
        <v>0</v>
      </c>
      <c r="T1759">
        <v>27</v>
      </c>
      <c r="U1759">
        <v>9</v>
      </c>
      <c r="V1759">
        <v>7</v>
      </c>
      <c r="W1759">
        <v>6</v>
      </c>
      <c r="X1759">
        <v>226</v>
      </c>
      <c r="Y1759">
        <v>117</v>
      </c>
      <c r="Z1759">
        <v>10</v>
      </c>
      <c r="AA1759">
        <v>0</v>
      </c>
      <c r="AB1759">
        <v>1</v>
      </c>
      <c r="AC1759">
        <v>2</v>
      </c>
      <c r="AD1759">
        <v>0</v>
      </c>
      <c r="AE1759">
        <v>0</v>
      </c>
      <c r="AF1759">
        <v>0</v>
      </c>
      <c r="AK1759">
        <v>5</v>
      </c>
      <c r="AL1759">
        <v>3</v>
      </c>
      <c r="AM1759">
        <v>0</v>
      </c>
      <c r="AN1759">
        <v>2</v>
      </c>
      <c r="AZ1759">
        <v>5</v>
      </c>
      <c r="BC1759">
        <v>0</v>
      </c>
      <c r="BD1759">
        <v>14</v>
      </c>
      <c r="BE1759">
        <v>457</v>
      </c>
      <c r="BF1759">
        <v>457</v>
      </c>
      <c r="BG1759">
        <v>696</v>
      </c>
      <c r="BJ1759">
        <v>1</v>
      </c>
      <c r="BL1759" t="s">
        <v>3676</v>
      </c>
      <c r="BM1759" s="4">
        <v>43283.27847222222</v>
      </c>
      <c r="BN1759" s="4">
        <v>43283.307152777779</v>
      </c>
      <c r="BO1759" s="4">
        <v>43283.307152777779</v>
      </c>
      <c r="BP1759" t="s">
        <v>92</v>
      </c>
      <c r="BQ1759" t="s">
        <v>93</v>
      </c>
      <c r="BR1759" t="s">
        <v>94</v>
      </c>
    </row>
    <row r="1760" spans="1:70" x14ac:dyDescent="0.3">
      <c r="A1760" t="str">
        <f>"201053C0300"</f>
        <v>201053C0300</v>
      </c>
      <c r="B1760" t="s">
        <v>3677</v>
      </c>
      <c r="C1760">
        <v>20</v>
      </c>
      <c r="D1760" t="s">
        <v>88</v>
      </c>
      <c r="E1760">
        <v>182</v>
      </c>
      <c r="F1760" t="s">
        <v>3427</v>
      </c>
      <c r="G1760">
        <v>1053</v>
      </c>
      <c r="H1760">
        <v>3</v>
      </c>
      <c r="I1760" t="s">
        <v>98</v>
      </c>
      <c r="J1760">
        <v>0</v>
      </c>
      <c r="K1760">
        <v>1</v>
      </c>
      <c r="L1760">
        <v>5</v>
      </c>
      <c r="M1760">
        <v>290</v>
      </c>
      <c r="N1760">
        <v>429</v>
      </c>
      <c r="O1760">
        <v>1</v>
      </c>
      <c r="P1760">
        <v>433</v>
      </c>
      <c r="Q1760">
        <v>2</v>
      </c>
      <c r="R1760">
        <v>22</v>
      </c>
      <c r="S1760">
        <v>5</v>
      </c>
      <c r="T1760">
        <v>35</v>
      </c>
      <c r="U1760">
        <v>10</v>
      </c>
      <c r="V1760">
        <v>7</v>
      </c>
      <c r="W1760">
        <v>0</v>
      </c>
      <c r="X1760">
        <v>221</v>
      </c>
      <c r="Y1760">
        <v>95</v>
      </c>
      <c r="Z1760">
        <v>5</v>
      </c>
      <c r="AA1760">
        <v>0</v>
      </c>
      <c r="AB1760">
        <v>0</v>
      </c>
      <c r="AC1760">
        <v>1</v>
      </c>
      <c r="AD1760">
        <v>0</v>
      </c>
      <c r="AE1760">
        <v>0</v>
      </c>
      <c r="AF1760">
        <v>0</v>
      </c>
      <c r="AK1760">
        <v>1</v>
      </c>
      <c r="AL1760">
        <v>1</v>
      </c>
      <c r="AM1760">
        <v>0</v>
      </c>
      <c r="AN1760">
        <v>0</v>
      </c>
      <c r="AZ1760">
        <v>3</v>
      </c>
      <c r="BC1760">
        <v>1</v>
      </c>
      <c r="BD1760">
        <v>24</v>
      </c>
      <c r="BE1760">
        <v>433</v>
      </c>
      <c r="BF1760">
        <v>433</v>
      </c>
      <c r="BG1760">
        <v>696</v>
      </c>
      <c r="BJ1760">
        <v>1</v>
      </c>
      <c r="BL1760" t="s">
        <v>3678</v>
      </c>
      <c r="BM1760" s="4">
        <v>43283.279166666667</v>
      </c>
      <c r="BN1760" s="4">
        <v>43283.308981481481</v>
      </c>
      <c r="BO1760" s="4">
        <v>43283.308981481481</v>
      </c>
      <c r="BP1760" t="s">
        <v>92</v>
      </c>
      <c r="BQ1760" t="s">
        <v>93</v>
      </c>
      <c r="BR1760" t="s">
        <v>94</v>
      </c>
    </row>
    <row r="1761" spans="1:70" x14ac:dyDescent="0.3">
      <c r="A1761" t="str">
        <f>"201053E0100"</f>
        <v>201053E0100</v>
      </c>
      <c r="B1761" s="2" t="s">
        <v>3679</v>
      </c>
      <c r="C1761">
        <v>20</v>
      </c>
      <c r="D1761" t="s">
        <v>88</v>
      </c>
      <c r="E1761">
        <v>182</v>
      </c>
      <c r="F1761" t="s">
        <v>3427</v>
      </c>
      <c r="G1761">
        <v>1053</v>
      </c>
      <c r="H1761">
        <v>1</v>
      </c>
      <c r="I1761" t="s">
        <v>156</v>
      </c>
      <c r="J1761">
        <v>0</v>
      </c>
      <c r="K1761">
        <v>1</v>
      </c>
      <c r="L1761">
        <v>5</v>
      </c>
      <c r="M1761">
        <v>287</v>
      </c>
      <c r="N1761">
        <v>399</v>
      </c>
      <c r="O1761">
        <v>15</v>
      </c>
      <c r="P1761">
        <v>379</v>
      </c>
      <c r="Q1761">
        <v>2</v>
      </c>
      <c r="R1761">
        <v>14</v>
      </c>
      <c r="S1761">
        <v>2</v>
      </c>
      <c r="T1761">
        <v>22</v>
      </c>
      <c r="U1761">
        <v>10</v>
      </c>
      <c r="V1761">
        <v>6</v>
      </c>
      <c r="W1761">
        <v>2</v>
      </c>
      <c r="X1761">
        <v>199</v>
      </c>
      <c r="Y1761">
        <v>101</v>
      </c>
      <c r="Z1761">
        <v>2</v>
      </c>
      <c r="AA1761">
        <v>0</v>
      </c>
      <c r="AB1761">
        <v>0</v>
      </c>
      <c r="AC1761">
        <v>1</v>
      </c>
      <c r="AD1761">
        <v>0</v>
      </c>
      <c r="AE1761">
        <v>0</v>
      </c>
      <c r="AF1761">
        <v>0</v>
      </c>
      <c r="AK1761">
        <v>3</v>
      </c>
      <c r="AL1761">
        <v>0</v>
      </c>
      <c r="AM1761">
        <v>0</v>
      </c>
      <c r="AN1761">
        <v>1</v>
      </c>
      <c r="AZ1761">
        <v>2</v>
      </c>
      <c r="BC1761">
        <v>0</v>
      </c>
      <c r="BD1761">
        <v>12</v>
      </c>
      <c r="BE1761">
        <v>379</v>
      </c>
      <c r="BF1761">
        <v>379</v>
      </c>
      <c r="BG1761">
        <v>663</v>
      </c>
      <c r="BJ1761">
        <v>1</v>
      </c>
      <c r="BL1761" t="s">
        <v>3680</v>
      </c>
      <c r="BM1761" s="4">
        <v>43283.279166666667</v>
      </c>
      <c r="BN1761" s="4">
        <v>43283.307870370372</v>
      </c>
      <c r="BO1761" s="4">
        <v>43283.307870370372</v>
      </c>
      <c r="BP1761" t="s">
        <v>92</v>
      </c>
      <c r="BQ1761" t="s">
        <v>93</v>
      </c>
      <c r="BR1761" t="s">
        <v>94</v>
      </c>
    </row>
    <row r="1762" spans="1:70" x14ac:dyDescent="0.3">
      <c r="A1762" t="str">
        <f>"201053E0101"</f>
        <v>201053E0101</v>
      </c>
      <c r="B1762" s="2" t="s">
        <v>3681</v>
      </c>
      <c r="C1762">
        <v>20</v>
      </c>
      <c r="D1762" t="s">
        <v>88</v>
      </c>
      <c r="E1762">
        <v>182</v>
      </c>
      <c r="F1762" t="s">
        <v>3427</v>
      </c>
      <c r="G1762">
        <v>1053</v>
      </c>
      <c r="H1762">
        <v>1</v>
      </c>
      <c r="I1762" t="s">
        <v>156</v>
      </c>
      <c r="J1762">
        <v>1</v>
      </c>
      <c r="K1762">
        <v>1</v>
      </c>
      <c r="L1762">
        <v>5</v>
      </c>
      <c r="M1762">
        <v>240</v>
      </c>
      <c r="N1762">
        <v>685</v>
      </c>
      <c r="O1762">
        <v>16</v>
      </c>
      <c r="P1762">
        <v>445</v>
      </c>
      <c r="Q1762">
        <v>3</v>
      </c>
      <c r="R1762">
        <v>30</v>
      </c>
      <c r="S1762">
        <v>3</v>
      </c>
      <c r="T1762">
        <v>27</v>
      </c>
      <c r="U1762">
        <v>5</v>
      </c>
      <c r="V1762">
        <v>4</v>
      </c>
      <c r="W1762">
        <v>3</v>
      </c>
      <c r="X1762">
        <v>256</v>
      </c>
      <c r="Y1762">
        <v>112</v>
      </c>
      <c r="Z1762">
        <v>4</v>
      </c>
      <c r="AA1762">
        <v>0</v>
      </c>
      <c r="AB1762">
        <v>1</v>
      </c>
      <c r="AC1762">
        <v>0</v>
      </c>
      <c r="AD1762">
        <v>0</v>
      </c>
      <c r="AE1762">
        <v>0</v>
      </c>
      <c r="AF1762">
        <v>0</v>
      </c>
      <c r="AK1762">
        <v>2</v>
      </c>
      <c r="AL1762">
        <v>0</v>
      </c>
      <c r="AM1762">
        <v>0</v>
      </c>
      <c r="AN1762">
        <v>0</v>
      </c>
      <c r="AZ1762">
        <v>0</v>
      </c>
      <c r="BC1762" t="s">
        <v>105</v>
      </c>
      <c r="BD1762">
        <v>12</v>
      </c>
      <c r="BE1762">
        <v>464</v>
      </c>
      <c r="BF1762">
        <v>462</v>
      </c>
      <c r="BG1762">
        <v>662</v>
      </c>
      <c r="BI1762" t="s">
        <v>106</v>
      </c>
      <c r="BJ1762">
        <v>1</v>
      </c>
      <c r="BL1762" t="s">
        <v>3682</v>
      </c>
      <c r="BM1762" s="4">
        <v>43283.239583333336</v>
      </c>
      <c r="BN1762" s="4">
        <v>43283.262777777774</v>
      </c>
      <c r="BO1762" s="4">
        <v>43283.262777777774</v>
      </c>
      <c r="BP1762" t="s">
        <v>92</v>
      </c>
      <c r="BQ1762" t="s">
        <v>93</v>
      </c>
      <c r="BR1762" t="s">
        <v>94</v>
      </c>
    </row>
    <row r="1763" spans="1:70" x14ac:dyDescent="0.3">
      <c r="A1763" t="str">
        <f>"201054B0100"</f>
        <v>201054B0100</v>
      </c>
      <c r="B1763" t="s">
        <v>3683</v>
      </c>
      <c r="C1763">
        <v>20</v>
      </c>
      <c r="D1763" t="s">
        <v>88</v>
      </c>
      <c r="E1763">
        <v>182</v>
      </c>
      <c r="F1763" t="s">
        <v>3427</v>
      </c>
      <c r="G1763">
        <v>1054</v>
      </c>
      <c r="H1763">
        <v>1</v>
      </c>
      <c r="I1763" t="s">
        <v>90</v>
      </c>
      <c r="J1763">
        <v>0</v>
      </c>
      <c r="K1763">
        <v>2</v>
      </c>
      <c r="L1763">
        <v>5</v>
      </c>
      <c r="M1763">
        <v>218</v>
      </c>
      <c r="N1763">
        <v>457</v>
      </c>
      <c r="O1763">
        <v>4</v>
      </c>
      <c r="P1763">
        <v>457</v>
      </c>
      <c r="Q1763">
        <v>4</v>
      </c>
      <c r="R1763">
        <v>24</v>
      </c>
      <c r="S1763">
        <v>4</v>
      </c>
      <c r="T1763">
        <v>29</v>
      </c>
      <c r="U1763">
        <v>9</v>
      </c>
      <c r="V1763">
        <v>3</v>
      </c>
      <c r="W1763">
        <v>0</v>
      </c>
      <c r="X1763">
        <v>251</v>
      </c>
      <c r="Y1763">
        <v>104</v>
      </c>
      <c r="Z1763">
        <v>1</v>
      </c>
      <c r="AA1763">
        <v>0</v>
      </c>
      <c r="AB1763">
        <v>2</v>
      </c>
      <c r="AC1763">
        <v>0</v>
      </c>
      <c r="AD1763">
        <v>0</v>
      </c>
      <c r="AE1763">
        <v>0</v>
      </c>
      <c r="AF1763">
        <v>0</v>
      </c>
      <c r="AK1763">
        <v>3</v>
      </c>
      <c r="AL1763">
        <v>0</v>
      </c>
      <c r="AM1763">
        <v>0</v>
      </c>
      <c r="AN1763">
        <v>2</v>
      </c>
      <c r="AZ1763">
        <v>8</v>
      </c>
      <c r="BC1763">
        <v>0</v>
      </c>
      <c r="BD1763">
        <v>12</v>
      </c>
      <c r="BE1763">
        <v>456</v>
      </c>
      <c r="BF1763">
        <v>456</v>
      </c>
      <c r="BG1763">
        <v>652</v>
      </c>
      <c r="BJ1763">
        <v>1</v>
      </c>
      <c r="BL1763" t="s">
        <v>3684</v>
      </c>
      <c r="BM1763" s="4">
        <v>43282.420138888891</v>
      </c>
      <c r="BN1763" s="4">
        <v>43283.422939814816</v>
      </c>
      <c r="BO1763" s="4">
        <v>43283.422939814816</v>
      </c>
      <c r="BP1763" t="s">
        <v>92</v>
      </c>
      <c r="BQ1763" t="s">
        <v>93</v>
      </c>
      <c r="BR1763" t="s">
        <v>94</v>
      </c>
    </row>
    <row r="1764" spans="1:70" x14ac:dyDescent="0.3">
      <c r="A1764" t="str">
        <f>"201054C0100"</f>
        <v>201054C0100</v>
      </c>
      <c r="B1764" t="s">
        <v>3685</v>
      </c>
      <c r="C1764">
        <v>20</v>
      </c>
      <c r="D1764" t="s">
        <v>88</v>
      </c>
      <c r="E1764">
        <v>182</v>
      </c>
      <c r="F1764" t="s">
        <v>3427</v>
      </c>
      <c r="G1764">
        <v>1054</v>
      </c>
      <c r="H1764">
        <v>1</v>
      </c>
      <c r="I1764" t="s">
        <v>98</v>
      </c>
      <c r="J1764">
        <v>0</v>
      </c>
      <c r="K1764">
        <v>2</v>
      </c>
      <c r="L1764">
        <v>5</v>
      </c>
      <c r="M1764">
        <v>205</v>
      </c>
      <c r="N1764">
        <v>470</v>
      </c>
      <c r="O1764">
        <v>5</v>
      </c>
      <c r="P1764">
        <v>470</v>
      </c>
      <c r="Q1764">
        <v>3</v>
      </c>
      <c r="R1764">
        <v>37</v>
      </c>
      <c r="S1764">
        <v>1</v>
      </c>
      <c r="T1764">
        <v>26</v>
      </c>
      <c r="U1764">
        <v>5</v>
      </c>
      <c r="V1764">
        <v>4</v>
      </c>
      <c r="W1764">
        <v>1</v>
      </c>
      <c r="X1764">
        <v>244</v>
      </c>
      <c r="Y1764">
        <v>117</v>
      </c>
      <c r="Z1764">
        <v>8</v>
      </c>
      <c r="AA1764">
        <v>2</v>
      </c>
      <c r="AB1764">
        <v>0</v>
      </c>
      <c r="AC1764">
        <v>0</v>
      </c>
      <c r="AD1764">
        <v>0</v>
      </c>
      <c r="AE1764">
        <v>0</v>
      </c>
      <c r="AF1764">
        <v>0</v>
      </c>
      <c r="AK1764">
        <v>4</v>
      </c>
      <c r="AL1764">
        <v>3</v>
      </c>
      <c r="AM1764">
        <v>0</v>
      </c>
      <c r="AN1764">
        <v>0</v>
      </c>
      <c r="AZ1764">
        <v>10</v>
      </c>
      <c r="BC1764">
        <v>0</v>
      </c>
      <c r="BD1764">
        <v>5</v>
      </c>
      <c r="BE1764">
        <v>470</v>
      </c>
      <c r="BF1764">
        <v>470</v>
      </c>
      <c r="BG1764">
        <v>652</v>
      </c>
      <c r="BJ1764">
        <v>1</v>
      </c>
      <c r="BL1764" t="s">
        <v>3686</v>
      </c>
      <c r="BM1764" s="4">
        <v>43283.224305555559</v>
      </c>
      <c r="BN1764" s="4">
        <v>43283.247476851851</v>
      </c>
      <c r="BO1764" s="4">
        <v>43283.247476851851</v>
      </c>
      <c r="BP1764" t="s">
        <v>92</v>
      </c>
      <c r="BQ1764" t="s">
        <v>93</v>
      </c>
      <c r="BR1764" t="s">
        <v>94</v>
      </c>
    </row>
    <row r="1765" spans="1:70" x14ac:dyDescent="0.3">
      <c r="A1765" t="str">
        <f>"201054C0200"</f>
        <v>201054C0200</v>
      </c>
      <c r="B1765" t="s">
        <v>3687</v>
      </c>
      <c r="C1765">
        <v>20</v>
      </c>
      <c r="D1765" t="s">
        <v>88</v>
      </c>
      <c r="E1765">
        <v>182</v>
      </c>
      <c r="F1765" t="s">
        <v>3427</v>
      </c>
      <c r="G1765">
        <v>1054</v>
      </c>
      <c r="H1765">
        <v>2</v>
      </c>
      <c r="I1765" t="s">
        <v>98</v>
      </c>
      <c r="J1765">
        <v>0</v>
      </c>
      <c r="K1765">
        <v>2</v>
      </c>
      <c r="L1765">
        <v>5</v>
      </c>
      <c r="M1765">
        <v>243</v>
      </c>
      <c r="N1765">
        <v>432</v>
      </c>
      <c r="O1765">
        <v>2</v>
      </c>
      <c r="P1765">
        <v>432</v>
      </c>
      <c r="Q1765">
        <v>3</v>
      </c>
      <c r="R1765">
        <v>32</v>
      </c>
      <c r="S1765">
        <v>3</v>
      </c>
      <c r="T1765">
        <v>33</v>
      </c>
      <c r="U1765">
        <v>5</v>
      </c>
      <c r="V1765">
        <v>3</v>
      </c>
      <c r="W1765">
        <v>0</v>
      </c>
      <c r="X1765">
        <v>232</v>
      </c>
      <c r="Y1765">
        <v>92</v>
      </c>
      <c r="Z1765">
        <v>8</v>
      </c>
      <c r="AA1765">
        <v>0</v>
      </c>
      <c r="AB1765">
        <v>1</v>
      </c>
      <c r="AC1765">
        <v>0</v>
      </c>
      <c r="AD1765">
        <v>0</v>
      </c>
      <c r="AE1765">
        <v>0</v>
      </c>
      <c r="AF1765">
        <v>0</v>
      </c>
      <c r="AK1765">
        <v>2</v>
      </c>
      <c r="AL1765">
        <v>1</v>
      </c>
      <c r="AM1765">
        <v>0</v>
      </c>
      <c r="AN1765">
        <v>0</v>
      </c>
      <c r="AZ1765">
        <v>6</v>
      </c>
      <c r="BC1765">
        <v>0</v>
      </c>
      <c r="BD1765">
        <v>10</v>
      </c>
      <c r="BE1765">
        <v>432</v>
      </c>
      <c r="BF1765">
        <v>431</v>
      </c>
      <c r="BG1765">
        <v>652</v>
      </c>
      <c r="BJ1765">
        <v>1</v>
      </c>
      <c r="BL1765" t="s">
        <v>3688</v>
      </c>
      <c r="BM1765" s="4">
        <v>43283.22152777778</v>
      </c>
      <c r="BN1765" s="4">
        <v>43283.246724537035</v>
      </c>
      <c r="BO1765" s="4">
        <v>43283.246724537035</v>
      </c>
      <c r="BP1765" t="s">
        <v>92</v>
      </c>
      <c r="BQ1765" t="s">
        <v>93</v>
      </c>
      <c r="BR1765" t="s">
        <v>94</v>
      </c>
    </row>
    <row r="1766" spans="1:70" x14ac:dyDescent="0.3">
      <c r="A1766" t="str">
        <f>"201054C0300"</f>
        <v>201054C0300</v>
      </c>
      <c r="B1766" t="s">
        <v>3689</v>
      </c>
      <c r="C1766">
        <v>20</v>
      </c>
      <c r="D1766" t="s">
        <v>88</v>
      </c>
      <c r="E1766">
        <v>182</v>
      </c>
      <c r="F1766" t="s">
        <v>3427</v>
      </c>
      <c r="G1766">
        <v>1054</v>
      </c>
      <c r="H1766">
        <v>3</v>
      </c>
      <c r="I1766" t="s">
        <v>98</v>
      </c>
      <c r="J1766">
        <v>0</v>
      </c>
      <c r="K1766">
        <v>2</v>
      </c>
      <c r="L1766">
        <v>5</v>
      </c>
      <c r="M1766">
        <v>233</v>
      </c>
      <c r="N1766">
        <v>441</v>
      </c>
      <c r="O1766">
        <v>6</v>
      </c>
      <c r="P1766">
        <v>441</v>
      </c>
      <c r="Q1766">
        <v>4</v>
      </c>
      <c r="R1766">
        <v>26</v>
      </c>
      <c r="S1766">
        <v>4</v>
      </c>
      <c r="T1766">
        <v>29</v>
      </c>
      <c r="U1766">
        <v>5</v>
      </c>
      <c r="V1766">
        <v>4</v>
      </c>
      <c r="W1766">
        <v>4</v>
      </c>
      <c r="X1766">
        <v>230</v>
      </c>
      <c r="Y1766">
        <v>109</v>
      </c>
      <c r="Z1766">
        <v>8</v>
      </c>
      <c r="AA1766">
        <v>3</v>
      </c>
      <c r="AB1766">
        <v>1</v>
      </c>
      <c r="AC1766">
        <v>0</v>
      </c>
      <c r="AD1766">
        <v>0</v>
      </c>
      <c r="AE1766">
        <v>0</v>
      </c>
      <c r="AF1766">
        <v>0</v>
      </c>
      <c r="AK1766">
        <v>1</v>
      </c>
      <c r="AL1766">
        <v>1</v>
      </c>
      <c r="AM1766">
        <v>0</v>
      </c>
      <c r="AN1766">
        <v>0</v>
      </c>
      <c r="AZ1766">
        <v>8</v>
      </c>
      <c r="BC1766">
        <v>0</v>
      </c>
      <c r="BD1766">
        <v>4</v>
      </c>
      <c r="BE1766">
        <v>441</v>
      </c>
      <c r="BF1766">
        <v>441</v>
      </c>
      <c r="BG1766">
        <v>651</v>
      </c>
      <c r="BJ1766">
        <v>1</v>
      </c>
      <c r="BL1766" t="s">
        <v>3690</v>
      </c>
      <c r="BM1766" s="4">
        <v>43283.22152777778</v>
      </c>
      <c r="BN1766" s="4">
        <v>43283.245069444441</v>
      </c>
      <c r="BO1766" s="4">
        <v>43283.245069444441</v>
      </c>
      <c r="BP1766" t="s">
        <v>92</v>
      </c>
      <c r="BQ1766" t="s">
        <v>93</v>
      </c>
      <c r="BR1766" t="s">
        <v>94</v>
      </c>
    </row>
    <row r="1767" spans="1:70" x14ac:dyDescent="0.3">
      <c r="A1767" t="str">
        <f>"201054E0100"</f>
        <v>201054E0100</v>
      </c>
      <c r="B1767" s="2" t="s">
        <v>3691</v>
      </c>
      <c r="C1767">
        <v>20</v>
      </c>
      <c r="D1767" t="s">
        <v>88</v>
      </c>
      <c r="E1767">
        <v>182</v>
      </c>
      <c r="F1767" t="s">
        <v>3427</v>
      </c>
      <c r="G1767">
        <v>1054</v>
      </c>
      <c r="H1767">
        <v>1</v>
      </c>
      <c r="I1767" t="s">
        <v>156</v>
      </c>
      <c r="J1767">
        <v>0</v>
      </c>
      <c r="K1767">
        <v>2</v>
      </c>
      <c r="L1767">
        <v>5</v>
      </c>
      <c r="M1767">
        <v>141</v>
      </c>
      <c r="N1767">
        <v>280</v>
      </c>
      <c r="O1767">
        <v>8</v>
      </c>
      <c r="P1767">
        <v>280</v>
      </c>
      <c r="Q1767">
        <v>2</v>
      </c>
      <c r="R1767">
        <v>10</v>
      </c>
      <c r="S1767">
        <v>1</v>
      </c>
      <c r="T1767">
        <v>18</v>
      </c>
      <c r="U1767">
        <v>12</v>
      </c>
      <c r="V1767">
        <v>12</v>
      </c>
      <c r="W1767">
        <v>2</v>
      </c>
      <c r="X1767">
        <v>144</v>
      </c>
      <c r="Y1767">
        <v>62</v>
      </c>
      <c r="Z1767">
        <v>5</v>
      </c>
      <c r="AA1767">
        <v>0</v>
      </c>
      <c r="AB1767">
        <v>2</v>
      </c>
      <c r="AC1767">
        <v>0</v>
      </c>
      <c r="AD1767">
        <v>0</v>
      </c>
      <c r="AE1767">
        <v>0</v>
      </c>
      <c r="AF1767">
        <v>0</v>
      </c>
      <c r="AK1767">
        <v>1</v>
      </c>
      <c r="AL1767">
        <v>1</v>
      </c>
      <c r="AM1767">
        <v>0</v>
      </c>
      <c r="AN1767">
        <v>1</v>
      </c>
      <c r="AZ1767">
        <v>1</v>
      </c>
      <c r="BC1767">
        <v>0</v>
      </c>
      <c r="BD1767">
        <v>6</v>
      </c>
      <c r="BE1767">
        <v>280</v>
      </c>
      <c r="BF1767">
        <v>280</v>
      </c>
      <c r="BG1767">
        <v>399</v>
      </c>
      <c r="BJ1767">
        <v>1</v>
      </c>
      <c r="BL1767" t="s">
        <v>3692</v>
      </c>
      <c r="BM1767" s="4">
        <v>43283.09375</v>
      </c>
      <c r="BN1767" s="4">
        <v>43283.097951388889</v>
      </c>
      <c r="BO1767" s="4">
        <v>43283.097951388889</v>
      </c>
      <c r="BP1767" t="s">
        <v>92</v>
      </c>
      <c r="BQ1767" t="s">
        <v>93</v>
      </c>
      <c r="BR1767" t="s">
        <v>94</v>
      </c>
    </row>
    <row r="1768" spans="1:70" x14ac:dyDescent="0.3">
      <c r="A1768" t="str">
        <f>"201054E0101"</f>
        <v>201054E0101</v>
      </c>
      <c r="B1768" s="2" t="s">
        <v>3693</v>
      </c>
      <c r="C1768">
        <v>20</v>
      </c>
      <c r="D1768" t="s">
        <v>88</v>
      </c>
      <c r="E1768">
        <v>182</v>
      </c>
      <c r="F1768" t="s">
        <v>3427</v>
      </c>
      <c r="G1768">
        <v>1054</v>
      </c>
      <c r="H1768">
        <v>1</v>
      </c>
      <c r="I1768" t="s">
        <v>156</v>
      </c>
      <c r="J1768">
        <v>1</v>
      </c>
      <c r="K1768">
        <v>2</v>
      </c>
      <c r="L1768">
        <v>5</v>
      </c>
      <c r="M1768">
        <v>128</v>
      </c>
      <c r="N1768">
        <v>294</v>
      </c>
      <c r="O1768">
        <v>9</v>
      </c>
      <c r="P1768">
        <v>294</v>
      </c>
      <c r="Q1768">
        <v>6</v>
      </c>
      <c r="R1768">
        <v>6</v>
      </c>
      <c r="S1768">
        <v>3</v>
      </c>
      <c r="T1768">
        <v>19</v>
      </c>
      <c r="U1768">
        <v>9</v>
      </c>
      <c r="V1768">
        <v>6</v>
      </c>
      <c r="W1768">
        <v>0</v>
      </c>
      <c r="X1768">
        <v>158</v>
      </c>
      <c r="Y1768">
        <v>59</v>
      </c>
      <c r="Z1768">
        <v>9</v>
      </c>
      <c r="AA1768">
        <v>1</v>
      </c>
      <c r="AB1768">
        <v>0</v>
      </c>
      <c r="AC1768">
        <v>0</v>
      </c>
      <c r="AD1768">
        <v>0</v>
      </c>
      <c r="AE1768">
        <v>0</v>
      </c>
      <c r="AF1768">
        <v>0</v>
      </c>
      <c r="AK1768">
        <v>1</v>
      </c>
      <c r="AL1768">
        <v>0</v>
      </c>
      <c r="AM1768">
        <v>1</v>
      </c>
      <c r="AN1768">
        <v>0</v>
      </c>
      <c r="AZ1768">
        <v>0</v>
      </c>
      <c r="BC1768">
        <v>0</v>
      </c>
      <c r="BD1768">
        <v>16</v>
      </c>
      <c r="BE1768">
        <v>294</v>
      </c>
      <c r="BF1768">
        <v>294</v>
      </c>
      <c r="BG1768">
        <v>399</v>
      </c>
      <c r="BJ1768">
        <v>1</v>
      </c>
      <c r="BL1768" t="s">
        <v>3694</v>
      </c>
      <c r="BM1768" s="4">
        <v>43283.09097222222</v>
      </c>
      <c r="BN1768" s="4">
        <v>43283.098738425928</v>
      </c>
      <c r="BO1768" s="4">
        <v>43283.098738425928</v>
      </c>
      <c r="BP1768" t="s">
        <v>92</v>
      </c>
      <c r="BQ1768" t="s">
        <v>93</v>
      </c>
      <c r="BR1768" t="s">
        <v>94</v>
      </c>
    </row>
    <row r="1769" spans="1:70" x14ac:dyDescent="0.3">
      <c r="A1769" t="str">
        <f>"201055B0100"</f>
        <v>201055B0100</v>
      </c>
      <c r="B1769" t="s">
        <v>3695</v>
      </c>
      <c r="C1769">
        <v>20</v>
      </c>
      <c r="D1769" t="s">
        <v>88</v>
      </c>
      <c r="E1769">
        <v>182</v>
      </c>
      <c r="F1769" t="s">
        <v>3427</v>
      </c>
      <c r="G1769">
        <v>1055</v>
      </c>
      <c r="H1769">
        <v>1</v>
      </c>
      <c r="I1769" t="s">
        <v>90</v>
      </c>
      <c r="J1769">
        <v>0</v>
      </c>
      <c r="K1769">
        <v>1</v>
      </c>
      <c r="L1769">
        <v>5</v>
      </c>
      <c r="M1769">
        <v>193</v>
      </c>
      <c r="N1769">
        <v>411</v>
      </c>
      <c r="O1769">
        <v>9</v>
      </c>
      <c r="P1769">
        <v>394</v>
      </c>
      <c r="Q1769">
        <v>4</v>
      </c>
      <c r="R1769">
        <v>28</v>
      </c>
      <c r="S1769">
        <v>0</v>
      </c>
      <c r="T1769">
        <v>36</v>
      </c>
      <c r="U1769">
        <v>7</v>
      </c>
      <c r="V1769">
        <v>2</v>
      </c>
      <c r="W1769">
        <v>1</v>
      </c>
      <c r="X1769">
        <v>184</v>
      </c>
      <c r="Y1769">
        <v>100</v>
      </c>
      <c r="Z1769">
        <v>8</v>
      </c>
      <c r="AA1769">
        <v>1</v>
      </c>
      <c r="AB1769">
        <v>0</v>
      </c>
      <c r="AC1769" t="s">
        <v>105</v>
      </c>
      <c r="AD1769" t="s">
        <v>105</v>
      </c>
      <c r="AE1769" t="s">
        <v>105</v>
      </c>
      <c r="AF1769" t="s">
        <v>105</v>
      </c>
      <c r="AK1769">
        <v>7</v>
      </c>
      <c r="AL1769">
        <v>1</v>
      </c>
      <c r="AM1769" t="s">
        <v>105</v>
      </c>
      <c r="AN1769" t="s">
        <v>105</v>
      </c>
      <c r="AZ1769">
        <v>5</v>
      </c>
      <c r="BC1769" t="s">
        <v>105</v>
      </c>
      <c r="BD1769">
        <v>10</v>
      </c>
      <c r="BE1769">
        <v>394</v>
      </c>
      <c r="BF1769">
        <v>394</v>
      </c>
      <c r="BG1769">
        <v>581</v>
      </c>
      <c r="BI1769" t="s">
        <v>106</v>
      </c>
      <c r="BJ1769">
        <v>1</v>
      </c>
      <c r="BL1769" t="s">
        <v>3696</v>
      </c>
      <c r="BM1769" s="4">
        <v>43283.24722222222</v>
      </c>
      <c r="BN1769" s="4">
        <v>43283.271863425929</v>
      </c>
      <c r="BO1769" s="4">
        <v>43283.271863425929</v>
      </c>
      <c r="BP1769" t="s">
        <v>92</v>
      </c>
      <c r="BQ1769" t="s">
        <v>93</v>
      </c>
      <c r="BR1769" t="s">
        <v>94</v>
      </c>
    </row>
    <row r="1770" spans="1:70" x14ac:dyDescent="0.3">
      <c r="A1770" t="str">
        <f>"201055C0100"</f>
        <v>201055C0100</v>
      </c>
      <c r="B1770" t="s">
        <v>3697</v>
      </c>
      <c r="C1770">
        <v>20</v>
      </c>
      <c r="D1770" t="s">
        <v>88</v>
      </c>
      <c r="E1770">
        <v>182</v>
      </c>
      <c r="F1770" t="s">
        <v>3427</v>
      </c>
      <c r="G1770">
        <v>1055</v>
      </c>
      <c r="H1770">
        <v>1</v>
      </c>
      <c r="I1770" t="s">
        <v>98</v>
      </c>
      <c r="J1770">
        <v>0</v>
      </c>
      <c r="K1770">
        <v>1</v>
      </c>
      <c r="L1770">
        <v>5</v>
      </c>
      <c r="M1770">
        <v>206</v>
      </c>
      <c r="N1770">
        <v>396</v>
      </c>
      <c r="O1770">
        <v>7</v>
      </c>
      <c r="P1770" t="s">
        <v>105</v>
      </c>
      <c r="Q1770">
        <v>4</v>
      </c>
      <c r="R1770">
        <v>23</v>
      </c>
      <c r="S1770">
        <v>1</v>
      </c>
      <c r="T1770">
        <v>31</v>
      </c>
      <c r="U1770">
        <v>11</v>
      </c>
      <c r="V1770">
        <v>2</v>
      </c>
      <c r="W1770">
        <v>0</v>
      </c>
      <c r="X1770">
        <v>223</v>
      </c>
      <c r="Y1770">
        <v>91</v>
      </c>
      <c r="Z1770">
        <v>8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0</v>
      </c>
      <c r="AK1770">
        <v>0</v>
      </c>
      <c r="AL1770">
        <v>0</v>
      </c>
      <c r="AM1770">
        <v>0</v>
      </c>
      <c r="AN1770">
        <v>0</v>
      </c>
      <c r="AZ1770">
        <v>2</v>
      </c>
      <c r="BC1770">
        <v>0</v>
      </c>
      <c r="BD1770">
        <v>16</v>
      </c>
      <c r="BE1770">
        <v>411</v>
      </c>
      <c r="BF1770">
        <v>412</v>
      </c>
      <c r="BG1770">
        <v>581</v>
      </c>
      <c r="BJ1770">
        <v>1</v>
      </c>
      <c r="BL1770" t="s">
        <v>3698</v>
      </c>
      <c r="BM1770" s="4">
        <v>43283.247916666667</v>
      </c>
      <c r="BN1770" s="4">
        <v>43283.271203703705</v>
      </c>
      <c r="BO1770" s="4">
        <v>43283.271203703705</v>
      </c>
      <c r="BP1770" t="s">
        <v>92</v>
      </c>
      <c r="BQ1770" t="s">
        <v>93</v>
      </c>
      <c r="BR1770" t="s">
        <v>94</v>
      </c>
    </row>
    <row r="1771" spans="1:70" x14ac:dyDescent="0.3">
      <c r="A1771" t="str">
        <f>"201055C0200"</f>
        <v>201055C0200</v>
      </c>
      <c r="B1771" t="s">
        <v>3699</v>
      </c>
      <c r="C1771">
        <v>20</v>
      </c>
      <c r="D1771" t="s">
        <v>88</v>
      </c>
      <c r="E1771">
        <v>182</v>
      </c>
      <c r="F1771" t="s">
        <v>3427</v>
      </c>
      <c r="G1771">
        <v>1055</v>
      </c>
      <c r="H1771">
        <v>2</v>
      </c>
      <c r="I1771" t="s">
        <v>98</v>
      </c>
      <c r="J1771">
        <v>0</v>
      </c>
      <c r="K1771">
        <v>1</v>
      </c>
      <c r="L1771">
        <v>5</v>
      </c>
      <c r="M1771">
        <v>167</v>
      </c>
      <c r="N1771">
        <v>437</v>
      </c>
      <c r="O1771">
        <v>9</v>
      </c>
      <c r="P1771">
        <v>436</v>
      </c>
      <c r="Q1771">
        <v>5</v>
      </c>
      <c r="R1771">
        <v>26</v>
      </c>
      <c r="S1771">
        <v>2</v>
      </c>
      <c r="T1771">
        <v>25</v>
      </c>
      <c r="U1771">
        <v>14</v>
      </c>
      <c r="V1771">
        <v>5</v>
      </c>
      <c r="W1771">
        <v>1</v>
      </c>
      <c r="X1771">
        <v>231</v>
      </c>
      <c r="Y1771">
        <v>100</v>
      </c>
      <c r="Z1771">
        <v>10</v>
      </c>
      <c r="AA1771">
        <v>1</v>
      </c>
      <c r="AB1771">
        <v>0</v>
      </c>
      <c r="AC1771">
        <v>0</v>
      </c>
      <c r="AD1771">
        <v>0</v>
      </c>
      <c r="AE1771">
        <v>0</v>
      </c>
      <c r="AF1771">
        <v>0</v>
      </c>
      <c r="AK1771">
        <v>5</v>
      </c>
      <c r="AL1771">
        <v>1</v>
      </c>
      <c r="AM1771">
        <v>0</v>
      </c>
      <c r="AN1771">
        <v>1</v>
      </c>
      <c r="AZ1771">
        <v>3</v>
      </c>
      <c r="BC1771">
        <v>0</v>
      </c>
      <c r="BD1771">
        <v>6</v>
      </c>
      <c r="BE1771">
        <v>436</v>
      </c>
      <c r="BF1771">
        <v>436</v>
      </c>
      <c r="BG1771">
        <v>581</v>
      </c>
      <c r="BJ1771">
        <v>1</v>
      </c>
      <c r="BL1771" t="s">
        <v>3700</v>
      </c>
      <c r="BM1771" s="4">
        <v>43283.246527777781</v>
      </c>
      <c r="BN1771" s="4">
        <v>43283.27070601852</v>
      </c>
      <c r="BO1771" s="4">
        <v>43283.27070601852</v>
      </c>
      <c r="BP1771" t="s">
        <v>92</v>
      </c>
      <c r="BQ1771" t="s">
        <v>93</v>
      </c>
      <c r="BR1771" t="s">
        <v>94</v>
      </c>
    </row>
    <row r="1772" spans="1:70" x14ac:dyDescent="0.3">
      <c r="A1772" t="str">
        <f>"201056B0100"</f>
        <v>201056B0100</v>
      </c>
      <c r="B1772" t="s">
        <v>3701</v>
      </c>
      <c r="C1772">
        <v>20</v>
      </c>
      <c r="D1772" t="s">
        <v>88</v>
      </c>
      <c r="E1772">
        <v>182</v>
      </c>
      <c r="F1772" t="s">
        <v>3427</v>
      </c>
      <c r="G1772">
        <v>1056</v>
      </c>
      <c r="H1772">
        <v>1</v>
      </c>
      <c r="I1772" t="s">
        <v>90</v>
      </c>
      <c r="J1772">
        <v>0</v>
      </c>
      <c r="K1772">
        <v>2</v>
      </c>
      <c r="L1772">
        <v>5</v>
      </c>
      <c r="M1772">
        <v>292</v>
      </c>
      <c r="N1772">
        <v>472</v>
      </c>
      <c r="O1772">
        <v>10</v>
      </c>
      <c r="P1772">
        <v>472</v>
      </c>
      <c r="Q1772">
        <v>10</v>
      </c>
      <c r="R1772">
        <v>34</v>
      </c>
      <c r="S1772">
        <v>3</v>
      </c>
      <c r="T1772">
        <v>31</v>
      </c>
      <c r="U1772">
        <v>12</v>
      </c>
      <c r="V1772">
        <v>4</v>
      </c>
      <c r="W1772">
        <v>1</v>
      </c>
      <c r="X1772">
        <v>267</v>
      </c>
      <c r="Y1772">
        <v>81</v>
      </c>
      <c r="Z1772">
        <v>6</v>
      </c>
      <c r="AA1772">
        <v>0</v>
      </c>
      <c r="AB1772">
        <v>1</v>
      </c>
      <c r="AC1772">
        <v>0</v>
      </c>
      <c r="AD1772">
        <v>0</v>
      </c>
      <c r="AE1772">
        <v>0</v>
      </c>
      <c r="AF1772">
        <v>0</v>
      </c>
      <c r="AK1772">
        <v>1</v>
      </c>
      <c r="AL1772">
        <v>0</v>
      </c>
      <c r="AM1772">
        <v>0</v>
      </c>
      <c r="AN1772">
        <v>0</v>
      </c>
      <c r="AZ1772">
        <v>5</v>
      </c>
      <c r="BC1772">
        <v>0</v>
      </c>
      <c r="BD1772">
        <v>16</v>
      </c>
      <c r="BE1772">
        <v>472</v>
      </c>
      <c r="BF1772">
        <v>472</v>
      </c>
      <c r="BG1772">
        <v>741</v>
      </c>
      <c r="BJ1772">
        <v>1</v>
      </c>
      <c r="BL1772" t="s">
        <v>3702</v>
      </c>
      <c r="BM1772" s="4">
        <v>43283.245833333334</v>
      </c>
      <c r="BN1772" s="4">
        <v>43283.271956018521</v>
      </c>
      <c r="BO1772" s="4">
        <v>43283.271956018521</v>
      </c>
      <c r="BP1772" t="s">
        <v>92</v>
      </c>
      <c r="BQ1772" t="s">
        <v>93</v>
      </c>
      <c r="BR1772" t="s">
        <v>94</v>
      </c>
    </row>
    <row r="1773" spans="1:70" x14ac:dyDescent="0.3">
      <c r="A1773" t="str">
        <f>"201056C0100"</f>
        <v>201056C0100</v>
      </c>
      <c r="B1773" t="s">
        <v>3703</v>
      </c>
      <c r="C1773">
        <v>20</v>
      </c>
      <c r="D1773" t="s">
        <v>88</v>
      </c>
      <c r="E1773">
        <v>182</v>
      </c>
      <c r="F1773" t="s">
        <v>3427</v>
      </c>
      <c r="G1773">
        <v>1056</v>
      </c>
      <c r="H1773">
        <v>1</v>
      </c>
      <c r="I1773" t="s">
        <v>98</v>
      </c>
      <c r="J1773">
        <v>0</v>
      </c>
      <c r="K1773">
        <v>2</v>
      </c>
      <c r="L1773">
        <v>5</v>
      </c>
      <c r="BG1773">
        <v>741</v>
      </c>
      <c r="BI1773" t="s">
        <v>365</v>
      </c>
      <c r="BJ1773">
        <v>0</v>
      </c>
      <c r="BL1773" t="s">
        <v>3704</v>
      </c>
      <c r="BM1773" s="4">
        <v>43283.50277777778</v>
      </c>
      <c r="BN1773" s="4">
        <v>43283.504479166666</v>
      </c>
      <c r="BO1773" s="4">
        <v>43283.504479166666</v>
      </c>
      <c r="BP1773" t="s">
        <v>92</v>
      </c>
      <c r="BQ1773" t="s">
        <v>93</v>
      </c>
      <c r="BR1773" t="s">
        <v>94</v>
      </c>
    </row>
    <row r="1774" spans="1:70" x14ac:dyDescent="0.3">
      <c r="A1774" t="str">
        <f>"201056C0200"</f>
        <v>201056C0200</v>
      </c>
      <c r="B1774" t="s">
        <v>3705</v>
      </c>
      <c r="C1774">
        <v>20</v>
      </c>
      <c r="D1774" t="s">
        <v>88</v>
      </c>
      <c r="E1774">
        <v>182</v>
      </c>
      <c r="F1774" t="s">
        <v>3427</v>
      </c>
      <c r="G1774">
        <v>1056</v>
      </c>
      <c r="H1774">
        <v>2</v>
      </c>
      <c r="I1774" t="s">
        <v>98</v>
      </c>
      <c r="J1774">
        <v>0</v>
      </c>
      <c r="K1774">
        <v>2</v>
      </c>
      <c r="L1774">
        <v>5</v>
      </c>
      <c r="M1774">
        <v>309</v>
      </c>
      <c r="N1774">
        <v>479</v>
      </c>
      <c r="O1774">
        <v>18</v>
      </c>
      <c r="P1774">
        <v>479</v>
      </c>
      <c r="Q1774">
        <v>2</v>
      </c>
      <c r="R1774">
        <v>23</v>
      </c>
      <c r="S1774">
        <v>2</v>
      </c>
      <c r="T1774">
        <v>30</v>
      </c>
      <c r="U1774">
        <v>5</v>
      </c>
      <c r="V1774">
        <v>4</v>
      </c>
      <c r="W1774">
        <v>2</v>
      </c>
      <c r="X1774">
        <v>257</v>
      </c>
      <c r="Y1774">
        <v>98</v>
      </c>
      <c r="Z1774">
        <v>0</v>
      </c>
      <c r="AA1774">
        <v>0</v>
      </c>
      <c r="AB1774">
        <v>1</v>
      </c>
      <c r="AC1774">
        <v>0</v>
      </c>
      <c r="AD1774">
        <v>0</v>
      </c>
      <c r="AE1774">
        <v>0</v>
      </c>
      <c r="AF1774">
        <v>0</v>
      </c>
      <c r="AK1774">
        <v>3</v>
      </c>
      <c r="AL1774">
        <v>1</v>
      </c>
      <c r="AM1774">
        <v>0</v>
      </c>
      <c r="AN1774">
        <v>1</v>
      </c>
      <c r="AZ1774">
        <v>5</v>
      </c>
      <c r="BC1774">
        <v>4</v>
      </c>
      <c r="BD1774">
        <v>16</v>
      </c>
      <c r="BE1774">
        <v>469</v>
      </c>
      <c r="BF1774">
        <v>454</v>
      </c>
      <c r="BG1774">
        <v>741</v>
      </c>
      <c r="BJ1774">
        <v>1</v>
      </c>
      <c r="BL1774" t="s">
        <v>3706</v>
      </c>
      <c r="BM1774" s="4">
        <v>43283.248611111114</v>
      </c>
      <c r="BN1774" s="4">
        <v>43283.287662037037</v>
      </c>
      <c r="BO1774" s="4">
        <v>43283.287662037037</v>
      </c>
      <c r="BP1774" t="s">
        <v>92</v>
      </c>
      <c r="BQ1774" t="s">
        <v>93</v>
      </c>
      <c r="BR1774" t="s">
        <v>94</v>
      </c>
    </row>
    <row r="1775" spans="1:70" x14ac:dyDescent="0.3">
      <c r="A1775" t="str">
        <f>"201057B0100"</f>
        <v>201057B0100</v>
      </c>
      <c r="B1775" t="s">
        <v>3707</v>
      </c>
      <c r="C1775">
        <v>20</v>
      </c>
      <c r="D1775" t="s">
        <v>88</v>
      </c>
      <c r="E1775">
        <v>182</v>
      </c>
      <c r="F1775" t="s">
        <v>3427</v>
      </c>
      <c r="G1775">
        <v>1057</v>
      </c>
      <c r="H1775">
        <v>1</v>
      </c>
      <c r="I1775" t="s">
        <v>90</v>
      </c>
      <c r="J1775">
        <v>0</v>
      </c>
      <c r="K1775">
        <v>2</v>
      </c>
      <c r="L1775">
        <v>5</v>
      </c>
      <c r="M1775">
        <v>93</v>
      </c>
      <c r="N1775">
        <v>248</v>
      </c>
      <c r="O1775">
        <v>2</v>
      </c>
      <c r="P1775">
        <v>248</v>
      </c>
      <c r="Q1775">
        <v>11</v>
      </c>
      <c r="R1775">
        <v>10</v>
      </c>
      <c r="S1775">
        <v>0</v>
      </c>
      <c r="T1775">
        <v>12</v>
      </c>
      <c r="U1775">
        <v>3</v>
      </c>
      <c r="V1775">
        <v>0</v>
      </c>
      <c r="W1775">
        <v>0</v>
      </c>
      <c r="X1775">
        <v>139</v>
      </c>
      <c r="Y1775">
        <v>55</v>
      </c>
      <c r="Z1775">
        <v>1</v>
      </c>
      <c r="AA1775">
        <v>0</v>
      </c>
      <c r="AB1775">
        <v>0</v>
      </c>
      <c r="AC1775" t="s">
        <v>105</v>
      </c>
      <c r="AD1775" t="s">
        <v>105</v>
      </c>
      <c r="AE1775" t="s">
        <v>105</v>
      </c>
      <c r="AF1775" t="s">
        <v>105</v>
      </c>
      <c r="AK1775" t="s">
        <v>105</v>
      </c>
      <c r="AL1775" t="s">
        <v>105</v>
      </c>
      <c r="AM1775" t="s">
        <v>105</v>
      </c>
      <c r="AN1775" t="s">
        <v>105</v>
      </c>
      <c r="AZ1775" t="s">
        <v>105</v>
      </c>
      <c r="BC1775" t="s">
        <v>105</v>
      </c>
      <c r="BD1775">
        <v>16</v>
      </c>
      <c r="BE1775">
        <v>248</v>
      </c>
      <c r="BF1775">
        <v>247</v>
      </c>
      <c r="BG1775">
        <v>318</v>
      </c>
      <c r="BI1775" t="s">
        <v>106</v>
      </c>
      <c r="BJ1775">
        <v>1</v>
      </c>
      <c r="BL1775" t="s">
        <v>3708</v>
      </c>
      <c r="BM1775" s="4">
        <v>43283.147916666669</v>
      </c>
      <c r="BN1775" s="4">
        <v>43283.156145833331</v>
      </c>
      <c r="BO1775" s="4">
        <v>43283.156145833331</v>
      </c>
      <c r="BP1775" t="s">
        <v>92</v>
      </c>
      <c r="BQ1775" t="s">
        <v>93</v>
      </c>
      <c r="BR1775" t="s">
        <v>94</v>
      </c>
    </row>
    <row r="1776" spans="1:70" x14ac:dyDescent="0.3">
      <c r="A1776" t="str">
        <f>"201057E0100"</f>
        <v>201057E0100</v>
      </c>
      <c r="B1776" s="2" t="s">
        <v>3709</v>
      </c>
      <c r="C1776">
        <v>20</v>
      </c>
      <c r="D1776" t="s">
        <v>88</v>
      </c>
      <c r="E1776">
        <v>182</v>
      </c>
      <c r="F1776" t="s">
        <v>3427</v>
      </c>
      <c r="G1776">
        <v>1057</v>
      </c>
      <c r="H1776">
        <v>1</v>
      </c>
      <c r="I1776" t="s">
        <v>156</v>
      </c>
      <c r="J1776">
        <v>0</v>
      </c>
      <c r="K1776">
        <v>2</v>
      </c>
      <c r="L1776">
        <v>5</v>
      </c>
      <c r="M1776">
        <v>142</v>
      </c>
      <c r="N1776">
        <v>362</v>
      </c>
      <c r="O1776">
        <v>0</v>
      </c>
      <c r="P1776">
        <v>362</v>
      </c>
      <c r="Q1776">
        <v>5</v>
      </c>
      <c r="R1776">
        <v>22</v>
      </c>
      <c r="S1776">
        <v>0</v>
      </c>
      <c r="T1776">
        <v>10</v>
      </c>
      <c r="U1776">
        <v>2</v>
      </c>
      <c r="V1776">
        <v>6</v>
      </c>
      <c r="W1776">
        <v>0</v>
      </c>
      <c r="X1776">
        <v>245</v>
      </c>
      <c r="Y1776">
        <v>46</v>
      </c>
      <c r="Z1776">
        <v>3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  <c r="AK1776">
        <v>0</v>
      </c>
      <c r="AL1776">
        <v>0</v>
      </c>
      <c r="AM1776">
        <v>0</v>
      </c>
      <c r="AN1776">
        <v>0</v>
      </c>
      <c r="AZ1776">
        <v>0</v>
      </c>
      <c r="BC1776" t="s">
        <v>105</v>
      </c>
      <c r="BD1776">
        <v>24</v>
      </c>
      <c r="BE1776">
        <v>362</v>
      </c>
      <c r="BF1776">
        <v>363</v>
      </c>
      <c r="BG1776">
        <v>482</v>
      </c>
      <c r="BI1776" t="s">
        <v>106</v>
      </c>
      <c r="BJ1776">
        <v>1</v>
      </c>
      <c r="BL1776" s="2" t="s">
        <v>3710</v>
      </c>
      <c r="BM1776" s="4">
        <v>43283.146527777775</v>
      </c>
      <c r="BN1776" s="4">
        <v>43283.154189814813</v>
      </c>
      <c r="BO1776" s="4">
        <v>43283.154189814813</v>
      </c>
      <c r="BP1776" t="s">
        <v>92</v>
      </c>
      <c r="BQ1776" t="s">
        <v>93</v>
      </c>
      <c r="BR1776" t="s">
        <v>94</v>
      </c>
    </row>
    <row r="1777" spans="1:70" x14ac:dyDescent="0.3">
      <c r="A1777" t="str">
        <f>"201058B0100"</f>
        <v>201058B0100</v>
      </c>
      <c r="B1777" t="s">
        <v>3711</v>
      </c>
      <c r="C1777">
        <v>20</v>
      </c>
      <c r="D1777" t="s">
        <v>88</v>
      </c>
      <c r="E1777">
        <v>182</v>
      </c>
      <c r="F1777" t="s">
        <v>3427</v>
      </c>
      <c r="G1777">
        <v>1058</v>
      </c>
      <c r="H1777">
        <v>1</v>
      </c>
      <c r="I1777" t="s">
        <v>90</v>
      </c>
      <c r="J1777">
        <v>0</v>
      </c>
      <c r="K1777">
        <v>2</v>
      </c>
      <c r="L1777">
        <v>5</v>
      </c>
      <c r="M1777">
        <v>185</v>
      </c>
      <c r="N1777">
        <v>665</v>
      </c>
      <c r="O1777">
        <v>6</v>
      </c>
      <c r="P1777">
        <v>466</v>
      </c>
      <c r="Q1777">
        <v>2</v>
      </c>
      <c r="R1777">
        <v>19</v>
      </c>
      <c r="S1777">
        <v>3</v>
      </c>
      <c r="T1777">
        <v>71</v>
      </c>
      <c r="U1777">
        <v>11</v>
      </c>
      <c r="V1777">
        <v>16</v>
      </c>
      <c r="W1777" t="s">
        <v>105</v>
      </c>
      <c r="X1777">
        <v>150</v>
      </c>
      <c r="Y1777">
        <v>182</v>
      </c>
      <c r="Z1777">
        <v>9</v>
      </c>
      <c r="AA1777">
        <v>0</v>
      </c>
      <c r="AB1777" t="s">
        <v>105</v>
      </c>
      <c r="AC1777" t="s">
        <v>105</v>
      </c>
      <c r="AD1777" t="s">
        <v>105</v>
      </c>
      <c r="AE1777" t="s">
        <v>105</v>
      </c>
      <c r="AF1777" t="s">
        <v>105</v>
      </c>
      <c r="AK1777">
        <v>2</v>
      </c>
      <c r="AL1777" t="s">
        <v>105</v>
      </c>
      <c r="AM1777" t="s">
        <v>105</v>
      </c>
      <c r="AN1777" t="s">
        <v>105</v>
      </c>
      <c r="AZ1777">
        <v>1</v>
      </c>
      <c r="BC1777" t="s">
        <v>105</v>
      </c>
      <c r="BD1777">
        <v>17</v>
      </c>
      <c r="BE1777">
        <v>466</v>
      </c>
      <c r="BF1777">
        <v>483</v>
      </c>
      <c r="BG1777">
        <v>643</v>
      </c>
      <c r="BI1777" t="s">
        <v>106</v>
      </c>
      <c r="BJ1777">
        <v>1</v>
      </c>
      <c r="BL1777" t="s">
        <v>3712</v>
      </c>
      <c r="BM1777" s="4">
        <v>43283.206250000003</v>
      </c>
      <c r="BN1777" s="4">
        <v>43283.223101851851</v>
      </c>
      <c r="BO1777" s="4">
        <v>43283.223101851851</v>
      </c>
      <c r="BP1777" t="s">
        <v>92</v>
      </c>
      <c r="BQ1777" t="s">
        <v>93</v>
      </c>
      <c r="BR1777" t="s">
        <v>94</v>
      </c>
    </row>
    <row r="1778" spans="1:70" x14ac:dyDescent="0.3">
      <c r="A1778" t="str">
        <f>"201058E0100"</f>
        <v>201058E0100</v>
      </c>
      <c r="B1778" s="2" t="s">
        <v>3713</v>
      </c>
      <c r="C1778">
        <v>20</v>
      </c>
      <c r="D1778" t="s">
        <v>88</v>
      </c>
      <c r="E1778">
        <v>182</v>
      </c>
      <c r="F1778" t="s">
        <v>3427</v>
      </c>
      <c r="G1778">
        <v>1058</v>
      </c>
      <c r="H1778">
        <v>1</v>
      </c>
      <c r="I1778" t="s">
        <v>156</v>
      </c>
      <c r="J1778">
        <v>0</v>
      </c>
      <c r="K1778">
        <v>2</v>
      </c>
      <c r="L1778">
        <v>5</v>
      </c>
      <c r="M1778">
        <v>217</v>
      </c>
      <c r="N1778">
        <v>520</v>
      </c>
      <c r="O1778">
        <v>2</v>
      </c>
      <c r="P1778">
        <v>520</v>
      </c>
      <c r="Q1778">
        <v>6</v>
      </c>
      <c r="R1778">
        <v>13</v>
      </c>
      <c r="S1778">
        <v>0</v>
      </c>
      <c r="T1778">
        <v>57</v>
      </c>
      <c r="U1778">
        <v>16</v>
      </c>
      <c r="V1778">
        <v>23</v>
      </c>
      <c r="W1778">
        <v>2</v>
      </c>
      <c r="X1778">
        <v>251</v>
      </c>
      <c r="Y1778">
        <v>111</v>
      </c>
      <c r="Z1778">
        <v>1</v>
      </c>
      <c r="AA1778">
        <v>0</v>
      </c>
      <c r="AB1778">
        <v>1</v>
      </c>
      <c r="AC1778">
        <v>0</v>
      </c>
      <c r="AD1778">
        <v>0</v>
      </c>
      <c r="AE1778">
        <v>0</v>
      </c>
      <c r="AF1778">
        <v>0</v>
      </c>
      <c r="AK1778">
        <v>4</v>
      </c>
      <c r="AL1778">
        <v>3</v>
      </c>
      <c r="AM1778">
        <v>0</v>
      </c>
      <c r="AN1778">
        <v>1</v>
      </c>
      <c r="AZ1778">
        <v>0</v>
      </c>
      <c r="BC1778">
        <v>0</v>
      </c>
      <c r="BD1778">
        <v>31</v>
      </c>
      <c r="BE1778">
        <v>520</v>
      </c>
      <c r="BF1778">
        <v>520</v>
      </c>
      <c r="BG1778">
        <v>714</v>
      </c>
      <c r="BJ1778">
        <v>1</v>
      </c>
      <c r="BL1778" t="s">
        <v>3714</v>
      </c>
      <c r="BM1778" s="4">
        <v>43283.206250000003</v>
      </c>
      <c r="BN1778" s="4">
        <v>43283.226180555554</v>
      </c>
      <c r="BO1778" s="4">
        <v>43283.226180555554</v>
      </c>
      <c r="BP1778" t="s">
        <v>92</v>
      </c>
      <c r="BQ1778" t="s">
        <v>93</v>
      </c>
      <c r="BR1778" t="s">
        <v>94</v>
      </c>
    </row>
    <row r="1779" spans="1:70" x14ac:dyDescent="0.3">
      <c r="A1779" t="str">
        <f>"201059B0100"</f>
        <v>201059B0100</v>
      </c>
      <c r="B1779" t="s">
        <v>3715</v>
      </c>
      <c r="C1779">
        <v>20</v>
      </c>
      <c r="D1779" t="s">
        <v>88</v>
      </c>
      <c r="E1779">
        <v>182</v>
      </c>
      <c r="F1779" t="s">
        <v>3427</v>
      </c>
      <c r="G1779">
        <v>1059</v>
      </c>
      <c r="H1779">
        <v>1</v>
      </c>
      <c r="I1779" t="s">
        <v>90</v>
      </c>
      <c r="J1779">
        <v>0</v>
      </c>
      <c r="K1779">
        <v>2</v>
      </c>
      <c r="L1779">
        <v>5</v>
      </c>
      <c r="BG1779">
        <v>726</v>
      </c>
      <c r="BI1779" t="s">
        <v>122</v>
      </c>
      <c r="BJ1779">
        <v>0</v>
      </c>
      <c r="BL1779" t="s">
        <v>3716</v>
      </c>
      <c r="BM1779" s="4">
        <v>43283.484722222223</v>
      </c>
      <c r="BN1779" s="4">
        <v>43283.496805555558</v>
      </c>
      <c r="BO1779" s="4">
        <v>43283.496805555558</v>
      </c>
      <c r="BP1779" t="s">
        <v>92</v>
      </c>
      <c r="BQ1779" t="s">
        <v>93</v>
      </c>
      <c r="BR1779" t="s">
        <v>94</v>
      </c>
    </row>
    <row r="1780" spans="1:70" x14ac:dyDescent="0.3">
      <c r="A1780" t="str">
        <f>"201060B0100"</f>
        <v>201060B0100</v>
      </c>
      <c r="B1780" t="s">
        <v>3717</v>
      </c>
      <c r="C1780">
        <v>20</v>
      </c>
      <c r="D1780" t="s">
        <v>88</v>
      </c>
      <c r="E1780">
        <v>182</v>
      </c>
      <c r="F1780" t="s">
        <v>3427</v>
      </c>
      <c r="G1780">
        <v>1060</v>
      </c>
      <c r="H1780">
        <v>1</v>
      </c>
      <c r="I1780" t="s">
        <v>90</v>
      </c>
      <c r="J1780">
        <v>0</v>
      </c>
      <c r="K1780">
        <v>1</v>
      </c>
      <c r="L1780">
        <v>5</v>
      </c>
      <c r="M1780">
        <v>176</v>
      </c>
      <c r="N1780">
        <v>357</v>
      </c>
      <c r="O1780">
        <v>0</v>
      </c>
      <c r="P1780">
        <v>357</v>
      </c>
      <c r="Q1780">
        <v>4</v>
      </c>
      <c r="R1780">
        <v>43</v>
      </c>
      <c r="S1780">
        <v>2</v>
      </c>
      <c r="T1780">
        <v>28</v>
      </c>
      <c r="U1780">
        <v>6</v>
      </c>
      <c r="V1780">
        <v>7</v>
      </c>
      <c r="W1780">
        <v>0</v>
      </c>
      <c r="X1780">
        <v>121</v>
      </c>
      <c r="Y1780">
        <v>98</v>
      </c>
      <c r="Z1780">
        <v>29</v>
      </c>
      <c r="AA1780">
        <v>0</v>
      </c>
      <c r="AB1780">
        <v>0</v>
      </c>
      <c r="AC1780">
        <v>1</v>
      </c>
      <c r="AD1780">
        <v>0</v>
      </c>
      <c r="AE1780">
        <v>0</v>
      </c>
      <c r="AF1780">
        <v>0</v>
      </c>
      <c r="AK1780">
        <v>1</v>
      </c>
      <c r="AL1780">
        <v>0</v>
      </c>
      <c r="AM1780">
        <v>0</v>
      </c>
      <c r="AN1780">
        <v>2</v>
      </c>
      <c r="AZ1780">
        <v>0</v>
      </c>
      <c r="BC1780">
        <v>0</v>
      </c>
      <c r="BD1780">
        <v>15</v>
      </c>
      <c r="BE1780">
        <v>357</v>
      </c>
      <c r="BF1780">
        <v>357</v>
      </c>
      <c r="BG1780">
        <v>510</v>
      </c>
      <c r="BJ1780">
        <v>1</v>
      </c>
      <c r="BL1780" t="s">
        <v>3718</v>
      </c>
      <c r="BM1780" s="4">
        <v>43282.948969907404</v>
      </c>
      <c r="BN1780" s="4">
        <v>43282.951932870368</v>
      </c>
      <c r="BO1780" s="4">
        <v>43282.951932870368</v>
      </c>
      <c r="BP1780" t="s">
        <v>339</v>
      </c>
      <c r="BQ1780" t="s">
        <v>340</v>
      </c>
      <c r="BR1780" t="s">
        <v>94</v>
      </c>
    </row>
    <row r="1781" spans="1:70" x14ac:dyDescent="0.3">
      <c r="A1781" t="str">
        <f>"201060C0100"</f>
        <v>201060C0100</v>
      </c>
      <c r="B1781" t="s">
        <v>3719</v>
      </c>
      <c r="C1781">
        <v>20</v>
      </c>
      <c r="D1781" t="s">
        <v>88</v>
      </c>
      <c r="E1781">
        <v>182</v>
      </c>
      <c r="F1781" t="s">
        <v>3427</v>
      </c>
      <c r="G1781">
        <v>1060</v>
      </c>
      <c r="H1781">
        <v>1</v>
      </c>
      <c r="I1781" t="s">
        <v>98</v>
      </c>
      <c r="J1781">
        <v>0</v>
      </c>
      <c r="K1781">
        <v>1</v>
      </c>
      <c r="L1781">
        <v>5</v>
      </c>
      <c r="M1781">
        <v>160</v>
      </c>
      <c r="N1781">
        <v>532</v>
      </c>
      <c r="O1781">
        <v>0</v>
      </c>
      <c r="P1781">
        <v>0</v>
      </c>
      <c r="Q1781">
        <v>2</v>
      </c>
      <c r="R1781">
        <v>38</v>
      </c>
      <c r="S1781">
        <v>5</v>
      </c>
      <c r="T1781">
        <v>24</v>
      </c>
      <c r="U1781">
        <v>13</v>
      </c>
      <c r="V1781">
        <v>4</v>
      </c>
      <c r="W1781">
        <v>1</v>
      </c>
      <c r="X1781">
        <v>122</v>
      </c>
      <c r="Y1781">
        <v>105</v>
      </c>
      <c r="Z1781">
        <v>17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0</v>
      </c>
      <c r="AK1781">
        <v>2</v>
      </c>
      <c r="AL1781">
        <v>0</v>
      </c>
      <c r="AM1781">
        <v>0</v>
      </c>
      <c r="AN1781">
        <v>0</v>
      </c>
      <c r="AZ1781">
        <v>1</v>
      </c>
      <c r="BC1781">
        <v>0</v>
      </c>
      <c r="BD1781">
        <v>38</v>
      </c>
      <c r="BE1781" t="s">
        <v>105</v>
      </c>
      <c r="BF1781">
        <v>372</v>
      </c>
      <c r="BG1781">
        <v>509</v>
      </c>
      <c r="BJ1781">
        <v>1</v>
      </c>
      <c r="BL1781" t="s">
        <v>3720</v>
      </c>
      <c r="BM1781" s="4">
        <v>43283.008715277778</v>
      </c>
      <c r="BN1781" s="4">
        <v>43283.012395833335</v>
      </c>
      <c r="BO1781" s="4">
        <v>43283.012395833335</v>
      </c>
      <c r="BP1781" t="s">
        <v>339</v>
      </c>
      <c r="BQ1781" t="s">
        <v>340</v>
      </c>
      <c r="BR1781" t="s">
        <v>94</v>
      </c>
    </row>
    <row r="1782" spans="1:70" x14ac:dyDescent="0.3">
      <c r="A1782" t="str">
        <f>"201060C0200"</f>
        <v>201060C0200</v>
      </c>
      <c r="B1782" t="s">
        <v>3721</v>
      </c>
      <c r="C1782">
        <v>20</v>
      </c>
      <c r="D1782" t="s">
        <v>88</v>
      </c>
      <c r="E1782">
        <v>182</v>
      </c>
      <c r="F1782" t="s">
        <v>3427</v>
      </c>
      <c r="G1782">
        <v>1060</v>
      </c>
      <c r="H1782">
        <v>2</v>
      </c>
      <c r="I1782" t="s">
        <v>98</v>
      </c>
      <c r="J1782">
        <v>0</v>
      </c>
      <c r="K1782">
        <v>1</v>
      </c>
      <c r="L1782">
        <v>5</v>
      </c>
      <c r="M1782">
        <v>179</v>
      </c>
      <c r="N1782">
        <v>352</v>
      </c>
      <c r="O1782">
        <v>0</v>
      </c>
      <c r="P1782">
        <v>352</v>
      </c>
      <c r="Q1782">
        <v>4</v>
      </c>
      <c r="R1782">
        <v>50</v>
      </c>
      <c r="S1782">
        <v>3</v>
      </c>
      <c r="T1782">
        <v>18</v>
      </c>
      <c r="U1782">
        <v>9</v>
      </c>
      <c r="V1782">
        <v>8</v>
      </c>
      <c r="W1782">
        <v>0</v>
      </c>
      <c r="X1782">
        <v>127</v>
      </c>
      <c r="Y1782">
        <v>91</v>
      </c>
      <c r="Z1782">
        <v>19</v>
      </c>
      <c r="AA1782">
        <v>0</v>
      </c>
      <c r="AB1782">
        <v>1</v>
      </c>
      <c r="AC1782">
        <v>0</v>
      </c>
      <c r="AD1782">
        <v>0</v>
      </c>
      <c r="AE1782">
        <v>0</v>
      </c>
      <c r="AF1782">
        <v>0</v>
      </c>
      <c r="AK1782">
        <v>1</v>
      </c>
      <c r="AL1782">
        <v>0</v>
      </c>
      <c r="AM1782">
        <v>0</v>
      </c>
      <c r="AN1782">
        <v>1</v>
      </c>
      <c r="AZ1782">
        <v>0</v>
      </c>
      <c r="BC1782">
        <v>0</v>
      </c>
      <c r="BD1782">
        <v>20</v>
      </c>
      <c r="BE1782">
        <v>352</v>
      </c>
      <c r="BF1782">
        <v>352</v>
      </c>
      <c r="BG1782">
        <v>509</v>
      </c>
      <c r="BJ1782">
        <v>1</v>
      </c>
      <c r="BL1782" t="s">
        <v>3722</v>
      </c>
      <c r="BM1782" s="4">
        <v>43283.083101851851</v>
      </c>
      <c r="BN1782" s="4">
        <v>43283.087048611109</v>
      </c>
      <c r="BO1782" s="4">
        <v>43283.087048611109</v>
      </c>
      <c r="BP1782" t="s">
        <v>339</v>
      </c>
      <c r="BQ1782" t="s">
        <v>340</v>
      </c>
      <c r="BR1782" t="s">
        <v>94</v>
      </c>
    </row>
    <row r="1783" spans="1:70" x14ac:dyDescent="0.3">
      <c r="A1783" t="str">
        <f>"201061B0100"</f>
        <v>201061B0100</v>
      </c>
      <c r="B1783" t="s">
        <v>3723</v>
      </c>
      <c r="C1783">
        <v>20</v>
      </c>
      <c r="D1783" t="s">
        <v>88</v>
      </c>
      <c r="E1783">
        <v>182</v>
      </c>
      <c r="F1783" t="s">
        <v>3427</v>
      </c>
      <c r="G1783">
        <v>1061</v>
      </c>
      <c r="H1783">
        <v>1</v>
      </c>
      <c r="I1783" t="s">
        <v>90</v>
      </c>
      <c r="J1783">
        <v>0</v>
      </c>
      <c r="K1783">
        <v>2</v>
      </c>
      <c r="L1783">
        <v>5</v>
      </c>
      <c r="M1783">
        <v>142</v>
      </c>
      <c r="N1783">
        <v>349</v>
      </c>
      <c r="O1783">
        <v>3</v>
      </c>
      <c r="P1783">
        <v>349</v>
      </c>
      <c r="Q1783">
        <v>0</v>
      </c>
      <c r="R1783">
        <v>21</v>
      </c>
      <c r="S1783">
        <v>1</v>
      </c>
      <c r="T1783">
        <v>39</v>
      </c>
      <c r="U1783">
        <v>5</v>
      </c>
      <c r="V1783">
        <v>6</v>
      </c>
      <c r="W1783">
        <v>0</v>
      </c>
      <c r="X1783">
        <v>163</v>
      </c>
      <c r="Y1783">
        <v>70</v>
      </c>
      <c r="Z1783">
        <v>20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K1783">
        <v>1</v>
      </c>
      <c r="AL1783">
        <v>1</v>
      </c>
      <c r="AM1783">
        <v>0</v>
      </c>
      <c r="AN1783">
        <v>3</v>
      </c>
      <c r="AZ1783">
        <v>0</v>
      </c>
      <c r="BC1783">
        <v>0</v>
      </c>
      <c r="BD1783">
        <v>19</v>
      </c>
      <c r="BE1783">
        <v>349</v>
      </c>
      <c r="BF1783">
        <v>349</v>
      </c>
      <c r="BG1783">
        <v>468</v>
      </c>
      <c r="BJ1783">
        <v>1</v>
      </c>
      <c r="BL1783" t="s">
        <v>3724</v>
      </c>
      <c r="BM1783" s="4">
        <v>43283.217361111114</v>
      </c>
      <c r="BN1783" s="4">
        <v>43283.240601851852</v>
      </c>
      <c r="BO1783" s="4">
        <v>43283.240601851852</v>
      </c>
      <c r="BP1783" t="s">
        <v>92</v>
      </c>
      <c r="BQ1783" t="s">
        <v>93</v>
      </c>
      <c r="BR1783" t="s">
        <v>94</v>
      </c>
    </row>
    <row r="1784" spans="1:70" x14ac:dyDescent="0.3">
      <c r="A1784" t="str">
        <f>"201061E0100"</f>
        <v>201061E0100</v>
      </c>
      <c r="B1784" s="2" t="s">
        <v>3725</v>
      </c>
      <c r="C1784">
        <v>20</v>
      </c>
      <c r="D1784" t="s">
        <v>88</v>
      </c>
      <c r="E1784">
        <v>182</v>
      </c>
      <c r="F1784" t="s">
        <v>3427</v>
      </c>
      <c r="G1784">
        <v>1061</v>
      </c>
      <c r="H1784">
        <v>1</v>
      </c>
      <c r="I1784" t="s">
        <v>156</v>
      </c>
      <c r="J1784">
        <v>0</v>
      </c>
      <c r="K1784">
        <v>2</v>
      </c>
      <c r="L1784">
        <v>5</v>
      </c>
      <c r="M1784">
        <v>221</v>
      </c>
      <c r="N1784">
        <v>389</v>
      </c>
      <c r="O1784">
        <v>1</v>
      </c>
      <c r="P1784">
        <v>389</v>
      </c>
      <c r="Q1784">
        <v>2</v>
      </c>
      <c r="R1784">
        <v>53</v>
      </c>
      <c r="S1784">
        <v>7</v>
      </c>
      <c r="T1784">
        <v>21</v>
      </c>
      <c r="U1784">
        <v>14</v>
      </c>
      <c r="V1784">
        <v>14</v>
      </c>
      <c r="W1784">
        <v>0</v>
      </c>
      <c r="X1784">
        <v>141</v>
      </c>
      <c r="Y1784">
        <v>13</v>
      </c>
      <c r="Z1784">
        <v>9</v>
      </c>
      <c r="AA1784">
        <v>1</v>
      </c>
      <c r="AB1784">
        <v>3</v>
      </c>
      <c r="AC1784">
        <v>0</v>
      </c>
      <c r="AD1784">
        <v>0</v>
      </c>
      <c r="AE1784">
        <v>0</v>
      </c>
      <c r="AF1784">
        <v>0</v>
      </c>
      <c r="AK1784">
        <v>4</v>
      </c>
      <c r="AL1784">
        <v>2</v>
      </c>
      <c r="AM1784">
        <v>0</v>
      </c>
      <c r="AN1784">
        <v>3</v>
      </c>
      <c r="AZ1784">
        <v>1</v>
      </c>
      <c r="BC1784">
        <v>0</v>
      </c>
      <c r="BD1784">
        <v>24</v>
      </c>
      <c r="BE1784">
        <v>389</v>
      </c>
      <c r="BF1784">
        <v>312</v>
      </c>
      <c r="BG1784">
        <v>587</v>
      </c>
      <c r="BJ1784">
        <v>1</v>
      </c>
      <c r="BL1784" t="s">
        <v>3726</v>
      </c>
      <c r="BM1784" s="4">
        <v>43283.214583333334</v>
      </c>
      <c r="BN1784" s="4">
        <v>43283.235682870371</v>
      </c>
      <c r="BO1784" s="4">
        <v>43283.235682870371</v>
      </c>
      <c r="BP1784" t="s">
        <v>92</v>
      </c>
      <c r="BQ1784" t="s">
        <v>93</v>
      </c>
      <c r="BR1784" t="s">
        <v>94</v>
      </c>
    </row>
    <row r="1785" spans="1:70" x14ac:dyDescent="0.3">
      <c r="A1785" t="str">
        <f>"201062B0100"</f>
        <v>201062B0100</v>
      </c>
      <c r="B1785" t="s">
        <v>3727</v>
      </c>
      <c r="C1785">
        <v>20</v>
      </c>
      <c r="D1785" t="s">
        <v>88</v>
      </c>
      <c r="E1785">
        <v>182</v>
      </c>
      <c r="F1785" t="s">
        <v>3427</v>
      </c>
      <c r="G1785">
        <v>1062</v>
      </c>
      <c r="H1785">
        <v>1</v>
      </c>
      <c r="I1785" t="s">
        <v>90</v>
      </c>
      <c r="J1785">
        <v>0</v>
      </c>
      <c r="K1785">
        <v>2</v>
      </c>
      <c r="L1785">
        <v>5</v>
      </c>
      <c r="M1785">
        <v>223</v>
      </c>
      <c r="N1785">
        <v>452</v>
      </c>
      <c r="O1785">
        <v>0</v>
      </c>
      <c r="P1785">
        <v>452</v>
      </c>
      <c r="Q1785">
        <v>4</v>
      </c>
      <c r="R1785">
        <v>36</v>
      </c>
      <c r="S1785">
        <v>5</v>
      </c>
      <c r="T1785">
        <v>17</v>
      </c>
      <c r="U1785">
        <v>15</v>
      </c>
      <c r="V1785">
        <v>7</v>
      </c>
      <c r="W1785">
        <v>1</v>
      </c>
      <c r="X1785">
        <v>250</v>
      </c>
      <c r="Y1785">
        <v>83</v>
      </c>
      <c r="Z1785">
        <v>6</v>
      </c>
      <c r="AA1785">
        <v>2</v>
      </c>
      <c r="AB1785">
        <v>1</v>
      </c>
      <c r="AC1785">
        <v>0</v>
      </c>
      <c r="AD1785">
        <v>0</v>
      </c>
      <c r="AE1785">
        <v>1</v>
      </c>
      <c r="AF1785">
        <v>0</v>
      </c>
      <c r="AK1785">
        <v>5</v>
      </c>
      <c r="AL1785">
        <v>0</v>
      </c>
      <c r="AM1785">
        <v>0</v>
      </c>
      <c r="AN1785">
        <v>0</v>
      </c>
      <c r="AZ1785">
        <v>1</v>
      </c>
      <c r="BC1785">
        <v>1</v>
      </c>
      <c r="BD1785">
        <v>18</v>
      </c>
      <c r="BE1785">
        <v>452</v>
      </c>
      <c r="BF1785">
        <v>453</v>
      </c>
      <c r="BG1785">
        <v>652</v>
      </c>
      <c r="BJ1785">
        <v>1</v>
      </c>
      <c r="BL1785" t="s">
        <v>3728</v>
      </c>
      <c r="BM1785" s="4">
        <v>43283.355555555558</v>
      </c>
      <c r="BN1785" s="4">
        <v>43283.367685185185</v>
      </c>
      <c r="BO1785" s="4">
        <v>43283.367685185185</v>
      </c>
      <c r="BP1785" t="s">
        <v>92</v>
      </c>
      <c r="BQ1785" t="s">
        <v>93</v>
      </c>
      <c r="BR1785" t="s">
        <v>94</v>
      </c>
    </row>
    <row r="1786" spans="1:70" x14ac:dyDescent="0.3">
      <c r="A1786" t="str">
        <f>"201062C0100"</f>
        <v>201062C0100</v>
      </c>
      <c r="B1786" t="s">
        <v>3729</v>
      </c>
      <c r="C1786">
        <v>20</v>
      </c>
      <c r="D1786" t="s">
        <v>88</v>
      </c>
      <c r="E1786">
        <v>182</v>
      </c>
      <c r="F1786" t="s">
        <v>3427</v>
      </c>
      <c r="G1786">
        <v>1062</v>
      </c>
      <c r="H1786">
        <v>1</v>
      </c>
      <c r="I1786" t="s">
        <v>98</v>
      </c>
      <c r="J1786">
        <v>0</v>
      </c>
      <c r="K1786">
        <v>2</v>
      </c>
      <c r="L1786">
        <v>5</v>
      </c>
      <c r="M1786">
        <v>218</v>
      </c>
      <c r="N1786">
        <v>457</v>
      </c>
      <c r="O1786">
        <v>1</v>
      </c>
      <c r="P1786">
        <v>457</v>
      </c>
      <c r="Q1786">
        <v>7</v>
      </c>
      <c r="R1786">
        <v>51</v>
      </c>
      <c r="S1786">
        <v>5</v>
      </c>
      <c r="T1786">
        <v>31</v>
      </c>
      <c r="U1786">
        <v>12</v>
      </c>
      <c r="V1786">
        <v>12</v>
      </c>
      <c r="W1786">
        <v>2</v>
      </c>
      <c r="X1786">
        <v>17</v>
      </c>
      <c r="Y1786">
        <v>90</v>
      </c>
      <c r="Z1786">
        <v>8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K1786">
        <v>0</v>
      </c>
      <c r="AL1786">
        <v>0</v>
      </c>
      <c r="AM1786">
        <v>0</v>
      </c>
      <c r="AN1786">
        <v>0</v>
      </c>
      <c r="AZ1786">
        <v>3</v>
      </c>
      <c r="BC1786">
        <v>0</v>
      </c>
      <c r="BD1786">
        <v>16</v>
      </c>
      <c r="BE1786">
        <v>457</v>
      </c>
      <c r="BF1786">
        <v>254</v>
      </c>
      <c r="BG1786">
        <v>652</v>
      </c>
      <c r="BJ1786">
        <v>1</v>
      </c>
      <c r="BL1786" t="s">
        <v>3730</v>
      </c>
      <c r="BM1786" s="4">
        <v>43283.498611111114</v>
      </c>
      <c r="BN1786" s="4">
        <v>43283.502025462964</v>
      </c>
      <c r="BO1786" s="4">
        <v>43283.502025462964</v>
      </c>
      <c r="BP1786" t="s">
        <v>92</v>
      </c>
      <c r="BQ1786" t="s">
        <v>93</v>
      </c>
      <c r="BR1786" t="s">
        <v>94</v>
      </c>
    </row>
    <row r="1787" spans="1:70" x14ac:dyDescent="0.3">
      <c r="A1787" t="str">
        <f>"201063B0100"</f>
        <v>201063B0100</v>
      </c>
      <c r="B1787" t="s">
        <v>3731</v>
      </c>
      <c r="C1787">
        <v>20</v>
      </c>
      <c r="D1787" t="s">
        <v>88</v>
      </c>
      <c r="E1787">
        <v>182</v>
      </c>
      <c r="F1787" t="s">
        <v>3427</v>
      </c>
      <c r="G1787">
        <v>1063</v>
      </c>
      <c r="H1787">
        <v>1</v>
      </c>
      <c r="I1787" t="s">
        <v>90</v>
      </c>
      <c r="J1787">
        <v>0</v>
      </c>
      <c r="K1787">
        <v>2</v>
      </c>
      <c r="L1787">
        <v>5</v>
      </c>
      <c r="M1787">
        <v>185</v>
      </c>
      <c r="N1787">
        <v>523</v>
      </c>
      <c r="O1787">
        <v>2</v>
      </c>
      <c r="P1787">
        <v>523</v>
      </c>
      <c r="Q1787">
        <v>10</v>
      </c>
      <c r="R1787">
        <v>42</v>
      </c>
      <c r="S1787">
        <v>2</v>
      </c>
      <c r="T1787">
        <v>50</v>
      </c>
      <c r="U1787">
        <v>5</v>
      </c>
      <c r="V1787">
        <v>47</v>
      </c>
      <c r="W1787">
        <v>0</v>
      </c>
      <c r="X1787">
        <v>222</v>
      </c>
      <c r="Y1787">
        <v>121</v>
      </c>
      <c r="Z1787">
        <v>0</v>
      </c>
      <c r="AA1787">
        <v>1</v>
      </c>
      <c r="AB1787">
        <v>0</v>
      </c>
      <c r="AC1787">
        <v>0</v>
      </c>
      <c r="AD1787">
        <v>0</v>
      </c>
      <c r="AE1787">
        <v>0</v>
      </c>
      <c r="AF1787">
        <v>0</v>
      </c>
      <c r="AK1787">
        <v>3</v>
      </c>
      <c r="AL1787">
        <v>1</v>
      </c>
      <c r="AM1787">
        <v>0</v>
      </c>
      <c r="AN1787">
        <v>5</v>
      </c>
      <c r="AZ1787">
        <v>0</v>
      </c>
      <c r="BC1787">
        <v>0</v>
      </c>
      <c r="BD1787">
        <v>14</v>
      </c>
      <c r="BE1787">
        <v>523</v>
      </c>
      <c r="BF1787">
        <v>523</v>
      </c>
      <c r="BG1787">
        <v>687</v>
      </c>
      <c r="BJ1787">
        <v>1</v>
      </c>
      <c r="BL1787" t="s">
        <v>3732</v>
      </c>
      <c r="BM1787" s="4">
        <v>43283.207638888889</v>
      </c>
      <c r="BN1787" s="4">
        <v>43283.229027777779</v>
      </c>
      <c r="BO1787" s="4">
        <v>43283.229027777779</v>
      </c>
      <c r="BP1787" t="s">
        <v>92</v>
      </c>
      <c r="BQ1787" t="s">
        <v>93</v>
      </c>
      <c r="BR1787" t="s">
        <v>94</v>
      </c>
    </row>
    <row r="1788" spans="1:70" x14ac:dyDescent="0.3">
      <c r="A1788" t="str">
        <f>"201064B0100"</f>
        <v>201064B0100</v>
      </c>
      <c r="B1788" t="s">
        <v>3733</v>
      </c>
      <c r="C1788">
        <v>20</v>
      </c>
      <c r="D1788" t="s">
        <v>88</v>
      </c>
      <c r="E1788">
        <v>182</v>
      </c>
      <c r="F1788" t="s">
        <v>3427</v>
      </c>
      <c r="G1788">
        <v>1064</v>
      </c>
      <c r="H1788">
        <v>1</v>
      </c>
      <c r="I1788" t="s">
        <v>90</v>
      </c>
      <c r="J1788">
        <v>0</v>
      </c>
      <c r="K1788">
        <v>2</v>
      </c>
      <c r="L1788">
        <v>5</v>
      </c>
      <c r="M1788">
        <v>175</v>
      </c>
      <c r="N1788">
        <v>552</v>
      </c>
      <c r="O1788">
        <v>4</v>
      </c>
      <c r="P1788">
        <v>551</v>
      </c>
      <c r="Q1788">
        <v>15</v>
      </c>
      <c r="R1788">
        <v>81</v>
      </c>
      <c r="S1788">
        <v>2</v>
      </c>
      <c r="T1788">
        <v>43</v>
      </c>
      <c r="U1788">
        <v>8</v>
      </c>
      <c r="V1788">
        <v>21</v>
      </c>
      <c r="W1788">
        <v>1</v>
      </c>
      <c r="X1788">
        <v>253</v>
      </c>
      <c r="Y1788">
        <v>90</v>
      </c>
      <c r="Z1788">
        <v>7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  <c r="AK1788">
        <v>4</v>
      </c>
      <c r="AL1788">
        <v>2</v>
      </c>
      <c r="AM1788">
        <v>0</v>
      </c>
      <c r="AN1788">
        <v>1</v>
      </c>
      <c r="AZ1788">
        <v>0</v>
      </c>
      <c r="BC1788">
        <v>0</v>
      </c>
      <c r="BD1788">
        <v>23</v>
      </c>
      <c r="BE1788">
        <v>551</v>
      </c>
      <c r="BF1788">
        <v>551</v>
      </c>
      <c r="BG1788">
        <v>704</v>
      </c>
      <c r="BJ1788">
        <v>1</v>
      </c>
      <c r="BL1788" t="s">
        <v>3734</v>
      </c>
      <c r="BM1788" s="4">
        <v>43283.492361111108</v>
      </c>
      <c r="BN1788" s="4">
        <v>43283.496689814812</v>
      </c>
      <c r="BO1788" s="4">
        <v>43283.496689814812</v>
      </c>
      <c r="BP1788" t="s">
        <v>92</v>
      </c>
      <c r="BQ1788" t="s">
        <v>93</v>
      </c>
      <c r="BR1788" t="s">
        <v>94</v>
      </c>
    </row>
    <row r="1789" spans="1:70" x14ac:dyDescent="0.3">
      <c r="A1789" t="str">
        <f>"201064E0100"</f>
        <v>201064E0100</v>
      </c>
      <c r="B1789" s="2" t="s">
        <v>3735</v>
      </c>
      <c r="C1789">
        <v>20</v>
      </c>
      <c r="D1789" t="s">
        <v>88</v>
      </c>
      <c r="E1789">
        <v>182</v>
      </c>
      <c r="F1789" t="s">
        <v>3427</v>
      </c>
      <c r="G1789">
        <v>1064</v>
      </c>
      <c r="H1789">
        <v>1</v>
      </c>
      <c r="I1789" t="s">
        <v>156</v>
      </c>
      <c r="J1789">
        <v>0</v>
      </c>
      <c r="K1789">
        <v>2</v>
      </c>
      <c r="L1789">
        <v>5</v>
      </c>
      <c r="M1789">
        <v>124</v>
      </c>
      <c r="N1789">
        <v>267</v>
      </c>
      <c r="O1789">
        <v>2</v>
      </c>
      <c r="P1789">
        <v>368</v>
      </c>
      <c r="Q1789">
        <v>4</v>
      </c>
      <c r="R1789">
        <v>16</v>
      </c>
      <c r="S1789">
        <v>1</v>
      </c>
      <c r="T1789">
        <v>35</v>
      </c>
      <c r="U1789">
        <v>9</v>
      </c>
      <c r="V1789">
        <v>13</v>
      </c>
      <c r="W1789" t="s">
        <v>105</v>
      </c>
      <c r="X1789">
        <v>191</v>
      </c>
      <c r="Y1789">
        <v>76</v>
      </c>
      <c r="Z1789">
        <v>2</v>
      </c>
      <c r="AA1789">
        <v>1</v>
      </c>
      <c r="AB1789">
        <v>1</v>
      </c>
      <c r="AC1789">
        <v>0</v>
      </c>
      <c r="AD1789">
        <v>0</v>
      </c>
      <c r="AE1789">
        <v>0</v>
      </c>
      <c r="AF1789">
        <v>0</v>
      </c>
      <c r="AK1789">
        <v>1</v>
      </c>
      <c r="AL1789">
        <v>0</v>
      </c>
      <c r="AM1789">
        <v>0</v>
      </c>
      <c r="AN1789">
        <v>1</v>
      </c>
      <c r="AZ1789">
        <v>0</v>
      </c>
      <c r="BC1789">
        <v>0</v>
      </c>
      <c r="BD1789">
        <v>17</v>
      </c>
      <c r="BE1789">
        <v>368</v>
      </c>
      <c r="BF1789">
        <v>368</v>
      </c>
      <c r="BG1789">
        <v>469</v>
      </c>
      <c r="BI1789" t="s">
        <v>106</v>
      </c>
      <c r="BJ1789">
        <v>1</v>
      </c>
      <c r="BL1789" t="s">
        <v>3736</v>
      </c>
      <c r="BM1789" s="4">
        <v>43283.163888888892</v>
      </c>
      <c r="BN1789" s="4">
        <v>43283.177106481482</v>
      </c>
      <c r="BO1789" s="4">
        <v>43283.177106481482</v>
      </c>
      <c r="BP1789" t="s">
        <v>92</v>
      </c>
      <c r="BQ1789" t="s">
        <v>93</v>
      </c>
      <c r="BR1789" t="s">
        <v>94</v>
      </c>
    </row>
    <row r="1790" spans="1:70" x14ac:dyDescent="0.3">
      <c r="A1790" t="str">
        <f>"201064E0101"</f>
        <v>201064E0101</v>
      </c>
      <c r="B1790" s="2" t="s">
        <v>3737</v>
      </c>
      <c r="C1790">
        <v>20</v>
      </c>
      <c r="D1790" t="s">
        <v>88</v>
      </c>
      <c r="E1790">
        <v>182</v>
      </c>
      <c r="F1790" t="s">
        <v>3427</v>
      </c>
      <c r="G1790">
        <v>1064</v>
      </c>
      <c r="H1790">
        <v>1</v>
      </c>
      <c r="I1790" t="s">
        <v>156</v>
      </c>
      <c r="J1790">
        <v>1</v>
      </c>
      <c r="K1790">
        <v>2</v>
      </c>
      <c r="L1790">
        <v>5</v>
      </c>
      <c r="M1790">
        <v>112</v>
      </c>
      <c r="N1790">
        <v>380</v>
      </c>
      <c r="O1790">
        <v>1</v>
      </c>
      <c r="P1790">
        <v>380</v>
      </c>
      <c r="Q1790">
        <v>13</v>
      </c>
      <c r="R1790">
        <v>10</v>
      </c>
      <c r="S1790">
        <v>4</v>
      </c>
      <c r="T1790">
        <v>60</v>
      </c>
      <c r="U1790">
        <v>11</v>
      </c>
      <c r="V1790">
        <v>6</v>
      </c>
      <c r="W1790">
        <v>1</v>
      </c>
      <c r="X1790">
        <v>153</v>
      </c>
      <c r="Y1790">
        <v>98</v>
      </c>
      <c r="Z1790">
        <v>5</v>
      </c>
      <c r="AA1790">
        <v>0</v>
      </c>
      <c r="AB1790">
        <v>0</v>
      </c>
      <c r="AC1790">
        <v>2</v>
      </c>
      <c r="AD1790">
        <v>1</v>
      </c>
      <c r="AE1790">
        <v>1</v>
      </c>
      <c r="AF1790">
        <v>1</v>
      </c>
      <c r="AK1790">
        <v>6</v>
      </c>
      <c r="AL1790">
        <v>0</v>
      </c>
      <c r="AM1790">
        <v>1</v>
      </c>
      <c r="AN1790">
        <v>0</v>
      </c>
      <c r="AZ1790">
        <v>1</v>
      </c>
      <c r="BC1790">
        <v>0</v>
      </c>
      <c r="BD1790">
        <v>18</v>
      </c>
      <c r="BE1790">
        <v>392</v>
      </c>
      <c r="BF1790">
        <v>392</v>
      </c>
      <c r="BG1790">
        <v>469</v>
      </c>
      <c r="BJ1790">
        <v>1</v>
      </c>
      <c r="BL1790" t="s">
        <v>3738</v>
      </c>
      <c r="BM1790" s="4">
        <v>43283.166666666664</v>
      </c>
      <c r="BN1790" s="4">
        <v>43283.182824074072</v>
      </c>
      <c r="BO1790" s="4">
        <v>43283.182824074072</v>
      </c>
      <c r="BP1790" t="s">
        <v>92</v>
      </c>
      <c r="BQ1790" t="s">
        <v>93</v>
      </c>
      <c r="BR1790" t="s">
        <v>94</v>
      </c>
    </row>
    <row r="1791" spans="1:70" x14ac:dyDescent="0.3">
      <c r="A1791" t="str">
        <f>"201064E0200"</f>
        <v>201064E0200</v>
      </c>
      <c r="B1791" s="2" t="s">
        <v>3739</v>
      </c>
      <c r="C1791">
        <v>20</v>
      </c>
      <c r="D1791" t="s">
        <v>88</v>
      </c>
      <c r="E1791">
        <v>182</v>
      </c>
      <c r="F1791" t="s">
        <v>3427</v>
      </c>
      <c r="G1791">
        <v>1064</v>
      </c>
      <c r="H1791">
        <v>2</v>
      </c>
      <c r="I1791" t="s">
        <v>156</v>
      </c>
      <c r="J1791">
        <v>0</v>
      </c>
      <c r="K1791">
        <v>2</v>
      </c>
      <c r="L1791">
        <v>5</v>
      </c>
      <c r="M1791">
        <v>97</v>
      </c>
      <c r="N1791">
        <v>325</v>
      </c>
      <c r="O1791">
        <v>2</v>
      </c>
      <c r="P1791">
        <v>325</v>
      </c>
      <c r="Q1791">
        <v>21</v>
      </c>
      <c r="R1791">
        <v>6</v>
      </c>
      <c r="S1791">
        <v>3</v>
      </c>
      <c r="T1791">
        <v>10</v>
      </c>
      <c r="U1791">
        <v>3</v>
      </c>
      <c r="V1791">
        <v>24</v>
      </c>
      <c r="W1791">
        <v>2</v>
      </c>
      <c r="X1791">
        <v>185</v>
      </c>
      <c r="Y1791">
        <v>45</v>
      </c>
      <c r="Z1791">
        <v>3</v>
      </c>
      <c r="AA1791">
        <v>3</v>
      </c>
      <c r="AB1791">
        <v>0</v>
      </c>
      <c r="AC1791">
        <v>0</v>
      </c>
      <c r="AD1791">
        <v>0</v>
      </c>
      <c r="AE1791">
        <v>0</v>
      </c>
      <c r="AF1791">
        <v>0</v>
      </c>
      <c r="AK1791">
        <v>0</v>
      </c>
      <c r="AL1791">
        <v>0</v>
      </c>
      <c r="AM1791">
        <v>0</v>
      </c>
      <c r="AN1791">
        <v>0</v>
      </c>
      <c r="AZ1791">
        <v>1</v>
      </c>
      <c r="BC1791">
        <v>0</v>
      </c>
      <c r="BD1791">
        <v>19</v>
      </c>
      <c r="BE1791">
        <v>325</v>
      </c>
      <c r="BF1791">
        <v>325</v>
      </c>
      <c r="BG1791">
        <v>399</v>
      </c>
      <c r="BJ1791">
        <v>1</v>
      </c>
      <c r="BL1791" t="s">
        <v>3740</v>
      </c>
      <c r="BM1791" s="4">
        <v>43283.166666666664</v>
      </c>
      <c r="BN1791" s="4">
        <v>43283.186377314814</v>
      </c>
      <c r="BO1791" s="4">
        <v>43283.186377314814</v>
      </c>
      <c r="BP1791" t="s">
        <v>92</v>
      </c>
      <c r="BQ1791" t="s">
        <v>93</v>
      </c>
      <c r="BR1791" t="s">
        <v>94</v>
      </c>
    </row>
    <row r="1792" spans="1:70" x14ac:dyDescent="0.3">
      <c r="A1792" t="str">
        <f>"201065B0100"</f>
        <v>201065B0100</v>
      </c>
      <c r="B1792" t="s">
        <v>3741</v>
      </c>
      <c r="C1792">
        <v>20</v>
      </c>
      <c r="D1792" t="s">
        <v>88</v>
      </c>
      <c r="E1792">
        <v>182</v>
      </c>
      <c r="F1792" t="s">
        <v>3427</v>
      </c>
      <c r="G1792">
        <v>1065</v>
      </c>
      <c r="H1792">
        <v>1</v>
      </c>
      <c r="I1792" t="s">
        <v>90</v>
      </c>
      <c r="J1792">
        <v>0</v>
      </c>
      <c r="K1792">
        <v>2</v>
      </c>
      <c r="L1792">
        <v>5</v>
      </c>
      <c r="M1792">
        <v>163</v>
      </c>
      <c r="N1792">
        <v>301</v>
      </c>
      <c r="O1792">
        <v>2</v>
      </c>
      <c r="P1792">
        <v>301</v>
      </c>
      <c r="Q1792">
        <v>1</v>
      </c>
      <c r="R1792">
        <v>19</v>
      </c>
      <c r="S1792">
        <v>0</v>
      </c>
      <c r="T1792">
        <v>15</v>
      </c>
      <c r="U1792">
        <v>7</v>
      </c>
      <c r="V1792">
        <v>1</v>
      </c>
      <c r="W1792">
        <v>0</v>
      </c>
      <c r="X1792">
        <v>154</v>
      </c>
      <c r="Y1792">
        <v>71</v>
      </c>
      <c r="Z1792">
        <v>6</v>
      </c>
      <c r="AA1792">
        <v>0</v>
      </c>
      <c r="AB1792">
        <v>1</v>
      </c>
      <c r="AC1792">
        <v>2</v>
      </c>
      <c r="AD1792">
        <v>0</v>
      </c>
      <c r="AE1792">
        <v>0</v>
      </c>
      <c r="AF1792">
        <v>0</v>
      </c>
      <c r="AK1792">
        <v>3</v>
      </c>
      <c r="AL1792">
        <v>1</v>
      </c>
      <c r="AM1792">
        <v>0</v>
      </c>
      <c r="AN1792">
        <v>0</v>
      </c>
      <c r="AZ1792">
        <v>3</v>
      </c>
      <c r="BC1792" t="s">
        <v>105</v>
      </c>
      <c r="BD1792">
        <v>18</v>
      </c>
      <c r="BE1792">
        <v>301</v>
      </c>
      <c r="BF1792">
        <v>302</v>
      </c>
      <c r="BG1792">
        <v>441</v>
      </c>
      <c r="BI1792" t="s">
        <v>106</v>
      </c>
      <c r="BJ1792">
        <v>1</v>
      </c>
      <c r="BL1792" t="s">
        <v>3742</v>
      </c>
      <c r="BM1792" s="4">
        <v>43283.112500000003</v>
      </c>
      <c r="BN1792" s="4">
        <v>43283.120567129627</v>
      </c>
      <c r="BO1792" s="4">
        <v>43283.120567129627</v>
      </c>
      <c r="BP1792" t="s">
        <v>92</v>
      </c>
      <c r="BQ1792" t="s">
        <v>93</v>
      </c>
      <c r="BR1792" t="s">
        <v>94</v>
      </c>
    </row>
    <row r="1793" spans="1:70" x14ac:dyDescent="0.3">
      <c r="A1793" t="str">
        <f>"201065C0100"</f>
        <v>201065C0100</v>
      </c>
      <c r="B1793" t="s">
        <v>3743</v>
      </c>
      <c r="C1793">
        <v>20</v>
      </c>
      <c r="D1793" t="s">
        <v>88</v>
      </c>
      <c r="E1793">
        <v>182</v>
      </c>
      <c r="F1793" t="s">
        <v>3427</v>
      </c>
      <c r="G1793">
        <v>1065</v>
      </c>
      <c r="H1793">
        <v>1</v>
      </c>
      <c r="I1793" t="s">
        <v>98</v>
      </c>
      <c r="J1793">
        <v>0</v>
      </c>
      <c r="K1793">
        <v>2</v>
      </c>
      <c r="L1793">
        <v>5</v>
      </c>
      <c r="M1793">
        <v>150</v>
      </c>
      <c r="N1793">
        <v>314</v>
      </c>
      <c r="O1793">
        <v>5</v>
      </c>
      <c r="P1793">
        <v>314</v>
      </c>
      <c r="Q1793">
        <v>1</v>
      </c>
      <c r="R1793">
        <v>23</v>
      </c>
      <c r="S1793">
        <v>0</v>
      </c>
      <c r="T1793">
        <v>21</v>
      </c>
      <c r="U1793">
        <v>2</v>
      </c>
      <c r="V1793">
        <v>2</v>
      </c>
      <c r="W1793">
        <v>0</v>
      </c>
      <c r="X1793">
        <v>224</v>
      </c>
      <c r="Y1793">
        <v>62</v>
      </c>
      <c r="Z1793">
        <v>7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K1793">
        <v>3</v>
      </c>
      <c r="AL1793">
        <v>0</v>
      </c>
      <c r="AM1793">
        <v>0</v>
      </c>
      <c r="AN1793">
        <v>0</v>
      </c>
      <c r="AZ1793">
        <v>1</v>
      </c>
      <c r="BC1793">
        <v>0</v>
      </c>
      <c r="BD1793">
        <v>16</v>
      </c>
      <c r="BE1793">
        <v>362</v>
      </c>
      <c r="BF1793">
        <v>362</v>
      </c>
      <c r="BG1793">
        <v>441</v>
      </c>
      <c r="BJ1793">
        <v>1</v>
      </c>
      <c r="BL1793" t="s">
        <v>3744</v>
      </c>
      <c r="BM1793" s="4">
        <v>43283.112500000003</v>
      </c>
      <c r="BN1793" s="4">
        <v>43283.117407407408</v>
      </c>
      <c r="BO1793" s="4">
        <v>43283.117407407408</v>
      </c>
      <c r="BP1793" t="s">
        <v>92</v>
      </c>
      <c r="BQ1793" t="s">
        <v>93</v>
      </c>
      <c r="BR1793" t="s">
        <v>94</v>
      </c>
    </row>
    <row r="1794" spans="1:70" x14ac:dyDescent="0.3">
      <c r="A1794" t="str">
        <f>"201065E0100"</f>
        <v>201065E0100</v>
      </c>
      <c r="B1794" s="2" t="s">
        <v>3745</v>
      </c>
      <c r="C1794">
        <v>20</v>
      </c>
      <c r="D1794" t="s">
        <v>88</v>
      </c>
      <c r="E1794">
        <v>182</v>
      </c>
      <c r="F1794" t="s">
        <v>3427</v>
      </c>
      <c r="G1794">
        <v>1065</v>
      </c>
      <c r="H1794">
        <v>1</v>
      </c>
      <c r="I1794" t="s">
        <v>156</v>
      </c>
      <c r="J1794">
        <v>0</v>
      </c>
      <c r="K1794">
        <v>2</v>
      </c>
      <c r="L1794">
        <v>5</v>
      </c>
      <c r="M1794">
        <v>63</v>
      </c>
      <c r="N1794" t="s">
        <v>105</v>
      </c>
      <c r="O1794">
        <v>3</v>
      </c>
      <c r="P1794" t="s">
        <v>105</v>
      </c>
      <c r="Q1794">
        <v>1</v>
      </c>
      <c r="R1794">
        <v>3</v>
      </c>
      <c r="S1794" t="s">
        <v>105</v>
      </c>
      <c r="T1794">
        <v>20</v>
      </c>
      <c r="U1794">
        <v>8</v>
      </c>
      <c r="V1794">
        <v>0</v>
      </c>
      <c r="W1794">
        <v>1</v>
      </c>
      <c r="X1794">
        <v>65</v>
      </c>
      <c r="Y1794">
        <v>99</v>
      </c>
      <c r="Z1794">
        <v>6</v>
      </c>
      <c r="AA1794" t="s">
        <v>105</v>
      </c>
      <c r="AB1794" t="s">
        <v>105</v>
      </c>
      <c r="AC1794" t="s">
        <v>105</v>
      </c>
      <c r="AD1794" t="s">
        <v>105</v>
      </c>
      <c r="AE1794" t="s">
        <v>105</v>
      </c>
      <c r="AF1794" t="s">
        <v>105</v>
      </c>
      <c r="AK1794">
        <v>1</v>
      </c>
      <c r="AL1794">
        <v>1</v>
      </c>
      <c r="AM1794" t="s">
        <v>105</v>
      </c>
      <c r="AN1794">
        <v>1</v>
      </c>
      <c r="AZ1794" t="s">
        <v>105</v>
      </c>
      <c r="BC1794" t="s">
        <v>105</v>
      </c>
      <c r="BD1794">
        <v>3</v>
      </c>
      <c r="BE1794" t="s">
        <v>105</v>
      </c>
      <c r="BF1794">
        <v>209</v>
      </c>
      <c r="BG1794">
        <v>268</v>
      </c>
      <c r="BI1794" t="s">
        <v>106</v>
      </c>
      <c r="BJ1794">
        <v>1</v>
      </c>
      <c r="BL1794" t="s">
        <v>3746</v>
      </c>
      <c r="BM1794" s="4">
        <v>43283.013194444444</v>
      </c>
      <c r="BN1794" s="4">
        <v>43283.018796296295</v>
      </c>
      <c r="BO1794" s="4">
        <v>43283.018796296295</v>
      </c>
      <c r="BP1794" t="s">
        <v>92</v>
      </c>
      <c r="BQ1794" t="s">
        <v>93</v>
      </c>
      <c r="BR1794" t="s">
        <v>94</v>
      </c>
    </row>
    <row r="1795" spans="1:70" x14ac:dyDescent="0.3">
      <c r="A1795" t="str">
        <f>"201065E0200"</f>
        <v>201065E0200</v>
      </c>
      <c r="B1795" s="2" t="s">
        <v>3747</v>
      </c>
      <c r="C1795">
        <v>20</v>
      </c>
      <c r="D1795" t="s">
        <v>88</v>
      </c>
      <c r="E1795">
        <v>182</v>
      </c>
      <c r="F1795" t="s">
        <v>3427</v>
      </c>
      <c r="G1795">
        <v>1065</v>
      </c>
      <c r="H1795">
        <v>2</v>
      </c>
      <c r="I1795" t="s">
        <v>156</v>
      </c>
      <c r="J1795">
        <v>0</v>
      </c>
      <c r="K1795">
        <v>2</v>
      </c>
      <c r="L1795">
        <v>5</v>
      </c>
      <c r="BG1795">
        <v>528</v>
      </c>
      <c r="BI1795" t="s">
        <v>365</v>
      </c>
      <c r="BJ1795">
        <v>0</v>
      </c>
      <c r="BL1795" t="s">
        <v>3748</v>
      </c>
      <c r="BM1795" s="4">
        <v>43282.751388888886</v>
      </c>
      <c r="BN1795" s="4">
        <v>43283.75273148148</v>
      </c>
      <c r="BO1795" s="4">
        <v>43283.75273148148</v>
      </c>
      <c r="BP1795" t="s">
        <v>92</v>
      </c>
      <c r="BQ1795" t="s">
        <v>93</v>
      </c>
      <c r="BR1795" t="s">
        <v>94</v>
      </c>
    </row>
    <row r="1796" spans="1:70" x14ac:dyDescent="0.3">
      <c r="A1796" t="str">
        <f>"201066B0100"</f>
        <v>201066B0100</v>
      </c>
      <c r="B1796" t="s">
        <v>3749</v>
      </c>
      <c r="C1796">
        <v>20</v>
      </c>
      <c r="D1796" t="s">
        <v>88</v>
      </c>
      <c r="E1796">
        <v>182</v>
      </c>
      <c r="F1796" t="s">
        <v>3427</v>
      </c>
      <c r="G1796">
        <v>1066</v>
      </c>
      <c r="H1796">
        <v>1</v>
      </c>
      <c r="I1796" t="s">
        <v>90</v>
      </c>
      <c r="J1796">
        <v>0</v>
      </c>
      <c r="K1796">
        <v>2</v>
      </c>
      <c r="L1796">
        <v>5</v>
      </c>
      <c r="M1796">
        <v>64</v>
      </c>
      <c r="N1796" t="s">
        <v>127</v>
      </c>
      <c r="O1796">
        <v>0</v>
      </c>
      <c r="P1796" t="s">
        <v>127</v>
      </c>
      <c r="Q1796">
        <v>0</v>
      </c>
      <c r="R1796">
        <v>0</v>
      </c>
      <c r="S1796">
        <v>0</v>
      </c>
      <c r="T1796">
        <v>12</v>
      </c>
      <c r="U1796">
        <v>4</v>
      </c>
      <c r="V1796">
        <v>2</v>
      </c>
      <c r="W1796">
        <v>0</v>
      </c>
      <c r="X1796">
        <v>123</v>
      </c>
      <c r="Y1796">
        <v>23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K1796">
        <v>0</v>
      </c>
      <c r="AL1796">
        <v>0</v>
      </c>
      <c r="AM1796">
        <v>0</v>
      </c>
      <c r="AN1796">
        <v>0</v>
      </c>
      <c r="AZ1796">
        <v>0</v>
      </c>
      <c r="BC1796" t="s">
        <v>105</v>
      </c>
      <c r="BD1796" t="s">
        <v>105</v>
      </c>
      <c r="BE1796" t="s">
        <v>105</v>
      </c>
      <c r="BF1796">
        <v>164</v>
      </c>
      <c r="BG1796">
        <v>224</v>
      </c>
      <c r="BI1796" t="s">
        <v>106</v>
      </c>
      <c r="BJ1796">
        <v>1</v>
      </c>
      <c r="BL1796" t="s">
        <v>3750</v>
      </c>
      <c r="BM1796" s="4">
        <v>43283.188194444447</v>
      </c>
      <c r="BN1796" s="4">
        <v>43283.209444444445</v>
      </c>
      <c r="BO1796" s="4">
        <v>43283.209444444445</v>
      </c>
      <c r="BP1796" t="s">
        <v>92</v>
      </c>
      <c r="BQ1796" t="s">
        <v>93</v>
      </c>
      <c r="BR1796" t="s">
        <v>94</v>
      </c>
    </row>
    <row r="1797" spans="1:70" x14ac:dyDescent="0.3">
      <c r="A1797" t="str">
        <f>"201066E0100"</f>
        <v>201066E0100</v>
      </c>
      <c r="B1797" s="2" t="s">
        <v>3751</v>
      </c>
      <c r="C1797">
        <v>20</v>
      </c>
      <c r="D1797" t="s">
        <v>88</v>
      </c>
      <c r="E1797">
        <v>182</v>
      </c>
      <c r="F1797" t="s">
        <v>3427</v>
      </c>
      <c r="G1797">
        <v>1066</v>
      </c>
      <c r="H1797">
        <v>1</v>
      </c>
      <c r="I1797" t="s">
        <v>156</v>
      </c>
      <c r="J1797">
        <v>0</v>
      </c>
      <c r="K1797">
        <v>2</v>
      </c>
      <c r="L1797">
        <v>5</v>
      </c>
      <c r="M1797">
        <v>188</v>
      </c>
      <c r="N1797">
        <v>493</v>
      </c>
      <c r="O1797">
        <v>1</v>
      </c>
      <c r="P1797">
        <v>493</v>
      </c>
      <c r="Q1797">
        <v>10</v>
      </c>
      <c r="R1797">
        <v>3</v>
      </c>
      <c r="S1797">
        <v>3</v>
      </c>
      <c r="T1797">
        <v>54</v>
      </c>
      <c r="U1797">
        <v>15</v>
      </c>
      <c r="V1797">
        <v>6</v>
      </c>
      <c r="W1797">
        <v>1</v>
      </c>
      <c r="X1797">
        <v>208</v>
      </c>
      <c r="Y1797">
        <v>163</v>
      </c>
      <c r="Z1797">
        <v>2</v>
      </c>
      <c r="AA1797">
        <v>0</v>
      </c>
      <c r="AB1797">
        <v>2</v>
      </c>
      <c r="AC1797">
        <v>0</v>
      </c>
      <c r="AD1797">
        <v>1</v>
      </c>
      <c r="AE1797">
        <v>0</v>
      </c>
      <c r="AF1797">
        <v>0</v>
      </c>
      <c r="AK1797">
        <v>4</v>
      </c>
      <c r="AL1797">
        <v>0</v>
      </c>
      <c r="AM1797">
        <v>0</v>
      </c>
      <c r="AN1797">
        <v>2</v>
      </c>
      <c r="AZ1797">
        <v>0</v>
      </c>
      <c r="BC1797">
        <v>0</v>
      </c>
      <c r="BD1797">
        <v>19</v>
      </c>
      <c r="BE1797">
        <v>493</v>
      </c>
      <c r="BF1797">
        <v>493</v>
      </c>
      <c r="BG1797">
        <v>669</v>
      </c>
      <c r="BJ1797">
        <v>1</v>
      </c>
      <c r="BL1797" t="s">
        <v>3752</v>
      </c>
      <c r="BM1797" s="4">
        <v>43283.186805555553</v>
      </c>
      <c r="BN1797" s="4">
        <v>43283.205706018518</v>
      </c>
      <c r="BO1797" s="4">
        <v>43283.205706018518</v>
      </c>
      <c r="BP1797" t="s">
        <v>92</v>
      </c>
      <c r="BQ1797" t="s">
        <v>93</v>
      </c>
      <c r="BR1797" t="s">
        <v>94</v>
      </c>
    </row>
    <row r="1798" spans="1:70" x14ac:dyDescent="0.3">
      <c r="A1798" t="str">
        <f>"201067B0100"</f>
        <v>201067B0100</v>
      </c>
      <c r="B1798" t="s">
        <v>3753</v>
      </c>
      <c r="C1798">
        <v>20</v>
      </c>
      <c r="D1798" t="s">
        <v>88</v>
      </c>
      <c r="E1798">
        <v>182</v>
      </c>
      <c r="F1798" t="s">
        <v>3427</v>
      </c>
      <c r="G1798">
        <v>1067</v>
      </c>
      <c r="H1798">
        <v>1</v>
      </c>
      <c r="I1798" t="s">
        <v>90</v>
      </c>
      <c r="J1798">
        <v>0</v>
      </c>
      <c r="K1798">
        <v>2</v>
      </c>
      <c r="L1798">
        <v>5</v>
      </c>
      <c r="M1798">
        <v>115</v>
      </c>
      <c r="N1798">
        <v>359</v>
      </c>
      <c r="O1798">
        <v>0</v>
      </c>
      <c r="P1798">
        <v>359</v>
      </c>
      <c r="Q1798">
        <v>12</v>
      </c>
      <c r="R1798">
        <v>13</v>
      </c>
      <c r="S1798">
        <v>1</v>
      </c>
      <c r="T1798">
        <v>40</v>
      </c>
      <c r="U1798">
        <v>6</v>
      </c>
      <c r="V1798">
        <v>3</v>
      </c>
      <c r="W1798">
        <v>0</v>
      </c>
      <c r="X1798">
        <v>219</v>
      </c>
      <c r="Y1798">
        <v>42</v>
      </c>
      <c r="Z1798">
        <v>2</v>
      </c>
      <c r="AA1798">
        <v>1</v>
      </c>
      <c r="AB1798">
        <v>0</v>
      </c>
      <c r="AC1798">
        <v>0</v>
      </c>
      <c r="AD1798">
        <v>0</v>
      </c>
      <c r="AE1798">
        <v>0</v>
      </c>
      <c r="AF1798">
        <v>0</v>
      </c>
      <c r="AK1798">
        <v>1</v>
      </c>
      <c r="AL1798">
        <v>0</v>
      </c>
      <c r="AM1798">
        <v>0</v>
      </c>
      <c r="AN1798">
        <v>0</v>
      </c>
      <c r="AZ1798">
        <v>1</v>
      </c>
      <c r="BC1798">
        <v>0</v>
      </c>
      <c r="BD1798">
        <v>18</v>
      </c>
      <c r="BE1798">
        <v>359</v>
      </c>
      <c r="BF1798">
        <v>359</v>
      </c>
      <c r="BG1798">
        <v>452</v>
      </c>
      <c r="BJ1798">
        <v>1</v>
      </c>
      <c r="BL1798" t="s">
        <v>3754</v>
      </c>
      <c r="BM1798" s="4">
        <v>43283.307638888888</v>
      </c>
      <c r="BN1798" s="4">
        <v>43283.35050925926</v>
      </c>
      <c r="BO1798" s="4">
        <v>43283.35050925926</v>
      </c>
      <c r="BP1798" t="s">
        <v>92</v>
      </c>
      <c r="BQ1798" t="s">
        <v>93</v>
      </c>
      <c r="BR1798" t="s">
        <v>94</v>
      </c>
    </row>
    <row r="1799" spans="1:70" x14ac:dyDescent="0.3">
      <c r="A1799" t="str">
        <f>"201067C0100"</f>
        <v>201067C0100</v>
      </c>
      <c r="B1799" t="s">
        <v>3755</v>
      </c>
      <c r="C1799">
        <v>20</v>
      </c>
      <c r="D1799" t="s">
        <v>88</v>
      </c>
      <c r="E1799">
        <v>182</v>
      </c>
      <c r="F1799" t="s">
        <v>3427</v>
      </c>
      <c r="G1799">
        <v>1067</v>
      </c>
      <c r="H1799">
        <v>1</v>
      </c>
      <c r="I1799" t="s">
        <v>98</v>
      </c>
      <c r="J1799">
        <v>0</v>
      </c>
      <c r="K1799">
        <v>2</v>
      </c>
      <c r="L1799">
        <v>5</v>
      </c>
      <c r="M1799">
        <v>97</v>
      </c>
      <c r="N1799">
        <v>377</v>
      </c>
      <c r="O1799">
        <v>0</v>
      </c>
      <c r="P1799">
        <v>377</v>
      </c>
      <c r="Q1799">
        <v>17</v>
      </c>
      <c r="R1799">
        <v>9</v>
      </c>
      <c r="S1799">
        <v>2</v>
      </c>
      <c r="T1799">
        <v>46</v>
      </c>
      <c r="U1799">
        <v>5</v>
      </c>
      <c r="V1799">
        <v>4</v>
      </c>
      <c r="W1799">
        <v>2</v>
      </c>
      <c r="X1799">
        <v>228</v>
      </c>
      <c r="Y1799">
        <v>46</v>
      </c>
      <c r="Z1799">
        <v>2</v>
      </c>
      <c r="AA1799">
        <v>1</v>
      </c>
      <c r="AB1799">
        <v>0</v>
      </c>
      <c r="AC1799">
        <v>0</v>
      </c>
      <c r="AD1799">
        <v>0</v>
      </c>
      <c r="AE1799">
        <v>0</v>
      </c>
      <c r="AF1799">
        <v>0</v>
      </c>
      <c r="AK1799">
        <v>1</v>
      </c>
      <c r="AL1799">
        <v>0</v>
      </c>
      <c r="AM1799">
        <v>0</v>
      </c>
      <c r="AN1799">
        <v>0</v>
      </c>
      <c r="AZ1799">
        <v>1</v>
      </c>
      <c r="BC1799">
        <v>0</v>
      </c>
      <c r="BD1799">
        <v>13</v>
      </c>
      <c r="BE1799">
        <v>377</v>
      </c>
      <c r="BF1799">
        <v>377</v>
      </c>
      <c r="BG1799">
        <v>451</v>
      </c>
      <c r="BJ1799">
        <v>1</v>
      </c>
      <c r="BL1799" t="s">
        <v>3756</v>
      </c>
      <c r="BM1799" s="4">
        <v>43283.308333333334</v>
      </c>
      <c r="BN1799" s="4">
        <v>43283.3516087963</v>
      </c>
      <c r="BO1799" s="4">
        <v>43283.3516087963</v>
      </c>
      <c r="BP1799" t="s">
        <v>92</v>
      </c>
      <c r="BQ1799" t="s">
        <v>93</v>
      </c>
      <c r="BR1799" t="s">
        <v>94</v>
      </c>
    </row>
    <row r="1800" spans="1:70" x14ac:dyDescent="0.3">
      <c r="A1800" t="str">
        <f>"201068B0100"</f>
        <v>201068B0100</v>
      </c>
      <c r="B1800" t="s">
        <v>3757</v>
      </c>
      <c r="C1800">
        <v>20</v>
      </c>
      <c r="D1800" t="s">
        <v>88</v>
      </c>
      <c r="E1800">
        <v>182</v>
      </c>
      <c r="F1800" t="s">
        <v>3427</v>
      </c>
      <c r="G1800">
        <v>1068</v>
      </c>
      <c r="H1800">
        <v>1</v>
      </c>
      <c r="I1800" t="s">
        <v>90</v>
      </c>
      <c r="J1800">
        <v>0</v>
      </c>
      <c r="K1800">
        <v>2</v>
      </c>
      <c r="L1800">
        <v>5</v>
      </c>
      <c r="BG1800">
        <v>576</v>
      </c>
      <c r="BI1800" t="s">
        <v>122</v>
      </c>
      <c r="BJ1800">
        <v>0</v>
      </c>
      <c r="BL1800" t="s">
        <v>3758</v>
      </c>
      <c r="BM1800" s="4">
        <v>43283.480555555558</v>
      </c>
      <c r="BN1800" s="4">
        <v>43283.488912037035</v>
      </c>
      <c r="BO1800" s="4">
        <v>43283.488912037035</v>
      </c>
      <c r="BP1800" t="s">
        <v>92</v>
      </c>
      <c r="BQ1800" t="s">
        <v>93</v>
      </c>
      <c r="BR1800" t="s">
        <v>94</v>
      </c>
    </row>
    <row r="1801" spans="1:70" x14ac:dyDescent="0.3">
      <c r="A1801" t="str">
        <f>"201068C0100"</f>
        <v>201068C0100</v>
      </c>
      <c r="B1801" t="s">
        <v>3759</v>
      </c>
      <c r="C1801">
        <v>20</v>
      </c>
      <c r="D1801" t="s">
        <v>88</v>
      </c>
      <c r="E1801">
        <v>182</v>
      </c>
      <c r="F1801" t="s">
        <v>3427</v>
      </c>
      <c r="G1801">
        <v>1068</v>
      </c>
      <c r="H1801">
        <v>1</v>
      </c>
      <c r="I1801" t="s">
        <v>98</v>
      </c>
      <c r="J1801">
        <v>0</v>
      </c>
      <c r="K1801">
        <v>2</v>
      </c>
      <c r="L1801">
        <v>5</v>
      </c>
      <c r="M1801">
        <v>205</v>
      </c>
      <c r="N1801">
        <v>393</v>
      </c>
      <c r="O1801">
        <v>2</v>
      </c>
      <c r="P1801">
        <v>393</v>
      </c>
      <c r="Q1801">
        <v>1</v>
      </c>
      <c r="R1801">
        <v>15</v>
      </c>
      <c r="S1801">
        <v>1</v>
      </c>
      <c r="T1801">
        <v>35</v>
      </c>
      <c r="U1801">
        <v>7</v>
      </c>
      <c r="V1801">
        <v>11</v>
      </c>
      <c r="W1801">
        <v>1</v>
      </c>
      <c r="X1801">
        <v>213</v>
      </c>
      <c r="Y1801">
        <v>73</v>
      </c>
      <c r="Z1801">
        <v>6</v>
      </c>
      <c r="AA1801">
        <v>1</v>
      </c>
      <c r="AB1801">
        <v>3</v>
      </c>
      <c r="AC1801">
        <v>0</v>
      </c>
      <c r="AD1801">
        <v>1</v>
      </c>
      <c r="AE1801">
        <v>0</v>
      </c>
      <c r="AF1801">
        <v>0</v>
      </c>
      <c r="AK1801">
        <v>3</v>
      </c>
      <c r="AL1801">
        <v>0</v>
      </c>
      <c r="AM1801">
        <v>0</v>
      </c>
      <c r="AN1801">
        <v>0</v>
      </c>
      <c r="AZ1801">
        <v>2</v>
      </c>
      <c r="BC1801">
        <v>0</v>
      </c>
      <c r="BD1801">
        <v>21</v>
      </c>
      <c r="BE1801">
        <v>394</v>
      </c>
      <c r="BF1801">
        <v>394</v>
      </c>
      <c r="BG1801">
        <v>575</v>
      </c>
      <c r="BJ1801">
        <v>1</v>
      </c>
      <c r="BL1801" t="s">
        <v>3760</v>
      </c>
      <c r="BM1801" s="4">
        <v>43283.21597222222</v>
      </c>
      <c r="BN1801" s="4">
        <v>43283.237407407411</v>
      </c>
      <c r="BO1801" s="4">
        <v>43283.237407407411</v>
      </c>
      <c r="BP1801" t="s">
        <v>92</v>
      </c>
      <c r="BQ1801" t="s">
        <v>93</v>
      </c>
      <c r="BR1801" t="s">
        <v>94</v>
      </c>
    </row>
    <row r="1802" spans="1:70" x14ac:dyDescent="0.3">
      <c r="A1802" t="str">
        <f>"201069B0100"</f>
        <v>201069B0100</v>
      </c>
      <c r="B1802" t="s">
        <v>3761</v>
      </c>
      <c r="C1802">
        <v>20</v>
      </c>
      <c r="D1802" t="s">
        <v>88</v>
      </c>
      <c r="E1802">
        <v>182</v>
      </c>
      <c r="F1802" t="s">
        <v>3427</v>
      </c>
      <c r="G1802">
        <v>1069</v>
      </c>
      <c r="H1802">
        <v>1</v>
      </c>
      <c r="I1802" t="s">
        <v>90</v>
      </c>
      <c r="J1802">
        <v>0</v>
      </c>
      <c r="K1802">
        <v>1</v>
      </c>
      <c r="L1802">
        <v>5</v>
      </c>
      <c r="M1802">
        <v>242</v>
      </c>
      <c r="N1802">
        <v>395</v>
      </c>
      <c r="O1802">
        <v>3</v>
      </c>
      <c r="P1802">
        <v>395</v>
      </c>
      <c r="Q1802">
        <v>7</v>
      </c>
      <c r="R1802">
        <v>13</v>
      </c>
      <c r="S1802">
        <v>7</v>
      </c>
      <c r="T1802">
        <v>20</v>
      </c>
      <c r="U1802">
        <v>10</v>
      </c>
      <c r="V1802">
        <v>1</v>
      </c>
      <c r="W1802">
        <v>0</v>
      </c>
      <c r="X1802">
        <v>211</v>
      </c>
      <c r="Y1802">
        <v>104</v>
      </c>
      <c r="Z1802">
        <v>7</v>
      </c>
      <c r="AA1802">
        <v>0</v>
      </c>
      <c r="AB1802">
        <v>2</v>
      </c>
      <c r="AC1802" t="s">
        <v>105</v>
      </c>
      <c r="AD1802" t="s">
        <v>105</v>
      </c>
      <c r="AE1802" t="s">
        <v>105</v>
      </c>
      <c r="AF1802" t="s">
        <v>105</v>
      </c>
      <c r="AK1802" t="s">
        <v>105</v>
      </c>
      <c r="AL1802" t="s">
        <v>105</v>
      </c>
      <c r="AM1802" t="s">
        <v>105</v>
      </c>
      <c r="AN1802" t="s">
        <v>105</v>
      </c>
      <c r="AZ1802">
        <v>3</v>
      </c>
      <c r="BC1802">
        <v>0</v>
      </c>
      <c r="BD1802">
        <v>14</v>
      </c>
      <c r="BE1802">
        <v>399</v>
      </c>
      <c r="BF1802">
        <v>399</v>
      </c>
      <c r="BG1802">
        <v>615</v>
      </c>
      <c r="BI1802" t="s">
        <v>106</v>
      </c>
      <c r="BJ1802">
        <v>1</v>
      </c>
      <c r="BL1802" t="s">
        <v>3762</v>
      </c>
      <c r="BM1802" s="4">
        <v>43283.495833333334</v>
      </c>
      <c r="BN1802" s="4">
        <v>43283.502141203702</v>
      </c>
      <c r="BO1802" s="4">
        <v>43283.502141203702</v>
      </c>
      <c r="BP1802" t="s">
        <v>92</v>
      </c>
      <c r="BQ1802" t="s">
        <v>93</v>
      </c>
      <c r="BR1802" t="s">
        <v>94</v>
      </c>
    </row>
    <row r="1803" spans="1:70" x14ac:dyDescent="0.3">
      <c r="A1803" t="str">
        <f>"201069C0100"</f>
        <v>201069C0100</v>
      </c>
      <c r="B1803" t="s">
        <v>3763</v>
      </c>
      <c r="C1803">
        <v>20</v>
      </c>
      <c r="D1803" t="s">
        <v>88</v>
      </c>
      <c r="E1803">
        <v>182</v>
      </c>
      <c r="F1803" t="s">
        <v>3427</v>
      </c>
      <c r="G1803">
        <v>1069</v>
      </c>
      <c r="H1803">
        <v>1</v>
      </c>
      <c r="I1803" t="s">
        <v>98</v>
      </c>
      <c r="J1803">
        <v>0</v>
      </c>
      <c r="K1803">
        <v>1</v>
      </c>
      <c r="L1803">
        <v>5</v>
      </c>
      <c r="M1803">
        <v>259</v>
      </c>
      <c r="N1803">
        <v>373</v>
      </c>
      <c r="O1803">
        <v>5</v>
      </c>
      <c r="P1803">
        <v>373</v>
      </c>
      <c r="Q1803">
        <v>7</v>
      </c>
      <c r="R1803">
        <v>15</v>
      </c>
      <c r="S1803">
        <v>5</v>
      </c>
      <c r="T1803">
        <v>12</v>
      </c>
      <c r="U1803">
        <v>8</v>
      </c>
      <c r="V1803">
        <v>4</v>
      </c>
      <c r="W1803">
        <v>0</v>
      </c>
      <c r="X1803">
        <v>199</v>
      </c>
      <c r="Y1803">
        <v>98</v>
      </c>
      <c r="Z1803">
        <v>8</v>
      </c>
      <c r="AA1803">
        <v>1</v>
      </c>
      <c r="AB1803">
        <v>1</v>
      </c>
      <c r="AC1803">
        <v>0</v>
      </c>
      <c r="AD1803">
        <v>0</v>
      </c>
      <c r="AE1803">
        <v>0</v>
      </c>
      <c r="AF1803">
        <v>0</v>
      </c>
      <c r="AK1803">
        <v>3</v>
      </c>
      <c r="AL1803">
        <v>0</v>
      </c>
      <c r="AM1803">
        <v>0</v>
      </c>
      <c r="AN1803">
        <v>2</v>
      </c>
      <c r="AZ1803">
        <v>4</v>
      </c>
      <c r="BC1803">
        <v>0</v>
      </c>
      <c r="BD1803">
        <v>15</v>
      </c>
      <c r="BE1803">
        <v>382</v>
      </c>
      <c r="BF1803">
        <v>382</v>
      </c>
      <c r="BG1803">
        <v>614</v>
      </c>
      <c r="BJ1803">
        <v>1</v>
      </c>
      <c r="BL1803" t="s">
        <v>3764</v>
      </c>
      <c r="BM1803" s="4">
        <v>43283.149305555555</v>
      </c>
      <c r="BN1803" s="4">
        <v>43283.157465277778</v>
      </c>
      <c r="BO1803" s="4">
        <v>43283.157465277778</v>
      </c>
      <c r="BP1803" t="s">
        <v>92</v>
      </c>
      <c r="BQ1803" t="s">
        <v>93</v>
      </c>
      <c r="BR1803" t="s">
        <v>94</v>
      </c>
    </row>
    <row r="1804" spans="1:70" x14ac:dyDescent="0.3">
      <c r="A1804" t="str">
        <f>"201069C0200"</f>
        <v>201069C0200</v>
      </c>
      <c r="B1804" t="s">
        <v>3765</v>
      </c>
      <c r="C1804">
        <v>20</v>
      </c>
      <c r="D1804" t="s">
        <v>88</v>
      </c>
      <c r="E1804">
        <v>182</v>
      </c>
      <c r="F1804" t="s">
        <v>3427</v>
      </c>
      <c r="G1804">
        <v>1069</v>
      </c>
      <c r="H1804">
        <v>2</v>
      </c>
      <c r="I1804" t="s">
        <v>98</v>
      </c>
      <c r="J1804">
        <v>0</v>
      </c>
      <c r="K1804">
        <v>1</v>
      </c>
      <c r="L1804">
        <v>5</v>
      </c>
      <c r="M1804">
        <v>253</v>
      </c>
      <c r="N1804">
        <v>641</v>
      </c>
      <c r="O1804">
        <v>8</v>
      </c>
      <c r="P1804">
        <v>365</v>
      </c>
      <c r="Q1804">
        <v>3</v>
      </c>
      <c r="R1804">
        <v>14</v>
      </c>
      <c r="S1804">
        <v>1</v>
      </c>
      <c r="T1804">
        <v>18</v>
      </c>
      <c r="U1804">
        <v>11</v>
      </c>
      <c r="V1804">
        <v>4</v>
      </c>
      <c r="W1804">
        <v>1</v>
      </c>
      <c r="X1804">
        <v>201</v>
      </c>
      <c r="Y1804">
        <v>99</v>
      </c>
      <c r="Z1804">
        <v>6</v>
      </c>
      <c r="AA1804">
        <v>2</v>
      </c>
      <c r="AB1804">
        <v>0</v>
      </c>
      <c r="AC1804" t="s">
        <v>105</v>
      </c>
      <c r="AD1804" t="s">
        <v>105</v>
      </c>
      <c r="AE1804" t="s">
        <v>105</v>
      </c>
      <c r="AF1804" t="s">
        <v>105</v>
      </c>
      <c r="AK1804" t="s">
        <v>105</v>
      </c>
      <c r="AL1804" t="s">
        <v>105</v>
      </c>
      <c r="AM1804" t="s">
        <v>105</v>
      </c>
      <c r="AN1804" t="s">
        <v>105</v>
      </c>
      <c r="AZ1804">
        <v>5</v>
      </c>
      <c r="BC1804" t="s">
        <v>105</v>
      </c>
      <c r="BD1804">
        <v>15</v>
      </c>
      <c r="BE1804" t="s">
        <v>105</v>
      </c>
      <c r="BF1804">
        <v>380</v>
      </c>
      <c r="BG1804">
        <v>614</v>
      </c>
      <c r="BI1804" t="s">
        <v>106</v>
      </c>
      <c r="BJ1804">
        <v>1</v>
      </c>
      <c r="BL1804" t="s">
        <v>3766</v>
      </c>
      <c r="BM1804" s="4">
        <v>43283.151388888888</v>
      </c>
      <c r="BN1804" s="4">
        <v>43283.164155092592</v>
      </c>
      <c r="BO1804" s="4">
        <v>43283.164155092592</v>
      </c>
      <c r="BP1804" t="s">
        <v>92</v>
      </c>
      <c r="BQ1804" t="s">
        <v>93</v>
      </c>
      <c r="BR1804" t="s">
        <v>94</v>
      </c>
    </row>
    <row r="1805" spans="1:70" x14ac:dyDescent="0.3">
      <c r="A1805" t="str">
        <f>"201069C0300"</f>
        <v>201069C0300</v>
      </c>
      <c r="B1805" t="s">
        <v>3767</v>
      </c>
      <c r="C1805">
        <v>20</v>
      </c>
      <c r="D1805" t="s">
        <v>88</v>
      </c>
      <c r="E1805">
        <v>182</v>
      </c>
      <c r="F1805" t="s">
        <v>3427</v>
      </c>
      <c r="G1805">
        <v>1069</v>
      </c>
      <c r="H1805">
        <v>3</v>
      </c>
      <c r="I1805" t="s">
        <v>98</v>
      </c>
      <c r="J1805">
        <v>0</v>
      </c>
      <c r="K1805">
        <v>1</v>
      </c>
      <c r="L1805">
        <v>5</v>
      </c>
      <c r="M1805">
        <v>241</v>
      </c>
      <c r="N1805">
        <v>399</v>
      </c>
      <c r="O1805">
        <v>8</v>
      </c>
      <c r="P1805">
        <v>395</v>
      </c>
      <c r="Q1805">
        <v>6</v>
      </c>
      <c r="R1805">
        <v>20</v>
      </c>
      <c r="S1805">
        <v>1</v>
      </c>
      <c r="T1805">
        <v>21</v>
      </c>
      <c r="U1805">
        <v>11</v>
      </c>
      <c r="V1805">
        <v>2</v>
      </c>
      <c r="W1805">
        <v>0</v>
      </c>
      <c r="X1805">
        <v>207</v>
      </c>
      <c r="Y1805">
        <v>100</v>
      </c>
      <c r="Z1805">
        <v>10</v>
      </c>
      <c r="AA1805">
        <v>0</v>
      </c>
      <c r="AB1805">
        <v>2</v>
      </c>
      <c r="AC1805">
        <v>0</v>
      </c>
      <c r="AD1805">
        <v>0</v>
      </c>
      <c r="AE1805">
        <v>0</v>
      </c>
      <c r="AF1805">
        <v>0</v>
      </c>
      <c r="AK1805">
        <v>4</v>
      </c>
      <c r="AL1805">
        <v>0</v>
      </c>
      <c r="AM1805">
        <v>0</v>
      </c>
      <c r="AN1805">
        <v>0</v>
      </c>
      <c r="AZ1805">
        <v>1</v>
      </c>
      <c r="BC1805">
        <v>0</v>
      </c>
      <c r="BD1805">
        <v>10</v>
      </c>
      <c r="BE1805">
        <v>395</v>
      </c>
      <c r="BF1805">
        <v>395</v>
      </c>
      <c r="BG1805">
        <v>614</v>
      </c>
      <c r="BJ1805">
        <v>1</v>
      </c>
      <c r="BL1805" t="s">
        <v>3768</v>
      </c>
      <c r="BM1805" s="4">
        <v>43283.154861111114</v>
      </c>
      <c r="BN1805" s="4">
        <v>43283.165844907409</v>
      </c>
      <c r="BO1805" s="4">
        <v>43283.165844907409</v>
      </c>
      <c r="BP1805" t="s">
        <v>92</v>
      </c>
      <c r="BQ1805" t="s">
        <v>93</v>
      </c>
      <c r="BR1805" t="s">
        <v>94</v>
      </c>
    </row>
    <row r="1806" spans="1:70" x14ac:dyDescent="0.3">
      <c r="A1806" t="str">
        <f>"201069C0400"</f>
        <v>201069C0400</v>
      </c>
      <c r="B1806" t="s">
        <v>3769</v>
      </c>
      <c r="C1806">
        <v>20</v>
      </c>
      <c r="D1806" t="s">
        <v>88</v>
      </c>
      <c r="E1806">
        <v>182</v>
      </c>
      <c r="F1806" t="s">
        <v>3427</v>
      </c>
      <c r="G1806">
        <v>1069</v>
      </c>
      <c r="H1806">
        <v>4</v>
      </c>
      <c r="I1806" t="s">
        <v>98</v>
      </c>
      <c r="J1806">
        <v>0</v>
      </c>
      <c r="K1806">
        <v>1</v>
      </c>
      <c r="L1806">
        <v>5</v>
      </c>
      <c r="M1806">
        <v>253</v>
      </c>
      <c r="N1806">
        <v>10</v>
      </c>
      <c r="O1806">
        <v>10</v>
      </c>
      <c r="P1806">
        <v>416</v>
      </c>
      <c r="Q1806">
        <v>2</v>
      </c>
      <c r="R1806">
        <v>15</v>
      </c>
      <c r="S1806">
        <v>1</v>
      </c>
      <c r="T1806">
        <v>13</v>
      </c>
      <c r="U1806">
        <v>8</v>
      </c>
      <c r="V1806">
        <v>6</v>
      </c>
      <c r="W1806">
        <v>0</v>
      </c>
      <c r="X1806">
        <v>235</v>
      </c>
      <c r="Y1806">
        <v>108</v>
      </c>
      <c r="Z1806">
        <v>6</v>
      </c>
      <c r="AA1806">
        <v>0</v>
      </c>
      <c r="AB1806">
        <v>0</v>
      </c>
      <c r="AC1806" t="s">
        <v>105</v>
      </c>
      <c r="AD1806" t="s">
        <v>105</v>
      </c>
      <c r="AE1806" t="s">
        <v>105</v>
      </c>
      <c r="AF1806" t="s">
        <v>105</v>
      </c>
      <c r="AK1806" t="s">
        <v>105</v>
      </c>
      <c r="AL1806" t="s">
        <v>105</v>
      </c>
      <c r="AM1806" t="s">
        <v>105</v>
      </c>
      <c r="AN1806" t="s">
        <v>105</v>
      </c>
      <c r="AZ1806" t="s">
        <v>105</v>
      </c>
      <c r="BC1806" t="s">
        <v>105</v>
      </c>
      <c r="BD1806">
        <v>11</v>
      </c>
      <c r="BE1806" t="s">
        <v>105</v>
      </c>
      <c r="BF1806">
        <v>405</v>
      </c>
      <c r="BG1806">
        <v>614</v>
      </c>
      <c r="BI1806" t="s">
        <v>106</v>
      </c>
      <c r="BJ1806">
        <v>1</v>
      </c>
      <c r="BL1806" t="s">
        <v>3770</v>
      </c>
      <c r="BM1806" s="4">
        <v>43283.349305555559</v>
      </c>
      <c r="BN1806" s="4">
        <v>43283.36509259259</v>
      </c>
      <c r="BO1806" s="4">
        <v>43283.36509259259</v>
      </c>
      <c r="BP1806" t="s">
        <v>92</v>
      </c>
      <c r="BQ1806" t="s">
        <v>93</v>
      </c>
      <c r="BR1806" t="s">
        <v>94</v>
      </c>
    </row>
    <row r="1807" spans="1:70" x14ac:dyDescent="0.3">
      <c r="A1807" t="str">
        <f>"201070B0100"</f>
        <v>201070B0100</v>
      </c>
      <c r="B1807" t="s">
        <v>3771</v>
      </c>
      <c r="C1807">
        <v>20</v>
      </c>
      <c r="D1807" t="s">
        <v>88</v>
      </c>
      <c r="E1807">
        <v>182</v>
      </c>
      <c r="F1807" t="s">
        <v>3427</v>
      </c>
      <c r="G1807">
        <v>1070</v>
      </c>
      <c r="H1807">
        <v>1</v>
      </c>
      <c r="I1807" t="s">
        <v>90</v>
      </c>
      <c r="J1807">
        <v>0</v>
      </c>
      <c r="K1807">
        <v>2</v>
      </c>
      <c r="L1807">
        <v>5</v>
      </c>
      <c r="M1807">
        <v>140</v>
      </c>
      <c r="N1807">
        <v>474</v>
      </c>
      <c r="O1807">
        <v>7</v>
      </c>
      <c r="P1807">
        <v>474</v>
      </c>
      <c r="Q1807">
        <v>13</v>
      </c>
      <c r="R1807">
        <v>15</v>
      </c>
      <c r="S1807">
        <v>2</v>
      </c>
      <c r="T1807">
        <v>113</v>
      </c>
      <c r="U1807">
        <v>11</v>
      </c>
      <c r="V1807">
        <v>2</v>
      </c>
      <c r="W1807">
        <v>1</v>
      </c>
      <c r="X1807">
        <v>236</v>
      </c>
      <c r="Y1807">
        <v>52</v>
      </c>
      <c r="Z1807">
        <v>4</v>
      </c>
      <c r="AA1807">
        <v>0</v>
      </c>
      <c r="AB1807">
        <v>1</v>
      </c>
      <c r="AC1807">
        <v>0</v>
      </c>
      <c r="AD1807">
        <v>0</v>
      </c>
      <c r="AE1807">
        <v>0</v>
      </c>
      <c r="AF1807">
        <v>0</v>
      </c>
      <c r="AK1807">
        <v>1</v>
      </c>
      <c r="AL1807">
        <v>0</v>
      </c>
      <c r="AM1807">
        <v>0</v>
      </c>
      <c r="AN1807">
        <v>0</v>
      </c>
      <c r="AZ1807">
        <v>0</v>
      </c>
      <c r="BC1807">
        <v>0</v>
      </c>
      <c r="BD1807">
        <v>23</v>
      </c>
      <c r="BE1807">
        <v>474</v>
      </c>
      <c r="BF1807">
        <v>474</v>
      </c>
      <c r="BG1807">
        <v>591</v>
      </c>
      <c r="BJ1807">
        <v>1</v>
      </c>
      <c r="BL1807" t="s">
        <v>3772</v>
      </c>
      <c r="BM1807" s="4">
        <v>43283.156944444447</v>
      </c>
      <c r="BN1807" s="4">
        <v>43283.18141203704</v>
      </c>
      <c r="BO1807" s="4">
        <v>43283.18141203704</v>
      </c>
      <c r="BP1807" t="s">
        <v>92</v>
      </c>
      <c r="BQ1807" t="s">
        <v>93</v>
      </c>
      <c r="BR1807" t="s">
        <v>94</v>
      </c>
    </row>
    <row r="1808" spans="1:70" x14ac:dyDescent="0.3">
      <c r="A1808" t="str">
        <f>"201070E0100"</f>
        <v>201070E0100</v>
      </c>
      <c r="B1808" s="2" t="s">
        <v>3773</v>
      </c>
      <c r="C1808">
        <v>20</v>
      </c>
      <c r="D1808" t="s">
        <v>88</v>
      </c>
      <c r="E1808">
        <v>182</v>
      </c>
      <c r="F1808" t="s">
        <v>3427</v>
      </c>
      <c r="G1808">
        <v>1070</v>
      </c>
      <c r="H1808">
        <v>1</v>
      </c>
      <c r="I1808" t="s">
        <v>156</v>
      </c>
      <c r="J1808">
        <v>0</v>
      </c>
      <c r="K1808">
        <v>2</v>
      </c>
      <c r="L1808">
        <v>5</v>
      </c>
      <c r="M1808">
        <v>243</v>
      </c>
      <c r="N1808">
        <v>554</v>
      </c>
      <c r="O1808">
        <v>0</v>
      </c>
      <c r="P1808">
        <v>0</v>
      </c>
      <c r="Q1808">
        <v>8</v>
      </c>
      <c r="R1808">
        <v>19</v>
      </c>
      <c r="S1808">
        <v>2</v>
      </c>
      <c r="T1808">
        <v>87</v>
      </c>
      <c r="U1808">
        <v>12</v>
      </c>
      <c r="V1808">
        <v>10</v>
      </c>
      <c r="W1808" t="s">
        <v>105</v>
      </c>
      <c r="X1808">
        <v>278</v>
      </c>
      <c r="Y1808">
        <v>105</v>
      </c>
      <c r="Z1808">
        <v>2</v>
      </c>
      <c r="AA1808" t="s">
        <v>105</v>
      </c>
      <c r="AB1808" t="s">
        <v>105</v>
      </c>
      <c r="AC1808" t="s">
        <v>105</v>
      </c>
      <c r="AD1808" t="s">
        <v>105</v>
      </c>
      <c r="AE1808" t="s">
        <v>105</v>
      </c>
      <c r="AF1808" t="s">
        <v>105</v>
      </c>
      <c r="AK1808" t="s">
        <v>105</v>
      </c>
      <c r="AL1808" t="s">
        <v>105</v>
      </c>
      <c r="AM1808" t="s">
        <v>105</v>
      </c>
      <c r="AN1808" t="s">
        <v>105</v>
      </c>
      <c r="AZ1808">
        <v>2</v>
      </c>
      <c r="BC1808" t="s">
        <v>105</v>
      </c>
      <c r="BD1808">
        <v>29</v>
      </c>
      <c r="BE1808">
        <v>554</v>
      </c>
      <c r="BF1808">
        <v>554</v>
      </c>
      <c r="BG1808">
        <v>745</v>
      </c>
      <c r="BI1808" t="s">
        <v>106</v>
      </c>
      <c r="BJ1808">
        <v>1</v>
      </c>
      <c r="BL1808" t="s">
        <v>3774</v>
      </c>
      <c r="BM1808" s="4">
        <v>43283.191666666666</v>
      </c>
      <c r="BN1808" s="4">
        <v>43283.208599537036</v>
      </c>
      <c r="BO1808" s="4">
        <v>43283.208599537036</v>
      </c>
      <c r="BP1808" t="s">
        <v>92</v>
      </c>
      <c r="BQ1808" t="s">
        <v>93</v>
      </c>
      <c r="BR1808" t="s">
        <v>94</v>
      </c>
    </row>
    <row r="1809" spans="1:70" x14ac:dyDescent="0.3">
      <c r="A1809" t="str">
        <f>"201071B0100"</f>
        <v>201071B0100</v>
      </c>
      <c r="B1809" t="s">
        <v>3775</v>
      </c>
      <c r="C1809">
        <v>20</v>
      </c>
      <c r="D1809" t="s">
        <v>88</v>
      </c>
      <c r="E1809">
        <v>182</v>
      </c>
      <c r="F1809" t="s">
        <v>3427</v>
      </c>
      <c r="G1809">
        <v>1071</v>
      </c>
      <c r="H1809">
        <v>1</v>
      </c>
      <c r="I1809" t="s">
        <v>90</v>
      </c>
      <c r="J1809">
        <v>0</v>
      </c>
      <c r="K1809">
        <v>2</v>
      </c>
      <c r="L1809">
        <v>5</v>
      </c>
      <c r="M1809">
        <v>148</v>
      </c>
      <c r="N1809" t="s">
        <v>105</v>
      </c>
      <c r="O1809">
        <v>1</v>
      </c>
      <c r="P1809" t="s">
        <v>105</v>
      </c>
      <c r="Q1809">
        <v>12</v>
      </c>
      <c r="R1809">
        <v>28</v>
      </c>
      <c r="S1809">
        <v>3</v>
      </c>
      <c r="T1809">
        <v>52</v>
      </c>
      <c r="U1809">
        <v>11</v>
      </c>
      <c r="V1809">
        <v>9</v>
      </c>
      <c r="W1809" t="s">
        <v>105</v>
      </c>
      <c r="X1809">
        <v>208</v>
      </c>
      <c r="Y1809">
        <v>68</v>
      </c>
      <c r="Z1809">
        <v>1</v>
      </c>
      <c r="AA1809">
        <v>1</v>
      </c>
      <c r="AB1809" t="s">
        <v>105</v>
      </c>
      <c r="AC1809" t="s">
        <v>105</v>
      </c>
      <c r="AD1809" t="s">
        <v>105</v>
      </c>
      <c r="AE1809" t="s">
        <v>105</v>
      </c>
      <c r="AF1809" t="s">
        <v>105</v>
      </c>
      <c r="AK1809">
        <v>3</v>
      </c>
      <c r="AL1809" t="s">
        <v>105</v>
      </c>
      <c r="AM1809" t="s">
        <v>105</v>
      </c>
      <c r="AN1809" t="s">
        <v>105</v>
      </c>
      <c r="AZ1809" t="s">
        <v>105</v>
      </c>
      <c r="BC1809" t="s">
        <v>105</v>
      </c>
      <c r="BD1809">
        <v>19</v>
      </c>
      <c r="BE1809" t="s">
        <v>105</v>
      </c>
      <c r="BF1809">
        <v>415</v>
      </c>
      <c r="BG1809">
        <v>541</v>
      </c>
      <c r="BI1809" t="s">
        <v>106</v>
      </c>
      <c r="BJ1809">
        <v>1</v>
      </c>
      <c r="BL1809" t="s">
        <v>3776</v>
      </c>
      <c r="BM1809" s="4">
        <v>43283.157638888886</v>
      </c>
      <c r="BN1809" s="4">
        <v>43283.402974537035</v>
      </c>
      <c r="BO1809" s="4">
        <v>43283.402974537035</v>
      </c>
      <c r="BP1809" t="s">
        <v>92</v>
      </c>
      <c r="BQ1809" t="s">
        <v>93</v>
      </c>
      <c r="BR1809" t="s">
        <v>94</v>
      </c>
    </row>
    <row r="1810" spans="1:70" x14ac:dyDescent="0.3">
      <c r="A1810" t="str">
        <f>"201072B0100"</f>
        <v>201072B0100</v>
      </c>
      <c r="B1810" t="s">
        <v>3777</v>
      </c>
      <c r="C1810">
        <v>20</v>
      </c>
      <c r="D1810" t="s">
        <v>88</v>
      </c>
      <c r="E1810">
        <v>182</v>
      </c>
      <c r="F1810" t="s">
        <v>3427</v>
      </c>
      <c r="G1810">
        <v>1072</v>
      </c>
      <c r="H1810">
        <v>1</v>
      </c>
      <c r="I1810" t="s">
        <v>90</v>
      </c>
      <c r="J1810">
        <v>0</v>
      </c>
      <c r="K1810">
        <v>2</v>
      </c>
      <c r="L1810">
        <v>5</v>
      </c>
      <c r="M1810">
        <v>190</v>
      </c>
      <c r="N1810">
        <v>387</v>
      </c>
      <c r="O1810">
        <v>3</v>
      </c>
      <c r="P1810">
        <v>384</v>
      </c>
      <c r="Q1810">
        <v>1</v>
      </c>
      <c r="R1810">
        <v>14</v>
      </c>
      <c r="S1810">
        <v>2</v>
      </c>
      <c r="T1810">
        <v>14</v>
      </c>
      <c r="U1810">
        <v>9</v>
      </c>
      <c r="V1810">
        <v>5</v>
      </c>
      <c r="W1810">
        <v>1</v>
      </c>
      <c r="X1810">
        <v>195</v>
      </c>
      <c r="Y1810">
        <v>119</v>
      </c>
      <c r="Z1810">
        <v>4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K1810">
        <v>3</v>
      </c>
      <c r="AL1810">
        <v>1</v>
      </c>
      <c r="AM1810">
        <v>1</v>
      </c>
      <c r="AN1810">
        <v>0</v>
      </c>
      <c r="AZ1810">
        <v>0</v>
      </c>
      <c r="BC1810">
        <v>1</v>
      </c>
      <c r="BD1810">
        <v>14</v>
      </c>
      <c r="BE1810">
        <v>384</v>
      </c>
      <c r="BF1810">
        <v>384</v>
      </c>
      <c r="BG1810">
        <v>551</v>
      </c>
      <c r="BJ1810">
        <v>1</v>
      </c>
      <c r="BL1810" t="s">
        <v>3778</v>
      </c>
      <c r="BM1810" s="4">
        <v>43283.319444444445</v>
      </c>
      <c r="BN1810" s="4">
        <v>43283.341921296298</v>
      </c>
      <c r="BO1810" s="4">
        <v>43283.341921296298</v>
      </c>
      <c r="BP1810" t="s">
        <v>92</v>
      </c>
      <c r="BQ1810" t="s">
        <v>93</v>
      </c>
      <c r="BR1810" t="s">
        <v>94</v>
      </c>
    </row>
    <row r="1811" spans="1:70" x14ac:dyDescent="0.3">
      <c r="A1811" t="str">
        <f>"201072C0100"</f>
        <v>201072C0100</v>
      </c>
      <c r="B1811" t="s">
        <v>3779</v>
      </c>
      <c r="C1811">
        <v>20</v>
      </c>
      <c r="D1811" t="s">
        <v>88</v>
      </c>
      <c r="E1811">
        <v>182</v>
      </c>
      <c r="F1811" t="s">
        <v>3427</v>
      </c>
      <c r="G1811">
        <v>1072</v>
      </c>
      <c r="H1811">
        <v>1</v>
      </c>
      <c r="I1811" t="s">
        <v>98</v>
      </c>
      <c r="J1811">
        <v>0</v>
      </c>
      <c r="K1811">
        <v>2</v>
      </c>
      <c r="L1811">
        <v>5</v>
      </c>
      <c r="M1811">
        <v>205</v>
      </c>
      <c r="N1811">
        <v>367</v>
      </c>
      <c r="O1811">
        <v>2</v>
      </c>
      <c r="P1811" t="s">
        <v>127</v>
      </c>
      <c r="Q1811">
        <v>3</v>
      </c>
      <c r="R1811">
        <v>15</v>
      </c>
      <c r="S1811">
        <v>2</v>
      </c>
      <c r="T1811">
        <v>13</v>
      </c>
      <c r="U1811">
        <v>10</v>
      </c>
      <c r="V1811">
        <v>7</v>
      </c>
      <c r="W1811">
        <v>2</v>
      </c>
      <c r="X1811">
        <v>156</v>
      </c>
      <c r="Y1811">
        <v>114</v>
      </c>
      <c r="Z1811">
        <v>7</v>
      </c>
      <c r="AA1811">
        <v>1</v>
      </c>
      <c r="AB1811">
        <v>1</v>
      </c>
      <c r="AC1811">
        <v>1</v>
      </c>
      <c r="AD1811" t="s">
        <v>105</v>
      </c>
      <c r="AE1811" t="s">
        <v>105</v>
      </c>
      <c r="AF1811" t="s">
        <v>105</v>
      </c>
      <c r="AK1811">
        <v>7</v>
      </c>
      <c r="AL1811">
        <v>2</v>
      </c>
      <c r="AM1811" t="s">
        <v>105</v>
      </c>
      <c r="AN1811">
        <v>1</v>
      </c>
      <c r="AZ1811">
        <v>8</v>
      </c>
      <c r="BC1811" t="s">
        <v>105</v>
      </c>
      <c r="BD1811">
        <v>17</v>
      </c>
      <c r="BE1811">
        <v>367</v>
      </c>
      <c r="BF1811">
        <v>367</v>
      </c>
      <c r="BG1811">
        <v>550</v>
      </c>
      <c r="BI1811" t="s">
        <v>106</v>
      </c>
      <c r="BJ1811">
        <v>1</v>
      </c>
      <c r="BL1811" t="s">
        <v>3780</v>
      </c>
      <c r="BM1811" s="4">
        <v>43283.318749999999</v>
      </c>
      <c r="BN1811" s="4">
        <v>43283.340312499997</v>
      </c>
      <c r="BO1811" s="4">
        <v>43283.340312499997</v>
      </c>
      <c r="BP1811" t="s">
        <v>92</v>
      </c>
      <c r="BQ1811" t="s">
        <v>93</v>
      </c>
      <c r="BR1811" t="s">
        <v>94</v>
      </c>
    </row>
    <row r="1812" spans="1:70" x14ac:dyDescent="0.3">
      <c r="A1812" t="str">
        <f>"201072C0200"</f>
        <v>201072C0200</v>
      </c>
      <c r="B1812" t="s">
        <v>3781</v>
      </c>
      <c r="C1812">
        <v>20</v>
      </c>
      <c r="D1812" t="s">
        <v>88</v>
      </c>
      <c r="E1812">
        <v>182</v>
      </c>
      <c r="F1812" t="s">
        <v>3427</v>
      </c>
      <c r="G1812">
        <v>1072</v>
      </c>
      <c r="H1812">
        <v>2</v>
      </c>
      <c r="I1812" t="s">
        <v>98</v>
      </c>
      <c r="J1812">
        <v>0</v>
      </c>
      <c r="K1812">
        <v>2</v>
      </c>
      <c r="L1812">
        <v>5</v>
      </c>
      <c r="M1812">
        <v>219</v>
      </c>
      <c r="N1812">
        <v>354</v>
      </c>
      <c r="O1812">
        <v>0</v>
      </c>
      <c r="P1812">
        <v>354</v>
      </c>
      <c r="Q1812">
        <v>3</v>
      </c>
      <c r="R1812">
        <v>22</v>
      </c>
      <c r="S1812">
        <v>5</v>
      </c>
      <c r="T1812">
        <v>6</v>
      </c>
      <c r="U1812">
        <v>7</v>
      </c>
      <c r="V1812">
        <v>2</v>
      </c>
      <c r="W1812">
        <v>0</v>
      </c>
      <c r="X1812">
        <v>161</v>
      </c>
      <c r="Y1812">
        <v>116</v>
      </c>
      <c r="Z1812">
        <v>9</v>
      </c>
      <c r="AA1812">
        <v>1</v>
      </c>
      <c r="AB1812">
        <v>0</v>
      </c>
      <c r="AC1812">
        <v>0</v>
      </c>
      <c r="AD1812">
        <v>0</v>
      </c>
      <c r="AE1812">
        <v>0</v>
      </c>
      <c r="AF1812">
        <v>0</v>
      </c>
      <c r="AK1812">
        <v>3</v>
      </c>
      <c r="AL1812">
        <v>4</v>
      </c>
      <c r="AM1812">
        <v>1</v>
      </c>
      <c r="AN1812">
        <v>3</v>
      </c>
      <c r="AZ1812">
        <v>0</v>
      </c>
      <c r="BC1812">
        <v>0</v>
      </c>
      <c r="BD1812">
        <v>11</v>
      </c>
      <c r="BE1812">
        <v>354</v>
      </c>
      <c r="BF1812">
        <v>354</v>
      </c>
      <c r="BG1812">
        <v>550</v>
      </c>
      <c r="BJ1812">
        <v>1</v>
      </c>
      <c r="BL1812" t="s">
        <v>3782</v>
      </c>
      <c r="BM1812" s="4">
        <v>43283.318055555559</v>
      </c>
      <c r="BN1812" s="4">
        <v>43283.340196759258</v>
      </c>
      <c r="BO1812" s="4">
        <v>43283.340196759258</v>
      </c>
      <c r="BP1812" t="s">
        <v>92</v>
      </c>
      <c r="BQ1812" t="s">
        <v>93</v>
      </c>
      <c r="BR1812" t="s">
        <v>94</v>
      </c>
    </row>
    <row r="1813" spans="1:70" x14ac:dyDescent="0.3">
      <c r="A1813" t="str">
        <f>"201073B0100"</f>
        <v>201073B0100</v>
      </c>
      <c r="B1813" t="s">
        <v>3783</v>
      </c>
      <c r="C1813">
        <v>20</v>
      </c>
      <c r="D1813" t="s">
        <v>88</v>
      </c>
      <c r="E1813">
        <v>182</v>
      </c>
      <c r="F1813" t="s">
        <v>3427</v>
      </c>
      <c r="G1813">
        <v>1073</v>
      </c>
      <c r="H1813">
        <v>1</v>
      </c>
      <c r="I1813" t="s">
        <v>90</v>
      </c>
      <c r="J1813">
        <v>0</v>
      </c>
      <c r="K1813">
        <v>2</v>
      </c>
      <c r="L1813">
        <v>5</v>
      </c>
      <c r="M1813">
        <v>190</v>
      </c>
      <c r="N1813">
        <v>510</v>
      </c>
      <c r="O1813">
        <v>0</v>
      </c>
      <c r="P1813">
        <v>510</v>
      </c>
      <c r="Q1813">
        <v>2</v>
      </c>
      <c r="R1813">
        <v>34</v>
      </c>
      <c r="S1813">
        <v>6</v>
      </c>
      <c r="T1813">
        <v>32</v>
      </c>
      <c r="U1813">
        <v>5</v>
      </c>
      <c r="V1813">
        <v>2</v>
      </c>
      <c r="W1813">
        <v>3</v>
      </c>
      <c r="X1813">
        <v>320</v>
      </c>
      <c r="Y1813">
        <v>71</v>
      </c>
      <c r="Z1813">
        <v>5</v>
      </c>
      <c r="AA1813">
        <v>2</v>
      </c>
      <c r="AB1813">
        <v>0</v>
      </c>
      <c r="AC1813">
        <v>0</v>
      </c>
      <c r="AD1813">
        <v>0</v>
      </c>
      <c r="AE1813">
        <v>0</v>
      </c>
      <c r="AF1813">
        <v>0</v>
      </c>
      <c r="AK1813">
        <v>0</v>
      </c>
      <c r="AL1813">
        <v>1</v>
      </c>
      <c r="AM1813">
        <v>0</v>
      </c>
      <c r="AN1813">
        <v>0</v>
      </c>
      <c r="AZ1813">
        <v>6</v>
      </c>
      <c r="BC1813">
        <v>0</v>
      </c>
      <c r="BD1813">
        <v>21</v>
      </c>
      <c r="BE1813">
        <v>510</v>
      </c>
      <c r="BF1813">
        <v>510</v>
      </c>
      <c r="BG1813">
        <v>677</v>
      </c>
      <c r="BJ1813">
        <v>1</v>
      </c>
      <c r="BL1813" s="2" t="s">
        <v>3784</v>
      </c>
      <c r="BM1813" s="4">
        <v>43283.318749999999</v>
      </c>
      <c r="BN1813" s="4">
        <v>43283.340648148151</v>
      </c>
      <c r="BO1813" s="4">
        <v>43283.340648148151</v>
      </c>
      <c r="BP1813" t="s">
        <v>92</v>
      </c>
      <c r="BQ1813" t="s">
        <v>93</v>
      </c>
      <c r="BR1813" t="s">
        <v>94</v>
      </c>
    </row>
    <row r="1814" spans="1:70" x14ac:dyDescent="0.3">
      <c r="A1814" t="str">
        <f>"201073E0100"</f>
        <v>201073E0100</v>
      </c>
      <c r="B1814" s="2" t="s">
        <v>3785</v>
      </c>
      <c r="C1814">
        <v>20</v>
      </c>
      <c r="D1814" t="s">
        <v>88</v>
      </c>
      <c r="E1814">
        <v>182</v>
      </c>
      <c r="F1814" t="s">
        <v>3427</v>
      </c>
      <c r="G1814">
        <v>1073</v>
      </c>
      <c r="H1814">
        <v>1</v>
      </c>
      <c r="I1814" t="s">
        <v>156</v>
      </c>
      <c r="J1814">
        <v>0</v>
      </c>
      <c r="K1814">
        <v>2</v>
      </c>
      <c r="L1814">
        <v>5</v>
      </c>
      <c r="M1814">
        <v>78</v>
      </c>
      <c r="N1814">
        <v>243</v>
      </c>
      <c r="O1814">
        <v>6</v>
      </c>
      <c r="P1814">
        <v>243</v>
      </c>
      <c r="Q1814">
        <v>2</v>
      </c>
      <c r="R1814">
        <v>7</v>
      </c>
      <c r="S1814">
        <v>0</v>
      </c>
      <c r="T1814">
        <v>30</v>
      </c>
      <c r="U1814">
        <v>9</v>
      </c>
      <c r="V1814">
        <v>1</v>
      </c>
      <c r="W1814">
        <v>0</v>
      </c>
      <c r="X1814">
        <v>102</v>
      </c>
      <c r="Y1814">
        <v>79</v>
      </c>
      <c r="Z1814">
        <v>2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K1814">
        <v>0</v>
      </c>
      <c r="AL1814">
        <v>1</v>
      </c>
      <c r="AM1814">
        <v>1</v>
      </c>
      <c r="AN1814">
        <v>0</v>
      </c>
      <c r="AZ1814">
        <v>0</v>
      </c>
      <c r="BC1814">
        <v>0</v>
      </c>
      <c r="BD1814">
        <v>9</v>
      </c>
      <c r="BE1814">
        <v>243</v>
      </c>
      <c r="BF1814">
        <v>243</v>
      </c>
      <c r="BG1814">
        <v>298</v>
      </c>
      <c r="BJ1814">
        <v>1</v>
      </c>
      <c r="BL1814" t="s">
        <v>3786</v>
      </c>
      <c r="BM1814" s="4">
        <v>43283.320138888892</v>
      </c>
      <c r="BN1814" s="4">
        <v>43283.340717592589</v>
      </c>
      <c r="BO1814" s="4">
        <v>43283.340717592589</v>
      </c>
      <c r="BP1814" t="s">
        <v>92</v>
      </c>
      <c r="BQ1814" t="s">
        <v>93</v>
      </c>
      <c r="BR1814" t="s">
        <v>94</v>
      </c>
    </row>
    <row r="1815" spans="1:70" x14ac:dyDescent="0.3">
      <c r="A1815" t="str">
        <f>"201074B0100"</f>
        <v>201074B0100</v>
      </c>
      <c r="B1815" t="s">
        <v>3787</v>
      </c>
      <c r="C1815">
        <v>20</v>
      </c>
      <c r="D1815" t="s">
        <v>88</v>
      </c>
      <c r="E1815">
        <v>182</v>
      </c>
      <c r="F1815" t="s">
        <v>3427</v>
      </c>
      <c r="G1815">
        <v>1074</v>
      </c>
      <c r="H1815">
        <v>1</v>
      </c>
      <c r="I1815" t="s">
        <v>90</v>
      </c>
      <c r="J1815">
        <v>0</v>
      </c>
      <c r="K1815">
        <v>2</v>
      </c>
      <c r="L1815">
        <v>5</v>
      </c>
      <c r="M1815">
        <v>177</v>
      </c>
      <c r="N1815" t="s">
        <v>105</v>
      </c>
      <c r="O1815" t="s">
        <v>105</v>
      </c>
      <c r="P1815">
        <v>352</v>
      </c>
      <c r="Q1815">
        <v>7</v>
      </c>
      <c r="R1815">
        <v>26</v>
      </c>
      <c r="S1815">
        <v>3</v>
      </c>
      <c r="T1815">
        <v>56</v>
      </c>
      <c r="U1815">
        <v>10</v>
      </c>
      <c r="V1815">
        <v>4</v>
      </c>
      <c r="W1815" t="s">
        <v>105</v>
      </c>
      <c r="X1815">
        <v>161</v>
      </c>
      <c r="Y1815">
        <v>63</v>
      </c>
      <c r="Z1815">
        <v>5</v>
      </c>
      <c r="AA1815" t="s">
        <v>105</v>
      </c>
      <c r="AB1815">
        <v>1</v>
      </c>
      <c r="AC1815">
        <v>1</v>
      </c>
      <c r="AD1815" t="s">
        <v>105</v>
      </c>
      <c r="AE1815">
        <v>1</v>
      </c>
      <c r="AF1815" t="s">
        <v>105</v>
      </c>
      <c r="AK1815">
        <v>2</v>
      </c>
      <c r="AL1815" t="s">
        <v>105</v>
      </c>
      <c r="AM1815" t="s">
        <v>105</v>
      </c>
      <c r="AN1815" t="s">
        <v>105</v>
      </c>
      <c r="AZ1815">
        <v>3</v>
      </c>
      <c r="BC1815" t="s">
        <v>105</v>
      </c>
      <c r="BD1815">
        <v>9</v>
      </c>
      <c r="BE1815">
        <v>352</v>
      </c>
      <c r="BF1815">
        <v>352</v>
      </c>
      <c r="BG1815">
        <v>506</v>
      </c>
      <c r="BI1815" t="s">
        <v>106</v>
      </c>
      <c r="BJ1815">
        <v>1</v>
      </c>
      <c r="BL1815" t="s">
        <v>3788</v>
      </c>
      <c r="BM1815" s="4">
        <v>43283.30972222222</v>
      </c>
      <c r="BN1815" s="4">
        <v>43283.338333333333</v>
      </c>
      <c r="BO1815" s="4">
        <v>43283.338333333333</v>
      </c>
      <c r="BP1815" t="s">
        <v>92</v>
      </c>
      <c r="BQ1815" t="s">
        <v>93</v>
      </c>
      <c r="BR1815" t="s">
        <v>94</v>
      </c>
    </row>
    <row r="1816" spans="1:70" x14ac:dyDescent="0.3">
      <c r="A1816" t="str">
        <f>"201074C0100"</f>
        <v>201074C0100</v>
      </c>
      <c r="B1816" t="s">
        <v>3789</v>
      </c>
      <c r="C1816">
        <v>20</v>
      </c>
      <c r="D1816" t="s">
        <v>88</v>
      </c>
      <c r="E1816">
        <v>182</v>
      </c>
      <c r="F1816" t="s">
        <v>3427</v>
      </c>
      <c r="G1816">
        <v>1074</v>
      </c>
      <c r="H1816">
        <v>1</v>
      </c>
      <c r="I1816" t="s">
        <v>98</v>
      </c>
      <c r="J1816">
        <v>0</v>
      </c>
      <c r="K1816">
        <v>2</v>
      </c>
      <c r="L1816">
        <v>5</v>
      </c>
      <c r="M1816">
        <v>175</v>
      </c>
      <c r="N1816">
        <v>353</v>
      </c>
      <c r="O1816">
        <v>2</v>
      </c>
      <c r="P1816">
        <v>353</v>
      </c>
      <c r="Q1816">
        <v>6</v>
      </c>
      <c r="R1816">
        <v>18</v>
      </c>
      <c r="S1816">
        <v>5</v>
      </c>
      <c r="T1816">
        <v>48</v>
      </c>
      <c r="U1816">
        <v>6</v>
      </c>
      <c r="V1816">
        <v>1</v>
      </c>
      <c r="W1816">
        <v>2</v>
      </c>
      <c r="X1816">
        <v>174</v>
      </c>
      <c r="Y1816">
        <v>59</v>
      </c>
      <c r="Z1816">
        <v>8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0</v>
      </c>
      <c r="AK1816">
        <v>5</v>
      </c>
      <c r="AL1816">
        <v>0</v>
      </c>
      <c r="AM1816">
        <v>1</v>
      </c>
      <c r="AN1816">
        <v>4</v>
      </c>
      <c r="AZ1816">
        <v>0</v>
      </c>
      <c r="BC1816">
        <v>0</v>
      </c>
      <c r="BD1816" t="s">
        <v>127</v>
      </c>
      <c r="BE1816">
        <v>353</v>
      </c>
      <c r="BF1816">
        <v>337</v>
      </c>
      <c r="BG1816">
        <v>505</v>
      </c>
      <c r="BI1816" t="s">
        <v>106</v>
      </c>
      <c r="BJ1816">
        <v>1</v>
      </c>
      <c r="BL1816" t="s">
        <v>3790</v>
      </c>
      <c r="BM1816" s="4">
        <v>43283.30972222222</v>
      </c>
      <c r="BN1816" s="4">
        <v>43283.353865740741</v>
      </c>
      <c r="BO1816" s="4">
        <v>43283.353865740741</v>
      </c>
      <c r="BP1816" t="s">
        <v>92</v>
      </c>
      <c r="BQ1816" t="s">
        <v>93</v>
      </c>
      <c r="BR1816" t="s">
        <v>94</v>
      </c>
    </row>
    <row r="1817" spans="1:70" x14ac:dyDescent="0.3">
      <c r="A1817" t="str">
        <f>"201075B0100"</f>
        <v>201075B0100</v>
      </c>
      <c r="B1817" t="s">
        <v>3791</v>
      </c>
      <c r="C1817">
        <v>20</v>
      </c>
      <c r="D1817" t="s">
        <v>88</v>
      </c>
      <c r="E1817">
        <v>182</v>
      </c>
      <c r="F1817" t="s">
        <v>3427</v>
      </c>
      <c r="G1817">
        <v>1075</v>
      </c>
      <c r="H1817">
        <v>1</v>
      </c>
      <c r="I1817" t="s">
        <v>90</v>
      </c>
      <c r="J1817">
        <v>0</v>
      </c>
      <c r="K1817">
        <v>2</v>
      </c>
      <c r="L1817">
        <v>5</v>
      </c>
      <c r="M1817">
        <v>156</v>
      </c>
      <c r="N1817">
        <v>417</v>
      </c>
      <c r="O1817">
        <v>1</v>
      </c>
      <c r="P1817">
        <v>417</v>
      </c>
      <c r="Q1817">
        <v>14</v>
      </c>
      <c r="R1817">
        <v>9</v>
      </c>
      <c r="S1817">
        <v>8</v>
      </c>
      <c r="T1817">
        <v>70</v>
      </c>
      <c r="U1817">
        <v>7</v>
      </c>
      <c r="V1817">
        <v>19</v>
      </c>
      <c r="W1817">
        <v>0</v>
      </c>
      <c r="X1817">
        <v>161</v>
      </c>
      <c r="Y1817">
        <v>100</v>
      </c>
      <c r="Z1817">
        <v>5</v>
      </c>
      <c r="AA1817">
        <v>0</v>
      </c>
      <c r="AB1817">
        <v>1</v>
      </c>
      <c r="AC1817">
        <v>1</v>
      </c>
      <c r="AD1817">
        <v>0</v>
      </c>
      <c r="AE1817">
        <v>0</v>
      </c>
      <c r="AF1817">
        <v>0</v>
      </c>
      <c r="AK1817">
        <v>1</v>
      </c>
      <c r="AL1817">
        <v>1</v>
      </c>
      <c r="AM1817">
        <v>0</v>
      </c>
      <c r="AN1817">
        <v>1</v>
      </c>
      <c r="AZ1817">
        <v>1</v>
      </c>
      <c r="BC1817">
        <v>0</v>
      </c>
      <c r="BD1817">
        <v>18</v>
      </c>
      <c r="BE1817">
        <v>417</v>
      </c>
      <c r="BF1817">
        <v>417</v>
      </c>
      <c r="BG1817">
        <v>550</v>
      </c>
      <c r="BJ1817">
        <v>1</v>
      </c>
      <c r="BL1817" t="s">
        <v>3792</v>
      </c>
      <c r="BM1817" s="4">
        <v>43283.247916666667</v>
      </c>
      <c r="BN1817" s="4">
        <v>43283.272581018522</v>
      </c>
      <c r="BO1817" s="4">
        <v>43283.272581018522</v>
      </c>
      <c r="BP1817" t="s">
        <v>92</v>
      </c>
      <c r="BQ1817" t="s">
        <v>93</v>
      </c>
      <c r="BR1817" t="s">
        <v>94</v>
      </c>
    </row>
    <row r="1818" spans="1:70" x14ac:dyDescent="0.3">
      <c r="A1818" t="str">
        <f>"201075C0100"</f>
        <v>201075C0100</v>
      </c>
      <c r="B1818" t="s">
        <v>3793</v>
      </c>
      <c r="C1818">
        <v>20</v>
      </c>
      <c r="D1818" t="s">
        <v>88</v>
      </c>
      <c r="E1818">
        <v>182</v>
      </c>
      <c r="F1818" t="s">
        <v>3427</v>
      </c>
      <c r="G1818">
        <v>1075</v>
      </c>
      <c r="H1818">
        <v>1</v>
      </c>
      <c r="I1818" t="s">
        <v>98</v>
      </c>
      <c r="J1818">
        <v>0</v>
      </c>
      <c r="K1818">
        <v>2</v>
      </c>
      <c r="L1818">
        <v>5</v>
      </c>
      <c r="M1818">
        <v>157</v>
      </c>
      <c r="N1818">
        <v>415</v>
      </c>
      <c r="O1818">
        <v>3</v>
      </c>
      <c r="P1818">
        <v>415</v>
      </c>
      <c r="Q1818">
        <v>15</v>
      </c>
      <c r="R1818">
        <v>16</v>
      </c>
      <c r="S1818">
        <v>2</v>
      </c>
      <c r="T1818">
        <v>73</v>
      </c>
      <c r="U1818">
        <v>7</v>
      </c>
      <c r="V1818">
        <v>18</v>
      </c>
      <c r="W1818">
        <v>0</v>
      </c>
      <c r="X1818">
        <v>151</v>
      </c>
      <c r="Y1818">
        <v>103</v>
      </c>
      <c r="Z1818">
        <v>2</v>
      </c>
      <c r="AA1818">
        <v>0</v>
      </c>
      <c r="AB1818" t="s">
        <v>105</v>
      </c>
      <c r="AC1818">
        <v>1</v>
      </c>
      <c r="AD1818">
        <v>2</v>
      </c>
      <c r="AE1818">
        <v>0</v>
      </c>
      <c r="AF1818">
        <v>0</v>
      </c>
      <c r="AK1818">
        <v>2</v>
      </c>
      <c r="AL1818">
        <v>1</v>
      </c>
      <c r="AM1818">
        <v>1</v>
      </c>
      <c r="AN1818">
        <v>0</v>
      </c>
      <c r="AZ1818" t="s">
        <v>105</v>
      </c>
      <c r="BC1818" t="s">
        <v>105</v>
      </c>
      <c r="BD1818" t="s">
        <v>105</v>
      </c>
      <c r="BE1818">
        <v>415</v>
      </c>
      <c r="BF1818">
        <v>394</v>
      </c>
      <c r="BG1818">
        <v>549</v>
      </c>
      <c r="BI1818" t="s">
        <v>106</v>
      </c>
      <c r="BJ1818">
        <v>1</v>
      </c>
      <c r="BL1818" t="s">
        <v>3794</v>
      </c>
      <c r="BM1818" s="4">
        <v>43283.24722222222</v>
      </c>
      <c r="BN1818" s="4">
        <v>43283.272280092591</v>
      </c>
      <c r="BO1818" s="4">
        <v>43283.272280092591</v>
      </c>
      <c r="BP1818" t="s">
        <v>92</v>
      </c>
      <c r="BQ1818" t="s">
        <v>93</v>
      </c>
      <c r="BR1818" t="s">
        <v>94</v>
      </c>
    </row>
    <row r="1819" spans="1:70" x14ac:dyDescent="0.3">
      <c r="A1819" t="str">
        <f>"201076B0100"</f>
        <v>201076B0100</v>
      </c>
      <c r="B1819" t="s">
        <v>3795</v>
      </c>
      <c r="C1819">
        <v>20</v>
      </c>
      <c r="D1819" t="s">
        <v>88</v>
      </c>
      <c r="E1819">
        <v>182</v>
      </c>
      <c r="F1819" t="s">
        <v>3427</v>
      </c>
      <c r="G1819">
        <v>1076</v>
      </c>
      <c r="H1819">
        <v>1</v>
      </c>
      <c r="I1819" t="s">
        <v>90</v>
      </c>
      <c r="J1819">
        <v>0</v>
      </c>
      <c r="K1819">
        <v>2</v>
      </c>
      <c r="L1819">
        <v>5</v>
      </c>
      <c r="M1819">
        <v>108</v>
      </c>
      <c r="N1819">
        <v>286</v>
      </c>
      <c r="O1819">
        <v>2</v>
      </c>
      <c r="P1819">
        <v>286</v>
      </c>
      <c r="Q1819">
        <v>0</v>
      </c>
      <c r="R1819">
        <v>2</v>
      </c>
      <c r="S1819">
        <v>0</v>
      </c>
      <c r="T1819">
        <v>18</v>
      </c>
      <c r="U1819">
        <v>8</v>
      </c>
      <c r="V1819">
        <v>1</v>
      </c>
      <c r="W1819">
        <v>0</v>
      </c>
      <c r="X1819">
        <v>142</v>
      </c>
      <c r="Y1819">
        <v>98</v>
      </c>
      <c r="Z1819">
        <v>0</v>
      </c>
      <c r="AA1819">
        <v>0</v>
      </c>
      <c r="AB1819">
        <v>1</v>
      </c>
      <c r="AC1819">
        <v>0</v>
      </c>
      <c r="AD1819">
        <v>0</v>
      </c>
      <c r="AE1819">
        <v>0</v>
      </c>
      <c r="AF1819">
        <v>0</v>
      </c>
      <c r="AK1819">
        <v>0</v>
      </c>
      <c r="AL1819">
        <v>0</v>
      </c>
      <c r="AM1819">
        <v>0</v>
      </c>
      <c r="AN1819">
        <v>0</v>
      </c>
      <c r="AZ1819">
        <v>0</v>
      </c>
      <c r="BC1819">
        <v>1</v>
      </c>
      <c r="BD1819">
        <v>15</v>
      </c>
      <c r="BE1819">
        <v>286</v>
      </c>
      <c r="BF1819">
        <v>286</v>
      </c>
      <c r="BG1819">
        <v>371</v>
      </c>
      <c r="BJ1819">
        <v>1</v>
      </c>
      <c r="BL1819" t="s">
        <v>3796</v>
      </c>
      <c r="BM1819" s="4">
        <v>43283.19027777778</v>
      </c>
      <c r="BN1819" s="4">
        <v>43283.207442129627</v>
      </c>
      <c r="BO1819" s="4">
        <v>43283.207442129627</v>
      </c>
      <c r="BP1819" t="s">
        <v>92</v>
      </c>
      <c r="BQ1819" t="s">
        <v>93</v>
      </c>
      <c r="BR1819" t="s">
        <v>94</v>
      </c>
    </row>
    <row r="1820" spans="1:70" x14ac:dyDescent="0.3">
      <c r="A1820" t="str">
        <f>"201076E0100"</f>
        <v>201076E0100</v>
      </c>
      <c r="B1820" s="2" t="s">
        <v>3797</v>
      </c>
      <c r="C1820">
        <v>20</v>
      </c>
      <c r="D1820" t="s">
        <v>88</v>
      </c>
      <c r="E1820">
        <v>182</v>
      </c>
      <c r="F1820" t="s">
        <v>3427</v>
      </c>
      <c r="G1820">
        <v>1076</v>
      </c>
      <c r="H1820">
        <v>1</v>
      </c>
      <c r="I1820" t="s">
        <v>156</v>
      </c>
      <c r="J1820">
        <v>0</v>
      </c>
      <c r="K1820">
        <v>2</v>
      </c>
      <c r="L1820">
        <v>5</v>
      </c>
      <c r="M1820">
        <v>202</v>
      </c>
      <c r="N1820">
        <v>449</v>
      </c>
      <c r="O1820">
        <v>5</v>
      </c>
      <c r="P1820" t="s">
        <v>127</v>
      </c>
      <c r="Q1820">
        <v>5</v>
      </c>
      <c r="R1820">
        <v>7</v>
      </c>
      <c r="S1820">
        <v>3</v>
      </c>
      <c r="T1820">
        <v>20</v>
      </c>
      <c r="U1820">
        <v>11</v>
      </c>
      <c r="V1820">
        <v>8</v>
      </c>
      <c r="W1820">
        <v>1</v>
      </c>
      <c r="X1820">
        <v>275</v>
      </c>
      <c r="Y1820">
        <v>82</v>
      </c>
      <c r="Z1820">
        <v>6</v>
      </c>
      <c r="AA1820">
        <v>0</v>
      </c>
      <c r="AB1820">
        <v>0</v>
      </c>
      <c r="AC1820">
        <v>2</v>
      </c>
      <c r="AD1820">
        <v>0</v>
      </c>
      <c r="AE1820">
        <v>0</v>
      </c>
      <c r="AF1820">
        <v>0</v>
      </c>
      <c r="AK1820">
        <v>5</v>
      </c>
      <c r="AL1820">
        <v>0</v>
      </c>
      <c r="AM1820">
        <v>0</v>
      </c>
      <c r="AN1820">
        <v>0</v>
      </c>
      <c r="AZ1820">
        <v>0</v>
      </c>
      <c r="BC1820">
        <v>0</v>
      </c>
      <c r="BD1820">
        <v>23</v>
      </c>
      <c r="BE1820">
        <v>448</v>
      </c>
      <c r="BF1820">
        <v>448</v>
      </c>
      <c r="BG1820">
        <v>628</v>
      </c>
      <c r="BJ1820">
        <v>1</v>
      </c>
      <c r="BL1820" t="s">
        <v>3798</v>
      </c>
      <c r="BM1820" s="4">
        <v>43283.190972222219</v>
      </c>
      <c r="BN1820" s="4">
        <v>43283.214780092596</v>
      </c>
      <c r="BO1820" s="4">
        <v>43283.214780092596</v>
      </c>
      <c r="BP1820" t="s">
        <v>92</v>
      </c>
      <c r="BQ1820" t="s">
        <v>93</v>
      </c>
      <c r="BR1820" t="s">
        <v>94</v>
      </c>
    </row>
    <row r="1821" spans="1:70" x14ac:dyDescent="0.3">
      <c r="A1821" t="str">
        <f>"201077B0100"</f>
        <v>201077B0100</v>
      </c>
      <c r="B1821" t="s">
        <v>3799</v>
      </c>
      <c r="C1821">
        <v>20</v>
      </c>
      <c r="D1821" t="s">
        <v>88</v>
      </c>
      <c r="E1821">
        <v>182</v>
      </c>
      <c r="F1821" t="s">
        <v>3427</v>
      </c>
      <c r="G1821">
        <v>1077</v>
      </c>
      <c r="H1821">
        <v>1</v>
      </c>
      <c r="I1821" t="s">
        <v>90</v>
      </c>
      <c r="J1821">
        <v>0</v>
      </c>
      <c r="K1821">
        <v>2</v>
      </c>
      <c r="L1821">
        <v>5</v>
      </c>
      <c r="M1821">
        <v>174</v>
      </c>
      <c r="N1821">
        <v>489</v>
      </c>
      <c r="O1821">
        <v>3</v>
      </c>
      <c r="P1821">
        <v>489</v>
      </c>
      <c r="Q1821">
        <v>16</v>
      </c>
      <c r="R1821">
        <v>14</v>
      </c>
      <c r="S1821">
        <v>4</v>
      </c>
      <c r="T1821">
        <v>49</v>
      </c>
      <c r="U1821">
        <v>22</v>
      </c>
      <c r="V1821">
        <v>11</v>
      </c>
      <c r="W1821">
        <v>3</v>
      </c>
      <c r="X1821">
        <v>156</v>
      </c>
      <c r="Y1821">
        <v>171</v>
      </c>
      <c r="Z1821">
        <v>9</v>
      </c>
      <c r="AA1821">
        <v>1</v>
      </c>
      <c r="AB1821">
        <v>2</v>
      </c>
      <c r="AC1821">
        <v>1</v>
      </c>
      <c r="AD1821">
        <v>0</v>
      </c>
      <c r="AE1821">
        <v>0</v>
      </c>
      <c r="AF1821">
        <v>0</v>
      </c>
      <c r="AK1821">
        <v>2</v>
      </c>
      <c r="AL1821">
        <v>3</v>
      </c>
      <c r="AM1821">
        <v>0</v>
      </c>
      <c r="AN1821">
        <v>3</v>
      </c>
      <c r="AZ1821">
        <v>2</v>
      </c>
      <c r="BC1821">
        <v>0</v>
      </c>
      <c r="BD1821">
        <v>20</v>
      </c>
      <c r="BE1821">
        <v>489</v>
      </c>
      <c r="BF1821">
        <v>489</v>
      </c>
      <c r="BG1821">
        <v>640</v>
      </c>
      <c r="BJ1821">
        <v>1</v>
      </c>
      <c r="BL1821" t="s">
        <v>3800</v>
      </c>
      <c r="BM1821" s="4">
        <v>43283.152280092596</v>
      </c>
      <c r="BN1821" s="4">
        <v>43283.161006944443</v>
      </c>
      <c r="BO1821" s="4">
        <v>43283.161006944443</v>
      </c>
      <c r="BP1821" t="s">
        <v>339</v>
      </c>
      <c r="BQ1821" t="s">
        <v>340</v>
      </c>
      <c r="BR1821" t="s">
        <v>94</v>
      </c>
    </row>
    <row r="1822" spans="1:70" x14ac:dyDescent="0.3">
      <c r="A1822" t="str">
        <f>"201078B0100"</f>
        <v>201078B0100</v>
      </c>
      <c r="B1822" t="s">
        <v>3801</v>
      </c>
      <c r="C1822">
        <v>20</v>
      </c>
      <c r="D1822" t="s">
        <v>88</v>
      </c>
      <c r="E1822">
        <v>182</v>
      </c>
      <c r="F1822" t="s">
        <v>3427</v>
      </c>
      <c r="G1822">
        <v>1078</v>
      </c>
      <c r="H1822">
        <v>1</v>
      </c>
      <c r="I1822" t="s">
        <v>90</v>
      </c>
      <c r="J1822">
        <v>0</v>
      </c>
      <c r="K1822">
        <v>2</v>
      </c>
      <c r="L1822">
        <v>5</v>
      </c>
      <c r="M1822">
        <v>166</v>
      </c>
      <c r="N1822">
        <v>548</v>
      </c>
      <c r="O1822">
        <v>2</v>
      </c>
      <c r="P1822">
        <v>545</v>
      </c>
      <c r="Q1822">
        <v>17</v>
      </c>
      <c r="R1822">
        <v>13</v>
      </c>
      <c r="S1822">
        <v>0</v>
      </c>
      <c r="T1822">
        <v>25</v>
      </c>
      <c r="U1822">
        <v>8</v>
      </c>
      <c r="V1822">
        <v>5</v>
      </c>
      <c r="W1822">
        <v>2</v>
      </c>
      <c r="X1822">
        <v>300</v>
      </c>
      <c r="Y1822">
        <v>129</v>
      </c>
      <c r="Z1822">
        <v>6</v>
      </c>
      <c r="AA1822">
        <v>1</v>
      </c>
      <c r="AB1822">
        <v>0</v>
      </c>
      <c r="AC1822">
        <v>1</v>
      </c>
      <c r="AD1822">
        <v>0</v>
      </c>
      <c r="AE1822">
        <v>1</v>
      </c>
      <c r="AF1822">
        <v>0</v>
      </c>
      <c r="AK1822">
        <v>10</v>
      </c>
      <c r="AL1822">
        <v>1</v>
      </c>
      <c r="AM1822">
        <v>0</v>
      </c>
      <c r="AN1822">
        <v>2</v>
      </c>
      <c r="AZ1822">
        <v>1</v>
      </c>
      <c r="BC1822">
        <v>0</v>
      </c>
      <c r="BD1822">
        <v>23</v>
      </c>
      <c r="BE1822">
        <v>545</v>
      </c>
      <c r="BF1822">
        <v>545</v>
      </c>
      <c r="BG1822">
        <v>688</v>
      </c>
      <c r="BJ1822">
        <v>1</v>
      </c>
      <c r="BL1822" s="2" t="s">
        <v>3802</v>
      </c>
      <c r="BM1822" s="4">
        <v>43283.242361111108</v>
      </c>
      <c r="BN1822" s="4">
        <v>43283.265833333331</v>
      </c>
      <c r="BO1822" s="4">
        <v>43283.265833333331</v>
      </c>
      <c r="BP1822" t="s">
        <v>92</v>
      </c>
      <c r="BQ1822" t="s">
        <v>93</v>
      </c>
      <c r="BR1822" t="s">
        <v>94</v>
      </c>
    </row>
    <row r="1823" spans="1:70" x14ac:dyDescent="0.3">
      <c r="A1823" t="str">
        <f>"201078E0100"</f>
        <v>201078E0100</v>
      </c>
      <c r="B1823" s="2" t="s">
        <v>3803</v>
      </c>
      <c r="C1823">
        <v>20</v>
      </c>
      <c r="D1823" t="s">
        <v>88</v>
      </c>
      <c r="E1823">
        <v>182</v>
      </c>
      <c r="F1823" t="s">
        <v>3427</v>
      </c>
      <c r="G1823">
        <v>1078</v>
      </c>
      <c r="H1823">
        <v>1</v>
      </c>
      <c r="I1823" t="s">
        <v>156</v>
      </c>
      <c r="J1823">
        <v>0</v>
      </c>
      <c r="K1823">
        <v>2</v>
      </c>
      <c r="L1823">
        <v>5</v>
      </c>
      <c r="M1823">
        <v>183</v>
      </c>
      <c r="N1823">
        <v>481</v>
      </c>
      <c r="O1823">
        <v>1</v>
      </c>
      <c r="P1823">
        <v>481</v>
      </c>
      <c r="Q1823">
        <v>6</v>
      </c>
      <c r="R1823">
        <v>8</v>
      </c>
      <c r="S1823">
        <v>1</v>
      </c>
      <c r="T1823">
        <v>49</v>
      </c>
      <c r="U1823">
        <v>8</v>
      </c>
      <c r="V1823">
        <v>3</v>
      </c>
      <c r="W1823">
        <v>0</v>
      </c>
      <c r="X1823">
        <v>232</v>
      </c>
      <c r="Y1823">
        <v>106</v>
      </c>
      <c r="Z1823">
        <v>15</v>
      </c>
      <c r="AA1823">
        <v>1</v>
      </c>
      <c r="AB1823">
        <v>0</v>
      </c>
      <c r="AC1823">
        <v>0</v>
      </c>
      <c r="AD1823">
        <v>1</v>
      </c>
      <c r="AE1823">
        <v>1</v>
      </c>
      <c r="AF1823">
        <v>0</v>
      </c>
      <c r="AK1823">
        <v>0</v>
      </c>
      <c r="AL1823">
        <v>4</v>
      </c>
      <c r="AM1823">
        <v>0</v>
      </c>
      <c r="AN1823">
        <v>2</v>
      </c>
      <c r="AZ1823">
        <v>1</v>
      </c>
      <c r="BC1823">
        <v>0</v>
      </c>
      <c r="BD1823">
        <v>43</v>
      </c>
      <c r="BE1823">
        <v>481</v>
      </c>
      <c r="BF1823">
        <v>481</v>
      </c>
      <c r="BG1823">
        <v>641</v>
      </c>
      <c r="BJ1823">
        <v>1</v>
      </c>
      <c r="BL1823" t="s">
        <v>3804</v>
      </c>
      <c r="BM1823" s="4">
        <v>43283.243055555555</v>
      </c>
      <c r="BN1823" s="4">
        <v>43283.274641203701</v>
      </c>
      <c r="BO1823" s="4">
        <v>43283.274641203701</v>
      </c>
      <c r="BP1823" t="s">
        <v>92</v>
      </c>
      <c r="BQ1823" t="s">
        <v>93</v>
      </c>
      <c r="BR1823" t="s">
        <v>94</v>
      </c>
    </row>
    <row r="1824" spans="1:70" x14ac:dyDescent="0.3">
      <c r="A1824" t="str">
        <f>"201079B0100"</f>
        <v>201079B0100</v>
      </c>
      <c r="B1824" t="s">
        <v>3805</v>
      </c>
      <c r="C1824">
        <v>20</v>
      </c>
      <c r="D1824" t="s">
        <v>88</v>
      </c>
      <c r="E1824">
        <v>182</v>
      </c>
      <c r="F1824" t="s">
        <v>3427</v>
      </c>
      <c r="G1824">
        <v>1079</v>
      </c>
      <c r="H1824">
        <v>1</v>
      </c>
      <c r="I1824" t="s">
        <v>90</v>
      </c>
      <c r="J1824">
        <v>0</v>
      </c>
      <c r="K1824">
        <v>2</v>
      </c>
      <c r="L1824">
        <v>5</v>
      </c>
      <c r="M1824">
        <v>245</v>
      </c>
      <c r="N1824">
        <v>330</v>
      </c>
      <c r="O1824">
        <v>2</v>
      </c>
      <c r="P1824">
        <v>330</v>
      </c>
      <c r="Q1824">
        <v>6</v>
      </c>
      <c r="R1824">
        <v>15</v>
      </c>
      <c r="S1824">
        <v>1</v>
      </c>
      <c r="T1824">
        <v>33</v>
      </c>
      <c r="U1824">
        <v>8</v>
      </c>
      <c r="V1824">
        <v>2</v>
      </c>
      <c r="W1824">
        <v>1</v>
      </c>
      <c r="X1824">
        <v>99</v>
      </c>
      <c r="Y1824">
        <v>105</v>
      </c>
      <c r="Z1824">
        <v>19</v>
      </c>
      <c r="AA1824">
        <v>0</v>
      </c>
      <c r="AB1824">
        <v>1</v>
      </c>
      <c r="AC1824">
        <v>0</v>
      </c>
      <c r="AD1824">
        <v>0</v>
      </c>
      <c r="AE1824">
        <v>0</v>
      </c>
      <c r="AF1824">
        <v>0</v>
      </c>
      <c r="AK1824">
        <v>6</v>
      </c>
      <c r="AL1824">
        <v>6</v>
      </c>
      <c r="AM1824">
        <v>2</v>
      </c>
      <c r="AN1824">
        <v>1</v>
      </c>
      <c r="AZ1824">
        <v>0</v>
      </c>
      <c r="BC1824">
        <v>0</v>
      </c>
      <c r="BD1824">
        <v>25</v>
      </c>
      <c r="BE1824">
        <v>330</v>
      </c>
      <c r="BF1824">
        <v>330</v>
      </c>
      <c r="BG1824">
        <v>552</v>
      </c>
      <c r="BJ1824">
        <v>1</v>
      </c>
      <c r="BL1824" t="s">
        <v>3806</v>
      </c>
      <c r="BM1824" s="4">
        <v>43283.152326388888</v>
      </c>
      <c r="BN1824" s="4">
        <v>43283.160949074074</v>
      </c>
      <c r="BO1824" s="4">
        <v>43283.160949074074</v>
      </c>
      <c r="BP1824" t="s">
        <v>339</v>
      </c>
      <c r="BQ1824" t="s">
        <v>340</v>
      </c>
      <c r="BR1824" t="s">
        <v>94</v>
      </c>
    </row>
    <row r="1825" spans="1:70" x14ac:dyDescent="0.3">
      <c r="A1825" t="str">
        <f>"201079C0100"</f>
        <v>201079C0100</v>
      </c>
      <c r="B1825" t="s">
        <v>3807</v>
      </c>
      <c r="C1825">
        <v>20</v>
      </c>
      <c r="D1825" t="s">
        <v>88</v>
      </c>
      <c r="E1825">
        <v>182</v>
      </c>
      <c r="F1825" t="s">
        <v>3427</v>
      </c>
      <c r="G1825">
        <v>1079</v>
      </c>
      <c r="H1825">
        <v>1</v>
      </c>
      <c r="I1825" t="s">
        <v>98</v>
      </c>
      <c r="J1825">
        <v>0</v>
      </c>
      <c r="K1825">
        <v>2</v>
      </c>
      <c r="L1825">
        <v>5</v>
      </c>
      <c r="M1825">
        <v>199</v>
      </c>
      <c r="N1825">
        <v>376</v>
      </c>
      <c r="O1825">
        <v>0</v>
      </c>
      <c r="P1825">
        <v>375</v>
      </c>
      <c r="Q1825">
        <v>4</v>
      </c>
      <c r="R1825">
        <v>18</v>
      </c>
      <c r="S1825">
        <v>5</v>
      </c>
      <c r="T1825">
        <v>28</v>
      </c>
      <c r="U1825">
        <v>14</v>
      </c>
      <c r="V1825">
        <v>8</v>
      </c>
      <c r="W1825">
        <v>1</v>
      </c>
      <c r="X1825">
        <v>125</v>
      </c>
      <c r="Y1825">
        <v>116</v>
      </c>
      <c r="Z1825">
        <v>27</v>
      </c>
      <c r="AA1825">
        <v>0</v>
      </c>
      <c r="AB1825">
        <v>1</v>
      </c>
      <c r="AC1825">
        <v>0</v>
      </c>
      <c r="AD1825">
        <v>0</v>
      </c>
      <c r="AE1825">
        <v>0</v>
      </c>
      <c r="AF1825">
        <v>0</v>
      </c>
      <c r="AK1825">
        <v>6</v>
      </c>
      <c r="AL1825">
        <v>1</v>
      </c>
      <c r="AM1825">
        <v>0</v>
      </c>
      <c r="AN1825">
        <v>3</v>
      </c>
      <c r="AZ1825">
        <v>0</v>
      </c>
      <c r="BC1825">
        <v>0</v>
      </c>
      <c r="BD1825">
        <v>18</v>
      </c>
      <c r="BE1825">
        <v>375</v>
      </c>
      <c r="BF1825">
        <v>375</v>
      </c>
      <c r="BG1825">
        <v>552</v>
      </c>
      <c r="BJ1825">
        <v>1</v>
      </c>
      <c r="BL1825" t="s">
        <v>3808</v>
      </c>
      <c r="BM1825" s="4">
        <v>43283.152349537035</v>
      </c>
      <c r="BN1825" s="4">
        <v>43283.160844907405</v>
      </c>
      <c r="BO1825" s="4">
        <v>43283.160844907405</v>
      </c>
      <c r="BP1825" t="s">
        <v>339</v>
      </c>
      <c r="BQ1825" t="s">
        <v>340</v>
      </c>
      <c r="BR1825" t="s">
        <v>94</v>
      </c>
    </row>
    <row r="1826" spans="1:70" x14ac:dyDescent="0.3">
      <c r="A1826" t="str">
        <f>"201079C0200"</f>
        <v>201079C0200</v>
      </c>
      <c r="B1826" t="s">
        <v>3809</v>
      </c>
      <c r="C1826">
        <v>20</v>
      </c>
      <c r="D1826" t="s">
        <v>88</v>
      </c>
      <c r="E1826">
        <v>182</v>
      </c>
      <c r="F1826" t="s">
        <v>3427</v>
      </c>
      <c r="G1826">
        <v>1079</v>
      </c>
      <c r="H1826">
        <v>2</v>
      </c>
      <c r="I1826" t="s">
        <v>98</v>
      </c>
      <c r="J1826">
        <v>0</v>
      </c>
      <c r="K1826">
        <v>2</v>
      </c>
      <c r="L1826">
        <v>5</v>
      </c>
      <c r="M1826">
        <v>218</v>
      </c>
      <c r="N1826">
        <v>357</v>
      </c>
      <c r="O1826">
        <v>3</v>
      </c>
      <c r="P1826">
        <v>357</v>
      </c>
      <c r="Q1826">
        <v>4</v>
      </c>
      <c r="R1826">
        <v>12</v>
      </c>
      <c r="S1826">
        <v>0</v>
      </c>
      <c r="T1826">
        <v>24</v>
      </c>
      <c r="U1826">
        <v>12</v>
      </c>
      <c r="V1826">
        <v>7</v>
      </c>
      <c r="W1826">
        <v>0</v>
      </c>
      <c r="X1826">
        <v>106</v>
      </c>
      <c r="Y1826">
        <v>112</v>
      </c>
      <c r="Z1826">
        <v>35</v>
      </c>
      <c r="AA1826">
        <v>0</v>
      </c>
      <c r="AB1826">
        <v>3</v>
      </c>
      <c r="AC1826">
        <v>0</v>
      </c>
      <c r="AD1826">
        <v>0</v>
      </c>
      <c r="AE1826">
        <v>0</v>
      </c>
      <c r="AF1826">
        <v>0</v>
      </c>
      <c r="AK1826">
        <v>6</v>
      </c>
      <c r="AL1826">
        <v>2</v>
      </c>
      <c r="AM1826">
        <v>1</v>
      </c>
      <c r="AN1826">
        <v>4</v>
      </c>
      <c r="AZ1826">
        <v>1</v>
      </c>
      <c r="BC1826">
        <v>0</v>
      </c>
      <c r="BD1826">
        <v>27</v>
      </c>
      <c r="BE1826">
        <v>357</v>
      </c>
      <c r="BF1826">
        <v>356</v>
      </c>
      <c r="BG1826">
        <v>552</v>
      </c>
      <c r="BJ1826">
        <v>1</v>
      </c>
      <c r="BL1826" t="s">
        <v>3810</v>
      </c>
      <c r="BM1826" s="4">
        <v>43283.152314814812</v>
      </c>
      <c r="BN1826" s="4">
        <v>43283.161296296297</v>
      </c>
      <c r="BO1826" s="4">
        <v>43283.161296296297</v>
      </c>
      <c r="BP1826" t="s">
        <v>339</v>
      </c>
      <c r="BQ1826" t="s">
        <v>340</v>
      </c>
      <c r="BR1826" t="s">
        <v>94</v>
      </c>
    </row>
    <row r="1827" spans="1:70" x14ac:dyDescent="0.3">
      <c r="A1827" t="str">
        <f>"201080B0100"</f>
        <v>201080B0100</v>
      </c>
      <c r="B1827" t="s">
        <v>3811</v>
      </c>
      <c r="C1827">
        <v>20</v>
      </c>
      <c r="D1827" t="s">
        <v>88</v>
      </c>
      <c r="E1827">
        <v>182</v>
      </c>
      <c r="F1827" t="s">
        <v>3427</v>
      </c>
      <c r="G1827">
        <v>1080</v>
      </c>
      <c r="H1827">
        <v>1</v>
      </c>
      <c r="I1827" t="s">
        <v>90</v>
      </c>
      <c r="J1827">
        <v>0</v>
      </c>
      <c r="K1827">
        <v>2</v>
      </c>
      <c r="L1827">
        <v>5</v>
      </c>
      <c r="M1827">
        <v>199</v>
      </c>
      <c r="N1827">
        <v>330</v>
      </c>
      <c r="O1827">
        <v>0</v>
      </c>
      <c r="P1827">
        <v>330</v>
      </c>
      <c r="Q1827">
        <v>5</v>
      </c>
      <c r="R1827">
        <v>5</v>
      </c>
      <c r="S1827">
        <v>1</v>
      </c>
      <c r="T1827">
        <v>29</v>
      </c>
      <c r="U1827">
        <v>10</v>
      </c>
      <c r="V1827">
        <v>3</v>
      </c>
      <c r="W1827">
        <v>3</v>
      </c>
      <c r="X1827">
        <v>143</v>
      </c>
      <c r="Y1827">
        <v>99</v>
      </c>
      <c r="Z1827">
        <v>3</v>
      </c>
      <c r="AA1827">
        <v>2</v>
      </c>
      <c r="AB1827">
        <v>2</v>
      </c>
      <c r="AC1827">
        <v>0</v>
      </c>
      <c r="AD1827">
        <v>0</v>
      </c>
      <c r="AE1827">
        <v>0</v>
      </c>
      <c r="AF1827">
        <v>0</v>
      </c>
      <c r="AK1827">
        <v>3</v>
      </c>
      <c r="AL1827">
        <v>3</v>
      </c>
      <c r="AM1827">
        <v>1</v>
      </c>
      <c r="AN1827">
        <v>1</v>
      </c>
      <c r="AZ1827">
        <v>0</v>
      </c>
      <c r="BC1827">
        <v>0</v>
      </c>
      <c r="BD1827">
        <v>17</v>
      </c>
      <c r="BE1827">
        <v>330</v>
      </c>
      <c r="BF1827">
        <v>330</v>
      </c>
      <c r="BG1827">
        <v>506</v>
      </c>
      <c r="BJ1827">
        <v>1</v>
      </c>
      <c r="BL1827" t="s">
        <v>3812</v>
      </c>
      <c r="BM1827" s="4">
        <v>43283.253472222219</v>
      </c>
      <c r="BN1827" s="4">
        <v>43283.282800925925</v>
      </c>
      <c r="BO1827" s="4">
        <v>43283.282800925925</v>
      </c>
      <c r="BP1827" t="s">
        <v>92</v>
      </c>
      <c r="BQ1827" t="s">
        <v>93</v>
      </c>
      <c r="BR1827" t="s">
        <v>94</v>
      </c>
    </row>
    <row r="1828" spans="1:70" x14ac:dyDescent="0.3">
      <c r="A1828" t="str">
        <f>"201080C0100"</f>
        <v>201080C0100</v>
      </c>
      <c r="B1828" t="s">
        <v>3813</v>
      </c>
      <c r="C1828">
        <v>20</v>
      </c>
      <c r="D1828" t="s">
        <v>88</v>
      </c>
      <c r="E1828">
        <v>182</v>
      </c>
      <c r="F1828" t="s">
        <v>3427</v>
      </c>
      <c r="G1828">
        <v>1080</v>
      </c>
      <c r="H1828">
        <v>1</v>
      </c>
      <c r="I1828" t="s">
        <v>98</v>
      </c>
      <c r="J1828">
        <v>0</v>
      </c>
      <c r="K1828">
        <v>2</v>
      </c>
      <c r="L1828">
        <v>5</v>
      </c>
      <c r="M1828">
        <v>153</v>
      </c>
      <c r="N1828">
        <v>376</v>
      </c>
      <c r="O1828">
        <v>0</v>
      </c>
      <c r="P1828">
        <v>376</v>
      </c>
      <c r="Q1828">
        <v>7</v>
      </c>
      <c r="R1828">
        <v>7</v>
      </c>
      <c r="S1828">
        <v>2</v>
      </c>
      <c r="T1828">
        <v>37</v>
      </c>
      <c r="U1828">
        <v>15</v>
      </c>
      <c r="V1828">
        <v>3</v>
      </c>
      <c r="W1828">
        <v>0</v>
      </c>
      <c r="X1828">
        <v>166</v>
      </c>
      <c r="Y1828">
        <v>113</v>
      </c>
      <c r="Z1828">
        <v>4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0</v>
      </c>
      <c r="AK1828">
        <v>3</v>
      </c>
      <c r="AL1828">
        <v>0</v>
      </c>
      <c r="AM1828">
        <v>1</v>
      </c>
      <c r="AN1828">
        <v>3</v>
      </c>
      <c r="AZ1828">
        <v>0</v>
      </c>
      <c r="BC1828">
        <v>0</v>
      </c>
      <c r="BD1828">
        <v>15</v>
      </c>
      <c r="BE1828">
        <v>376</v>
      </c>
      <c r="BF1828">
        <v>376</v>
      </c>
      <c r="BG1828">
        <v>506</v>
      </c>
      <c r="BJ1828">
        <v>1</v>
      </c>
      <c r="BL1828" t="s">
        <v>3814</v>
      </c>
      <c r="BM1828" s="4">
        <v>43283.255555555559</v>
      </c>
      <c r="BN1828" s="4">
        <v>43283.281145833331</v>
      </c>
      <c r="BO1828" s="4">
        <v>43283.281145833331</v>
      </c>
      <c r="BP1828" t="s">
        <v>92</v>
      </c>
      <c r="BQ1828" t="s">
        <v>93</v>
      </c>
      <c r="BR1828" t="s">
        <v>94</v>
      </c>
    </row>
    <row r="1829" spans="1:70" x14ac:dyDescent="0.3">
      <c r="A1829" t="str">
        <f>"201081B0100"</f>
        <v>201081B0100</v>
      </c>
      <c r="B1829" t="s">
        <v>3815</v>
      </c>
      <c r="C1829">
        <v>20</v>
      </c>
      <c r="D1829" t="s">
        <v>88</v>
      </c>
      <c r="E1829">
        <v>182</v>
      </c>
      <c r="F1829" t="s">
        <v>3427</v>
      </c>
      <c r="G1829">
        <v>1081</v>
      </c>
      <c r="H1829">
        <v>1</v>
      </c>
      <c r="I1829" t="s">
        <v>90</v>
      </c>
      <c r="J1829">
        <v>0</v>
      </c>
      <c r="K1829">
        <v>2</v>
      </c>
      <c r="L1829">
        <v>5</v>
      </c>
      <c r="M1829">
        <v>146</v>
      </c>
      <c r="N1829">
        <v>287</v>
      </c>
      <c r="O1829">
        <v>0</v>
      </c>
      <c r="P1829">
        <v>287</v>
      </c>
      <c r="Q1829">
        <v>2</v>
      </c>
      <c r="R1829">
        <v>16</v>
      </c>
      <c r="S1829">
        <v>2</v>
      </c>
      <c r="T1829">
        <v>14</v>
      </c>
      <c r="U1829">
        <v>8</v>
      </c>
      <c r="V1829">
        <v>3</v>
      </c>
      <c r="W1829">
        <v>0</v>
      </c>
      <c r="X1829">
        <v>162</v>
      </c>
      <c r="Y1829">
        <v>40</v>
      </c>
      <c r="Z1829">
        <v>14</v>
      </c>
      <c r="AA1829">
        <v>1</v>
      </c>
      <c r="AB1829">
        <v>1</v>
      </c>
      <c r="AC1829">
        <v>0</v>
      </c>
      <c r="AD1829">
        <v>0</v>
      </c>
      <c r="AE1829">
        <v>0</v>
      </c>
      <c r="AF1829">
        <v>0</v>
      </c>
      <c r="AK1829">
        <v>5</v>
      </c>
      <c r="AL1829">
        <v>0</v>
      </c>
      <c r="AM1829">
        <v>1</v>
      </c>
      <c r="AN1829">
        <v>1</v>
      </c>
      <c r="AZ1829">
        <v>2</v>
      </c>
      <c r="BC1829">
        <v>0</v>
      </c>
      <c r="BD1829">
        <v>15</v>
      </c>
      <c r="BE1829">
        <v>287</v>
      </c>
      <c r="BF1829">
        <v>287</v>
      </c>
      <c r="BG1829">
        <v>410</v>
      </c>
      <c r="BJ1829">
        <v>1</v>
      </c>
      <c r="BL1829" t="s">
        <v>3816</v>
      </c>
      <c r="BM1829" s="4">
        <v>43283.229166666664</v>
      </c>
      <c r="BN1829" s="4">
        <v>43283.251400462963</v>
      </c>
      <c r="BO1829" s="4">
        <v>43283.251400462963</v>
      </c>
      <c r="BP1829" t="s">
        <v>92</v>
      </c>
      <c r="BQ1829" t="s">
        <v>93</v>
      </c>
      <c r="BR1829" t="s">
        <v>94</v>
      </c>
    </row>
    <row r="1830" spans="1:70" x14ac:dyDescent="0.3">
      <c r="A1830" t="str">
        <f>"201081C0100"</f>
        <v>201081C0100</v>
      </c>
      <c r="B1830" t="s">
        <v>3817</v>
      </c>
      <c r="C1830">
        <v>20</v>
      </c>
      <c r="D1830" t="s">
        <v>88</v>
      </c>
      <c r="E1830">
        <v>182</v>
      </c>
      <c r="F1830" t="s">
        <v>3427</v>
      </c>
      <c r="G1830">
        <v>1081</v>
      </c>
      <c r="H1830">
        <v>1</v>
      </c>
      <c r="I1830" t="s">
        <v>98</v>
      </c>
      <c r="J1830">
        <v>0</v>
      </c>
      <c r="K1830">
        <v>2</v>
      </c>
      <c r="L1830">
        <v>5</v>
      </c>
      <c r="M1830">
        <v>153</v>
      </c>
      <c r="N1830">
        <v>279</v>
      </c>
      <c r="O1830">
        <v>1</v>
      </c>
      <c r="P1830">
        <v>279</v>
      </c>
      <c r="Q1830">
        <v>1</v>
      </c>
      <c r="R1830">
        <v>4</v>
      </c>
      <c r="S1830">
        <v>1</v>
      </c>
      <c r="T1830">
        <v>4</v>
      </c>
      <c r="U1830">
        <v>5</v>
      </c>
      <c r="V1830">
        <v>3</v>
      </c>
      <c r="W1830">
        <v>0</v>
      </c>
      <c r="X1830">
        <v>179</v>
      </c>
      <c r="Y1830">
        <v>53</v>
      </c>
      <c r="Z1830">
        <v>13</v>
      </c>
      <c r="AA1830">
        <v>0</v>
      </c>
      <c r="AB1830">
        <v>1</v>
      </c>
      <c r="AC1830">
        <v>0</v>
      </c>
      <c r="AD1830">
        <v>0</v>
      </c>
      <c r="AE1830">
        <v>0</v>
      </c>
      <c r="AF1830">
        <v>0</v>
      </c>
      <c r="AK1830">
        <v>1</v>
      </c>
      <c r="AL1830">
        <v>1</v>
      </c>
      <c r="AM1830">
        <v>0</v>
      </c>
      <c r="AN1830">
        <v>2</v>
      </c>
      <c r="AZ1830">
        <v>0</v>
      </c>
      <c r="BC1830">
        <v>0</v>
      </c>
      <c r="BD1830">
        <v>11</v>
      </c>
      <c r="BE1830">
        <v>279</v>
      </c>
      <c r="BF1830">
        <v>279</v>
      </c>
      <c r="BG1830">
        <v>409</v>
      </c>
      <c r="BJ1830">
        <v>1</v>
      </c>
      <c r="BL1830" t="s">
        <v>3818</v>
      </c>
      <c r="BM1830" s="4">
        <v>43283.232638888891</v>
      </c>
      <c r="BN1830" s="4">
        <v>43283.267812500002</v>
      </c>
      <c r="BO1830" s="4">
        <v>43283.267812500002</v>
      </c>
      <c r="BP1830" t="s">
        <v>92</v>
      </c>
      <c r="BQ1830" t="s">
        <v>93</v>
      </c>
      <c r="BR1830" t="s">
        <v>94</v>
      </c>
    </row>
    <row r="1831" spans="1:70" x14ac:dyDescent="0.3">
      <c r="A1831" t="str">
        <f>"201081E0100"</f>
        <v>201081E0100</v>
      </c>
      <c r="B1831" s="2" t="s">
        <v>3819</v>
      </c>
      <c r="C1831">
        <v>20</v>
      </c>
      <c r="D1831" t="s">
        <v>88</v>
      </c>
      <c r="E1831">
        <v>182</v>
      </c>
      <c r="F1831" t="s">
        <v>3427</v>
      </c>
      <c r="G1831">
        <v>1081</v>
      </c>
      <c r="H1831">
        <v>1</v>
      </c>
      <c r="I1831" t="s">
        <v>156</v>
      </c>
      <c r="J1831">
        <v>0</v>
      </c>
      <c r="K1831">
        <v>2</v>
      </c>
      <c r="L1831">
        <v>5</v>
      </c>
      <c r="M1831">
        <v>105</v>
      </c>
      <c r="N1831">
        <v>237</v>
      </c>
      <c r="O1831">
        <v>2</v>
      </c>
      <c r="P1831">
        <v>237</v>
      </c>
      <c r="Q1831">
        <v>7</v>
      </c>
      <c r="R1831">
        <v>18</v>
      </c>
      <c r="S1831">
        <v>6</v>
      </c>
      <c r="T1831">
        <v>7</v>
      </c>
      <c r="U1831">
        <v>8</v>
      </c>
      <c r="V1831">
        <v>9</v>
      </c>
      <c r="W1831">
        <v>1</v>
      </c>
      <c r="X1831">
        <v>99</v>
      </c>
      <c r="Y1831">
        <v>64</v>
      </c>
      <c r="Z1831">
        <v>2</v>
      </c>
      <c r="AA1831">
        <v>1</v>
      </c>
      <c r="AB1831">
        <v>0</v>
      </c>
      <c r="AC1831">
        <v>0</v>
      </c>
      <c r="AD1831">
        <v>0</v>
      </c>
      <c r="AE1831">
        <v>0</v>
      </c>
      <c r="AF1831">
        <v>0</v>
      </c>
      <c r="AK1831">
        <v>0</v>
      </c>
      <c r="AL1831">
        <v>0</v>
      </c>
      <c r="AM1831">
        <v>0</v>
      </c>
      <c r="AN1831">
        <v>0</v>
      </c>
      <c r="AZ1831">
        <v>1</v>
      </c>
      <c r="BC1831">
        <v>0</v>
      </c>
      <c r="BD1831">
        <v>14</v>
      </c>
      <c r="BE1831">
        <v>237</v>
      </c>
      <c r="BF1831">
        <v>237</v>
      </c>
      <c r="BG1831">
        <v>319</v>
      </c>
      <c r="BJ1831">
        <v>1</v>
      </c>
      <c r="BL1831" t="s">
        <v>3820</v>
      </c>
      <c r="BM1831" s="4">
        <v>43283.255555555559</v>
      </c>
      <c r="BN1831" s="4">
        <v>43283.2815625</v>
      </c>
      <c r="BO1831" s="4">
        <v>43283.2815625</v>
      </c>
      <c r="BP1831" t="s">
        <v>92</v>
      </c>
      <c r="BQ1831" t="s">
        <v>93</v>
      </c>
      <c r="BR1831" t="s">
        <v>94</v>
      </c>
    </row>
    <row r="1832" spans="1:70" x14ac:dyDescent="0.3">
      <c r="A1832" t="str">
        <f>"201081E0200"</f>
        <v>201081E0200</v>
      </c>
      <c r="B1832" s="2" t="s">
        <v>3821</v>
      </c>
      <c r="C1832">
        <v>20</v>
      </c>
      <c r="D1832" t="s">
        <v>88</v>
      </c>
      <c r="E1832">
        <v>182</v>
      </c>
      <c r="F1832" t="s">
        <v>3427</v>
      </c>
      <c r="G1832">
        <v>1081</v>
      </c>
      <c r="H1832">
        <v>2</v>
      </c>
      <c r="I1832" t="s">
        <v>156</v>
      </c>
      <c r="J1832">
        <v>0</v>
      </c>
      <c r="K1832">
        <v>2</v>
      </c>
      <c r="L1832">
        <v>5</v>
      </c>
      <c r="M1832">
        <v>119</v>
      </c>
      <c r="N1832">
        <v>286</v>
      </c>
      <c r="O1832">
        <v>4</v>
      </c>
      <c r="P1832">
        <v>286</v>
      </c>
      <c r="Q1832">
        <v>2</v>
      </c>
      <c r="R1832">
        <v>4</v>
      </c>
      <c r="S1832">
        <v>1</v>
      </c>
      <c r="T1832">
        <v>6</v>
      </c>
      <c r="U1832">
        <v>7</v>
      </c>
      <c r="V1832">
        <v>4</v>
      </c>
      <c r="W1832">
        <v>4</v>
      </c>
      <c r="X1832">
        <v>193</v>
      </c>
      <c r="Y1832">
        <v>34</v>
      </c>
      <c r="Z1832">
        <v>3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0</v>
      </c>
      <c r="AK1832">
        <v>3</v>
      </c>
      <c r="AL1832">
        <v>1</v>
      </c>
      <c r="AM1832">
        <v>0</v>
      </c>
      <c r="AN1832">
        <v>1</v>
      </c>
      <c r="AZ1832">
        <v>2</v>
      </c>
      <c r="BC1832">
        <v>0</v>
      </c>
      <c r="BD1832">
        <v>20</v>
      </c>
      <c r="BE1832">
        <v>286</v>
      </c>
      <c r="BF1832">
        <v>285</v>
      </c>
      <c r="BG1832">
        <v>382</v>
      </c>
      <c r="BJ1832">
        <v>1</v>
      </c>
      <c r="BL1832" t="s">
        <v>3822</v>
      </c>
      <c r="BM1832" s="4">
        <v>43283.253472222219</v>
      </c>
      <c r="BN1832" s="4">
        <v>43283.278935185182</v>
      </c>
      <c r="BO1832" s="4">
        <v>43283.278935185182</v>
      </c>
      <c r="BP1832" t="s">
        <v>92</v>
      </c>
      <c r="BQ1832" t="s">
        <v>93</v>
      </c>
      <c r="BR1832" t="s">
        <v>94</v>
      </c>
    </row>
    <row r="1833" spans="1:70" x14ac:dyDescent="0.3">
      <c r="A1833" t="str">
        <f>"201082B0100"</f>
        <v>201082B0100</v>
      </c>
      <c r="B1833" t="s">
        <v>3823</v>
      </c>
      <c r="C1833">
        <v>20</v>
      </c>
      <c r="D1833" t="s">
        <v>88</v>
      </c>
      <c r="E1833">
        <v>182</v>
      </c>
      <c r="F1833" t="s">
        <v>3427</v>
      </c>
      <c r="G1833">
        <v>1082</v>
      </c>
      <c r="H1833">
        <v>1</v>
      </c>
      <c r="I1833" t="s">
        <v>90</v>
      </c>
      <c r="J1833">
        <v>0</v>
      </c>
      <c r="K1833">
        <v>2</v>
      </c>
      <c r="L1833">
        <v>5</v>
      </c>
      <c r="M1833">
        <v>183</v>
      </c>
      <c r="N1833">
        <v>421</v>
      </c>
      <c r="O1833">
        <v>0</v>
      </c>
      <c r="P1833">
        <v>421</v>
      </c>
      <c r="Q1833">
        <v>9</v>
      </c>
      <c r="R1833">
        <v>12</v>
      </c>
      <c r="S1833">
        <v>2</v>
      </c>
      <c r="T1833">
        <v>31</v>
      </c>
      <c r="U1833">
        <v>5</v>
      </c>
      <c r="V1833">
        <v>6</v>
      </c>
      <c r="W1833">
        <v>0</v>
      </c>
      <c r="X1833">
        <v>241</v>
      </c>
      <c r="Y1833">
        <v>79</v>
      </c>
      <c r="Z1833">
        <v>2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0</v>
      </c>
      <c r="AK1833">
        <v>0</v>
      </c>
      <c r="AL1833">
        <v>3</v>
      </c>
      <c r="AM1833">
        <v>0</v>
      </c>
      <c r="AN1833">
        <v>0</v>
      </c>
      <c r="AZ1833">
        <v>1</v>
      </c>
      <c r="BC1833">
        <v>1</v>
      </c>
      <c r="BD1833" t="s">
        <v>127</v>
      </c>
      <c r="BE1833">
        <v>421</v>
      </c>
      <c r="BF1833">
        <v>392</v>
      </c>
      <c r="BG1833">
        <v>581</v>
      </c>
      <c r="BI1833" t="s">
        <v>106</v>
      </c>
      <c r="BJ1833">
        <v>1</v>
      </c>
      <c r="BL1833" t="s">
        <v>3824</v>
      </c>
      <c r="BM1833" s="4">
        <v>43283.23541666667</v>
      </c>
      <c r="BN1833" s="4">
        <v>43283.271087962959</v>
      </c>
      <c r="BO1833" s="4">
        <v>43283.271087962959</v>
      </c>
      <c r="BP1833" t="s">
        <v>92</v>
      </c>
      <c r="BQ1833" t="s">
        <v>93</v>
      </c>
      <c r="BR1833" t="s">
        <v>94</v>
      </c>
    </row>
    <row r="1834" spans="1:70" x14ac:dyDescent="0.3">
      <c r="A1834" t="str">
        <f>"201083B0100"</f>
        <v>201083B0100</v>
      </c>
      <c r="B1834" t="s">
        <v>3825</v>
      </c>
      <c r="C1834">
        <v>20</v>
      </c>
      <c r="D1834" t="s">
        <v>88</v>
      </c>
      <c r="E1834">
        <v>182</v>
      </c>
      <c r="F1834" t="s">
        <v>3427</v>
      </c>
      <c r="G1834">
        <v>1083</v>
      </c>
      <c r="H1834">
        <v>1</v>
      </c>
      <c r="I1834" t="s">
        <v>90</v>
      </c>
      <c r="J1834">
        <v>0</v>
      </c>
      <c r="K1834">
        <v>1</v>
      </c>
      <c r="L1834">
        <v>5</v>
      </c>
      <c r="M1834">
        <v>229</v>
      </c>
      <c r="N1834">
        <v>429</v>
      </c>
      <c r="O1834">
        <v>5</v>
      </c>
      <c r="P1834">
        <v>429</v>
      </c>
      <c r="Q1834">
        <v>4</v>
      </c>
      <c r="R1834">
        <v>17</v>
      </c>
      <c r="S1834">
        <v>3</v>
      </c>
      <c r="T1834">
        <v>21</v>
      </c>
      <c r="U1834">
        <v>19</v>
      </c>
      <c r="V1834">
        <v>17</v>
      </c>
      <c r="W1834">
        <v>3</v>
      </c>
      <c r="X1834">
        <v>221</v>
      </c>
      <c r="Y1834">
        <v>94</v>
      </c>
      <c r="Z1834">
        <v>8</v>
      </c>
      <c r="AA1834">
        <v>1</v>
      </c>
      <c r="AB1834">
        <v>0</v>
      </c>
      <c r="AC1834">
        <v>0</v>
      </c>
      <c r="AD1834">
        <v>0</v>
      </c>
      <c r="AE1834">
        <v>0</v>
      </c>
      <c r="AF1834">
        <v>0</v>
      </c>
      <c r="AK1834">
        <v>3</v>
      </c>
      <c r="AL1834">
        <v>1</v>
      </c>
      <c r="AM1834">
        <v>2</v>
      </c>
      <c r="AN1834">
        <v>0</v>
      </c>
      <c r="AZ1834">
        <v>3</v>
      </c>
      <c r="BC1834">
        <v>0</v>
      </c>
      <c r="BD1834">
        <v>12</v>
      </c>
      <c r="BE1834">
        <v>429</v>
      </c>
      <c r="BF1834">
        <v>429</v>
      </c>
      <c r="BG1834">
        <v>635</v>
      </c>
      <c r="BJ1834">
        <v>1</v>
      </c>
      <c r="BL1834" t="s">
        <v>3826</v>
      </c>
      <c r="BM1834" s="4">
        <v>43283.26666666667</v>
      </c>
      <c r="BN1834" s="4">
        <v>43283.292731481481</v>
      </c>
      <c r="BO1834" s="4">
        <v>43283.292731481481</v>
      </c>
      <c r="BP1834" t="s">
        <v>92</v>
      </c>
      <c r="BQ1834" t="s">
        <v>93</v>
      </c>
      <c r="BR1834" t="s">
        <v>94</v>
      </c>
    </row>
    <row r="1835" spans="1:70" x14ac:dyDescent="0.3">
      <c r="A1835" t="str">
        <f>"201083C0100"</f>
        <v>201083C0100</v>
      </c>
      <c r="B1835" t="s">
        <v>3827</v>
      </c>
      <c r="C1835">
        <v>20</v>
      </c>
      <c r="D1835" t="s">
        <v>88</v>
      </c>
      <c r="E1835">
        <v>182</v>
      </c>
      <c r="F1835" t="s">
        <v>3427</v>
      </c>
      <c r="G1835">
        <v>1083</v>
      </c>
      <c r="H1835">
        <v>1</v>
      </c>
      <c r="I1835" t="s">
        <v>98</v>
      </c>
      <c r="J1835">
        <v>0</v>
      </c>
      <c r="K1835">
        <v>1</v>
      </c>
      <c r="L1835">
        <v>5</v>
      </c>
      <c r="M1835">
        <v>219</v>
      </c>
      <c r="N1835">
        <v>438</v>
      </c>
      <c r="O1835">
        <v>12</v>
      </c>
      <c r="P1835">
        <v>438</v>
      </c>
      <c r="Q1835">
        <v>6</v>
      </c>
      <c r="R1835">
        <v>21</v>
      </c>
      <c r="S1835">
        <v>2</v>
      </c>
      <c r="T1835">
        <v>16</v>
      </c>
      <c r="U1835">
        <v>10</v>
      </c>
      <c r="V1835">
        <v>7</v>
      </c>
      <c r="W1835">
        <v>0</v>
      </c>
      <c r="X1835">
        <v>239</v>
      </c>
      <c r="Y1835">
        <v>67</v>
      </c>
      <c r="Z1835">
        <v>6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  <c r="AK1835">
        <v>3</v>
      </c>
      <c r="AL1835">
        <v>1</v>
      </c>
      <c r="AM1835">
        <v>0</v>
      </c>
      <c r="AN1835">
        <v>2</v>
      </c>
      <c r="AZ1835">
        <v>4</v>
      </c>
      <c r="BC1835">
        <v>0</v>
      </c>
      <c r="BD1835">
        <v>44</v>
      </c>
      <c r="BE1835">
        <v>438</v>
      </c>
      <c r="BF1835">
        <v>428</v>
      </c>
      <c r="BG1835">
        <v>634</v>
      </c>
      <c r="BJ1835">
        <v>1</v>
      </c>
      <c r="BL1835" t="s">
        <v>3828</v>
      </c>
      <c r="BM1835" s="4">
        <v>43283.267361111109</v>
      </c>
      <c r="BN1835" s="4">
        <v>43283.307083333333</v>
      </c>
      <c r="BO1835" s="4">
        <v>43283.307083333333</v>
      </c>
      <c r="BP1835" t="s">
        <v>92</v>
      </c>
      <c r="BQ1835" t="s">
        <v>93</v>
      </c>
      <c r="BR1835" t="s">
        <v>94</v>
      </c>
    </row>
    <row r="1836" spans="1:70" x14ac:dyDescent="0.3">
      <c r="A1836" t="str">
        <f>"201084B0100"</f>
        <v>201084B0100</v>
      </c>
      <c r="B1836" t="s">
        <v>3829</v>
      </c>
      <c r="C1836">
        <v>20</v>
      </c>
      <c r="D1836" t="s">
        <v>88</v>
      </c>
      <c r="E1836">
        <v>183</v>
      </c>
      <c r="F1836" t="s">
        <v>3830</v>
      </c>
      <c r="G1836">
        <v>1084</v>
      </c>
      <c r="H1836">
        <v>1</v>
      </c>
      <c r="I1836" t="s">
        <v>90</v>
      </c>
      <c r="J1836">
        <v>0</v>
      </c>
      <c r="K1836">
        <v>2</v>
      </c>
      <c r="L1836">
        <v>5</v>
      </c>
      <c r="M1836">
        <v>176</v>
      </c>
      <c r="N1836">
        <v>405</v>
      </c>
      <c r="O1836">
        <v>3</v>
      </c>
      <c r="P1836">
        <v>405</v>
      </c>
      <c r="Q1836">
        <v>58</v>
      </c>
      <c r="R1836">
        <v>31</v>
      </c>
      <c r="S1836">
        <v>6</v>
      </c>
      <c r="T1836">
        <v>92</v>
      </c>
      <c r="U1836">
        <v>8</v>
      </c>
      <c r="V1836">
        <v>10</v>
      </c>
      <c r="W1836">
        <v>10</v>
      </c>
      <c r="X1836">
        <v>42</v>
      </c>
      <c r="Y1836">
        <v>77</v>
      </c>
      <c r="Z1836">
        <v>5</v>
      </c>
      <c r="AA1836">
        <v>27</v>
      </c>
      <c r="AB1836">
        <v>10</v>
      </c>
      <c r="AC1836">
        <v>2</v>
      </c>
      <c r="AD1836">
        <v>1</v>
      </c>
      <c r="AE1836">
        <v>1</v>
      </c>
      <c r="AF1836">
        <v>0</v>
      </c>
      <c r="AK1836">
        <v>3</v>
      </c>
      <c r="AL1836">
        <v>0</v>
      </c>
      <c r="AM1836">
        <v>0</v>
      </c>
      <c r="AN1836">
        <v>2</v>
      </c>
      <c r="BC1836">
        <v>0</v>
      </c>
      <c r="BD1836">
        <v>18</v>
      </c>
      <c r="BE1836">
        <v>403</v>
      </c>
      <c r="BF1836">
        <v>403</v>
      </c>
      <c r="BG1836">
        <v>559</v>
      </c>
      <c r="BJ1836">
        <v>1</v>
      </c>
      <c r="BL1836" t="s">
        <v>3831</v>
      </c>
      <c r="BM1836" s="4">
        <v>43283.243668981479</v>
      </c>
      <c r="BN1836" s="4">
        <v>43283.269120370373</v>
      </c>
      <c r="BO1836" s="4">
        <v>43283.269120370373</v>
      </c>
      <c r="BP1836" t="s">
        <v>92</v>
      </c>
      <c r="BQ1836" t="s">
        <v>93</v>
      </c>
      <c r="BR1836" t="s">
        <v>94</v>
      </c>
    </row>
    <row r="1837" spans="1:70" x14ac:dyDescent="0.3">
      <c r="A1837" t="str">
        <f>"201084C0100"</f>
        <v>201084C0100</v>
      </c>
      <c r="B1837" t="s">
        <v>3832</v>
      </c>
      <c r="C1837">
        <v>20</v>
      </c>
      <c r="D1837" t="s">
        <v>88</v>
      </c>
      <c r="E1837">
        <v>183</v>
      </c>
      <c r="F1837" t="s">
        <v>3830</v>
      </c>
      <c r="G1837">
        <v>1084</v>
      </c>
      <c r="H1837">
        <v>1</v>
      </c>
      <c r="I1837" t="s">
        <v>98</v>
      </c>
      <c r="J1837">
        <v>0</v>
      </c>
      <c r="K1837">
        <v>2</v>
      </c>
      <c r="L1837">
        <v>5</v>
      </c>
      <c r="M1837">
        <v>157</v>
      </c>
      <c r="N1837">
        <v>422</v>
      </c>
      <c r="O1837">
        <v>3</v>
      </c>
      <c r="P1837">
        <v>422</v>
      </c>
      <c r="Q1837">
        <v>51</v>
      </c>
      <c r="R1837">
        <v>34</v>
      </c>
      <c r="S1837">
        <v>7</v>
      </c>
      <c r="T1837">
        <v>95</v>
      </c>
      <c r="U1837">
        <v>20</v>
      </c>
      <c r="V1837">
        <v>9</v>
      </c>
      <c r="W1837">
        <v>7</v>
      </c>
      <c r="X1837">
        <v>67</v>
      </c>
      <c r="Y1837">
        <v>69</v>
      </c>
      <c r="Z1837">
        <v>4</v>
      </c>
      <c r="AA1837">
        <v>20</v>
      </c>
      <c r="AB1837">
        <v>11</v>
      </c>
      <c r="AC1837">
        <v>2</v>
      </c>
      <c r="AD1837">
        <v>1</v>
      </c>
      <c r="AE1837">
        <v>1</v>
      </c>
      <c r="AF1837">
        <v>0</v>
      </c>
      <c r="AK1837">
        <v>5</v>
      </c>
      <c r="AL1837">
        <v>1</v>
      </c>
      <c r="AM1837">
        <v>0</v>
      </c>
      <c r="AN1837">
        <v>1</v>
      </c>
      <c r="BC1837">
        <v>0</v>
      </c>
      <c r="BD1837">
        <v>17</v>
      </c>
      <c r="BE1837">
        <v>422</v>
      </c>
      <c r="BF1837">
        <v>422</v>
      </c>
      <c r="BG1837">
        <v>558</v>
      </c>
      <c r="BJ1837">
        <v>1</v>
      </c>
      <c r="BL1837" t="s">
        <v>3833</v>
      </c>
      <c r="BM1837" s="4">
        <v>43283.240752314814</v>
      </c>
      <c r="BN1837" s="4">
        <v>43283.263518518521</v>
      </c>
      <c r="BO1837" s="4">
        <v>43283.263518518521</v>
      </c>
      <c r="BP1837" t="s">
        <v>92</v>
      </c>
      <c r="BQ1837" t="s">
        <v>93</v>
      </c>
      <c r="BR1837" t="s">
        <v>94</v>
      </c>
    </row>
    <row r="1838" spans="1:70" x14ac:dyDescent="0.3">
      <c r="A1838" t="str">
        <f>"201084C0200"</f>
        <v>201084C0200</v>
      </c>
      <c r="B1838" t="s">
        <v>3834</v>
      </c>
      <c r="C1838">
        <v>20</v>
      </c>
      <c r="D1838" t="s">
        <v>88</v>
      </c>
      <c r="E1838">
        <v>183</v>
      </c>
      <c r="F1838" t="s">
        <v>3830</v>
      </c>
      <c r="G1838">
        <v>1084</v>
      </c>
      <c r="H1838">
        <v>2</v>
      </c>
      <c r="I1838" t="s">
        <v>98</v>
      </c>
      <c r="J1838">
        <v>0</v>
      </c>
      <c r="K1838">
        <v>2</v>
      </c>
      <c r="L1838">
        <v>5</v>
      </c>
      <c r="M1838">
        <v>177</v>
      </c>
      <c r="N1838">
        <v>403</v>
      </c>
      <c r="O1838">
        <v>3</v>
      </c>
      <c r="P1838" t="s">
        <v>105</v>
      </c>
      <c r="Q1838">
        <v>25</v>
      </c>
      <c r="R1838">
        <v>34</v>
      </c>
      <c r="S1838">
        <v>4</v>
      </c>
      <c r="T1838">
        <v>105</v>
      </c>
      <c r="U1838">
        <v>14</v>
      </c>
      <c r="V1838">
        <v>8</v>
      </c>
      <c r="W1838">
        <v>13</v>
      </c>
      <c r="X1838">
        <v>55</v>
      </c>
      <c r="Y1838">
        <v>75</v>
      </c>
      <c r="Z1838">
        <v>7</v>
      </c>
      <c r="AA1838">
        <v>28</v>
      </c>
      <c r="AB1838">
        <v>8</v>
      </c>
      <c r="AC1838">
        <v>4</v>
      </c>
      <c r="AD1838">
        <v>0</v>
      </c>
      <c r="AE1838">
        <v>0</v>
      </c>
      <c r="AF1838">
        <v>0</v>
      </c>
      <c r="AK1838">
        <v>4</v>
      </c>
      <c r="AL1838">
        <v>4</v>
      </c>
      <c r="AM1838">
        <v>0</v>
      </c>
      <c r="AN1838">
        <v>0</v>
      </c>
      <c r="BC1838">
        <v>0</v>
      </c>
      <c r="BD1838">
        <v>11</v>
      </c>
      <c r="BE1838" t="s">
        <v>105</v>
      </c>
      <c r="BF1838">
        <v>399</v>
      </c>
      <c r="BG1838">
        <v>558</v>
      </c>
      <c r="BJ1838">
        <v>1</v>
      </c>
      <c r="BL1838" t="s">
        <v>3835</v>
      </c>
      <c r="BM1838" s="4">
        <v>43283.23978009259</v>
      </c>
      <c r="BN1838" s="4">
        <v>43283.272187499999</v>
      </c>
      <c r="BO1838" s="4">
        <v>43283.272187499999</v>
      </c>
      <c r="BP1838" t="s">
        <v>92</v>
      </c>
      <c r="BQ1838" t="s">
        <v>93</v>
      </c>
      <c r="BR1838" t="s">
        <v>94</v>
      </c>
    </row>
    <row r="1839" spans="1:70" x14ac:dyDescent="0.3">
      <c r="A1839" t="str">
        <f>"201085B0100"</f>
        <v>201085B0100</v>
      </c>
      <c r="B1839" t="s">
        <v>3836</v>
      </c>
      <c r="C1839">
        <v>20</v>
      </c>
      <c r="D1839" t="s">
        <v>88</v>
      </c>
      <c r="E1839">
        <v>183</v>
      </c>
      <c r="F1839" t="s">
        <v>3830</v>
      </c>
      <c r="G1839">
        <v>1085</v>
      </c>
      <c r="H1839">
        <v>1</v>
      </c>
      <c r="I1839" t="s">
        <v>90</v>
      </c>
      <c r="J1839">
        <v>0</v>
      </c>
      <c r="K1839">
        <v>2</v>
      </c>
      <c r="L1839">
        <v>5</v>
      </c>
      <c r="M1839">
        <v>215</v>
      </c>
      <c r="N1839">
        <v>514</v>
      </c>
      <c r="O1839">
        <v>0</v>
      </c>
      <c r="P1839">
        <v>514</v>
      </c>
      <c r="Q1839">
        <v>56</v>
      </c>
      <c r="R1839">
        <v>36</v>
      </c>
      <c r="S1839">
        <v>10</v>
      </c>
      <c r="T1839">
        <v>108</v>
      </c>
      <c r="U1839">
        <v>16</v>
      </c>
      <c r="V1839">
        <v>14</v>
      </c>
      <c r="W1839">
        <v>31</v>
      </c>
      <c r="X1839">
        <v>78</v>
      </c>
      <c r="Y1839">
        <v>87</v>
      </c>
      <c r="Z1839">
        <v>4</v>
      </c>
      <c r="AA1839">
        <v>22</v>
      </c>
      <c r="AB1839">
        <v>21</v>
      </c>
      <c r="AC1839">
        <v>2</v>
      </c>
      <c r="AD1839">
        <v>1</v>
      </c>
      <c r="AE1839" t="s">
        <v>105</v>
      </c>
      <c r="AF1839" t="s">
        <v>105</v>
      </c>
      <c r="AK1839">
        <v>3</v>
      </c>
      <c r="AL1839" t="s">
        <v>105</v>
      </c>
      <c r="AM1839" t="s">
        <v>105</v>
      </c>
      <c r="AN1839" t="s">
        <v>105</v>
      </c>
      <c r="BC1839" t="s">
        <v>105</v>
      </c>
      <c r="BD1839">
        <v>25</v>
      </c>
      <c r="BE1839">
        <v>514</v>
      </c>
      <c r="BF1839">
        <v>514</v>
      </c>
      <c r="BG1839">
        <v>707</v>
      </c>
      <c r="BI1839" t="s">
        <v>106</v>
      </c>
      <c r="BJ1839">
        <v>1</v>
      </c>
      <c r="BL1839" t="s">
        <v>3837</v>
      </c>
      <c r="BM1839" s="4">
        <v>43283.239085648151</v>
      </c>
      <c r="BN1839" s="4">
        <v>43283.271851851852</v>
      </c>
      <c r="BO1839" s="4">
        <v>43283.271851851852</v>
      </c>
      <c r="BP1839" t="s">
        <v>92</v>
      </c>
      <c r="BQ1839" t="s">
        <v>93</v>
      </c>
      <c r="BR1839" t="s">
        <v>94</v>
      </c>
    </row>
    <row r="1840" spans="1:70" x14ac:dyDescent="0.3">
      <c r="A1840" t="str">
        <f>"201085C0100"</f>
        <v>201085C0100</v>
      </c>
      <c r="B1840" t="s">
        <v>3838</v>
      </c>
      <c r="C1840">
        <v>20</v>
      </c>
      <c r="D1840" t="s">
        <v>88</v>
      </c>
      <c r="E1840">
        <v>183</v>
      </c>
      <c r="F1840" t="s">
        <v>3830</v>
      </c>
      <c r="G1840">
        <v>1085</v>
      </c>
      <c r="H1840">
        <v>1</v>
      </c>
      <c r="I1840" t="s">
        <v>98</v>
      </c>
      <c r="J1840">
        <v>0</v>
      </c>
      <c r="K1840">
        <v>2</v>
      </c>
      <c r="L1840">
        <v>5</v>
      </c>
      <c r="M1840">
        <v>177</v>
      </c>
      <c r="N1840">
        <v>551</v>
      </c>
      <c r="O1840">
        <v>4</v>
      </c>
      <c r="P1840">
        <v>551</v>
      </c>
      <c r="Q1840">
        <v>51</v>
      </c>
      <c r="R1840">
        <v>29</v>
      </c>
      <c r="S1840">
        <v>11</v>
      </c>
      <c r="T1840">
        <v>141</v>
      </c>
      <c r="U1840">
        <v>14</v>
      </c>
      <c r="V1840">
        <v>20</v>
      </c>
      <c r="W1840">
        <v>21</v>
      </c>
      <c r="X1840">
        <v>72</v>
      </c>
      <c r="Y1840">
        <v>124</v>
      </c>
      <c r="Z1840">
        <v>2</v>
      </c>
      <c r="AA1840">
        <v>33</v>
      </c>
      <c r="AB1840">
        <v>10</v>
      </c>
      <c r="AC1840">
        <v>2</v>
      </c>
      <c r="AD1840">
        <v>2</v>
      </c>
      <c r="AE1840">
        <v>0</v>
      </c>
      <c r="AF1840">
        <v>2</v>
      </c>
      <c r="AK1840">
        <v>0</v>
      </c>
      <c r="AL1840">
        <v>3</v>
      </c>
      <c r="AM1840">
        <v>0</v>
      </c>
      <c r="AN1840">
        <v>2</v>
      </c>
      <c r="BC1840">
        <v>0</v>
      </c>
      <c r="BD1840">
        <v>12</v>
      </c>
      <c r="BE1840">
        <v>551</v>
      </c>
      <c r="BF1840">
        <v>551</v>
      </c>
      <c r="BG1840">
        <v>706</v>
      </c>
      <c r="BJ1840">
        <v>1</v>
      </c>
      <c r="BL1840" t="s">
        <v>3839</v>
      </c>
      <c r="BM1840" s="4">
        <v>43283.238506944443</v>
      </c>
      <c r="BN1840" s="4">
        <v>43283.259988425925</v>
      </c>
      <c r="BO1840" s="4">
        <v>43283.259988425925</v>
      </c>
      <c r="BP1840" t="s">
        <v>92</v>
      </c>
      <c r="BQ1840" t="s">
        <v>93</v>
      </c>
      <c r="BR1840" t="s">
        <v>94</v>
      </c>
    </row>
    <row r="1841" spans="1:70" x14ac:dyDescent="0.3">
      <c r="A1841" t="str">
        <f>"201086B0100"</f>
        <v>201086B0100</v>
      </c>
      <c r="B1841" t="s">
        <v>3840</v>
      </c>
      <c r="C1841">
        <v>20</v>
      </c>
      <c r="D1841" t="s">
        <v>88</v>
      </c>
      <c r="E1841">
        <v>183</v>
      </c>
      <c r="F1841" t="s">
        <v>3830</v>
      </c>
      <c r="G1841">
        <v>1086</v>
      </c>
      <c r="H1841">
        <v>1</v>
      </c>
      <c r="I1841" t="s">
        <v>90</v>
      </c>
      <c r="J1841">
        <v>0</v>
      </c>
      <c r="K1841">
        <v>2</v>
      </c>
      <c r="L1841">
        <v>5</v>
      </c>
      <c r="M1841">
        <v>245</v>
      </c>
      <c r="N1841">
        <v>476</v>
      </c>
      <c r="O1841">
        <v>14</v>
      </c>
      <c r="P1841">
        <v>476</v>
      </c>
      <c r="Q1841">
        <v>40</v>
      </c>
      <c r="R1841">
        <v>36</v>
      </c>
      <c r="S1841">
        <v>12</v>
      </c>
      <c r="T1841">
        <v>112</v>
      </c>
      <c r="U1841">
        <v>8</v>
      </c>
      <c r="V1841">
        <v>11</v>
      </c>
      <c r="W1841">
        <v>11</v>
      </c>
      <c r="X1841">
        <v>82</v>
      </c>
      <c r="Y1841">
        <v>93</v>
      </c>
      <c r="Z1841">
        <v>3</v>
      </c>
      <c r="AA1841">
        <v>14</v>
      </c>
      <c r="AB1841">
        <v>5</v>
      </c>
      <c r="AC1841">
        <v>8</v>
      </c>
      <c r="AD1841">
        <v>1</v>
      </c>
      <c r="AE1841">
        <v>0</v>
      </c>
      <c r="AF1841">
        <v>0</v>
      </c>
      <c r="AK1841">
        <v>2</v>
      </c>
      <c r="AL1841">
        <v>2</v>
      </c>
      <c r="AM1841">
        <v>0</v>
      </c>
      <c r="AN1841">
        <v>1</v>
      </c>
      <c r="BC1841" t="s">
        <v>105</v>
      </c>
      <c r="BD1841" t="s">
        <v>105</v>
      </c>
      <c r="BE1841">
        <v>476</v>
      </c>
      <c r="BF1841">
        <v>441</v>
      </c>
      <c r="BG1841">
        <v>698</v>
      </c>
      <c r="BI1841" t="s">
        <v>106</v>
      </c>
      <c r="BJ1841">
        <v>1</v>
      </c>
      <c r="BL1841" t="s">
        <v>3841</v>
      </c>
      <c r="BM1841" s="4">
        <v>43283.16715277778</v>
      </c>
      <c r="BN1841" s="4">
        <v>43283.179849537039</v>
      </c>
      <c r="BO1841" s="4">
        <v>43283.179849537039</v>
      </c>
      <c r="BP1841" t="s">
        <v>92</v>
      </c>
      <c r="BQ1841" t="s">
        <v>93</v>
      </c>
      <c r="BR1841" t="s">
        <v>94</v>
      </c>
    </row>
    <row r="1842" spans="1:70" x14ac:dyDescent="0.3">
      <c r="A1842" t="str">
        <f>"201086C0100"</f>
        <v>201086C0100</v>
      </c>
      <c r="B1842" t="s">
        <v>3842</v>
      </c>
      <c r="C1842">
        <v>20</v>
      </c>
      <c r="D1842" t="s">
        <v>88</v>
      </c>
      <c r="E1842">
        <v>183</v>
      </c>
      <c r="F1842" t="s">
        <v>3830</v>
      </c>
      <c r="G1842">
        <v>1086</v>
      </c>
      <c r="H1842">
        <v>1</v>
      </c>
      <c r="I1842" t="s">
        <v>98</v>
      </c>
      <c r="J1842">
        <v>0</v>
      </c>
      <c r="K1842">
        <v>2</v>
      </c>
      <c r="L1842">
        <v>5</v>
      </c>
      <c r="M1842">
        <v>221</v>
      </c>
      <c r="N1842">
        <v>499</v>
      </c>
      <c r="O1842">
        <v>9</v>
      </c>
      <c r="P1842">
        <v>499</v>
      </c>
      <c r="Q1842">
        <v>63</v>
      </c>
      <c r="R1842">
        <v>44</v>
      </c>
      <c r="S1842">
        <v>10</v>
      </c>
      <c r="T1842">
        <v>119</v>
      </c>
      <c r="U1842">
        <v>5</v>
      </c>
      <c r="V1842">
        <v>11</v>
      </c>
      <c r="W1842">
        <v>5</v>
      </c>
      <c r="X1842">
        <v>74</v>
      </c>
      <c r="Y1842">
        <v>99</v>
      </c>
      <c r="Z1842">
        <v>5</v>
      </c>
      <c r="AA1842">
        <v>31</v>
      </c>
      <c r="AB1842">
        <v>5</v>
      </c>
      <c r="AC1842">
        <v>3</v>
      </c>
      <c r="AD1842">
        <v>2</v>
      </c>
      <c r="AE1842">
        <v>0</v>
      </c>
      <c r="AF1842">
        <v>0</v>
      </c>
      <c r="AK1842">
        <v>0</v>
      </c>
      <c r="AL1842">
        <v>0</v>
      </c>
      <c r="AM1842">
        <v>0</v>
      </c>
      <c r="AN1842">
        <v>1</v>
      </c>
      <c r="BC1842">
        <v>0</v>
      </c>
      <c r="BD1842">
        <v>22</v>
      </c>
      <c r="BE1842">
        <v>499</v>
      </c>
      <c r="BF1842">
        <v>499</v>
      </c>
      <c r="BG1842">
        <v>698</v>
      </c>
      <c r="BJ1842">
        <v>1</v>
      </c>
      <c r="BL1842" t="s">
        <v>3843</v>
      </c>
      <c r="BM1842" s="4">
        <v>43283.166516203702</v>
      </c>
      <c r="BN1842" s="4">
        <v>43283.177916666667</v>
      </c>
      <c r="BO1842" s="4">
        <v>43283.177916666667</v>
      </c>
      <c r="BP1842" t="s">
        <v>92</v>
      </c>
      <c r="BQ1842" t="s">
        <v>93</v>
      </c>
      <c r="BR1842" t="s">
        <v>94</v>
      </c>
    </row>
    <row r="1843" spans="1:70" x14ac:dyDescent="0.3">
      <c r="A1843" t="str">
        <f>"201087B0100"</f>
        <v>201087B0100</v>
      </c>
      <c r="B1843" t="s">
        <v>3844</v>
      </c>
      <c r="C1843">
        <v>20</v>
      </c>
      <c r="D1843" t="s">
        <v>88</v>
      </c>
      <c r="E1843">
        <v>183</v>
      </c>
      <c r="F1843" t="s">
        <v>3830</v>
      </c>
      <c r="G1843">
        <v>1087</v>
      </c>
      <c r="H1843">
        <v>1</v>
      </c>
      <c r="I1843" t="s">
        <v>90</v>
      </c>
      <c r="J1843">
        <v>0</v>
      </c>
      <c r="K1843">
        <v>2</v>
      </c>
      <c r="L1843">
        <v>5</v>
      </c>
      <c r="M1843">
        <v>152</v>
      </c>
      <c r="N1843">
        <v>408</v>
      </c>
      <c r="O1843">
        <v>8</v>
      </c>
      <c r="P1843">
        <v>408</v>
      </c>
      <c r="Q1843">
        <v>30</v>
      </c>
      <c r="R1843">
        <v>40</v>
      </c>
      <c r="S1843">
        <v>4</v>
      </c>
      <c r="T1843">
        <v>124</v>
      </c>
      <c r="U1843">
        <v>5</v>
      </c>
      <c r="V1843">
        <v>11</v>
      </c>
      <c r="W1843">
        <v>21</v>
      </c>
      <c r="X1843">
        <v>47</v>
      </c>
      <c r="Y1843">
        <v>67</v>
      </c>
      <c r="Z1843">
        <v>5</v>
      </c>
      <c r="AA1843">
        <v>21</v>
      </c>
      <c r="AB1843">
        <v>7</v>
      </c>
      <c r="AC1843">
        <v>3</v>
      </c>
      <c r="AD1843">
        <v>0</v>
      </c>
      <c r="AE1843">
        <v>0</v>
      </c>
      <c r="AF1843">
        <v>0</v>
      </c>
      <c r="AK1843">
        <v>2</v>
      </c>
      <c r="AL1843">
        <v>1</v>
      </c>
      <c r="AM1843">
        <v>0</v>
      </c>
      <c r="AN1843">
        <v>2</v>
      </c>
      <c r="BC1843">
        <v>0</v>
      </c>
      <c r="BD1843">
        <v>18</v>
      </c>
      <c r="BE1843">
        <v>408</v>
      </c>
      <c r="BF1843">
        <v>408</v>
      </c>
      <c r="BG1843">
        <v>538</v>
      </c>
      <c r="BJ1843">
        <v>1</v>
      </c>
      <c r="BL1843" t="s">
        <v>3845</v>
      </c>
      <c r="BM1843" s="4">
        <v>43283.064641203702</v>
      </c>
      <c r="BN1843" s="4">
        <v>43283.069907407407</v>
      </c>
      <c r="BO1843" s="4">
        <v>43283.069907407407</v>
      </c>
      <c r="BP1843" t="s">
        <v>92</v>
      </c>
      <c r="BQ1843" t="s">
        <v>93</v>
      </c>
      <c r="BR1843" t="s">
        <v>94</v>
      </c>
    </row>
    <row r="1844" spans="1:70" x14ac:dyDescent="0.3">
      <c r="A1844" t="str">
        <f>"201087C0100"</f>
        <v>201087C0100</v>
      </c>
      <c r="B1844" t="s">
        <v>3846</v>
      </c>
      <c r="C1844">
        <v>20</v>
      </c>
      <c r="D1844" t="s">
        <v>88</v>
      </c>
      <c r="E1844">
        <v>183</v>
      </c>
      <c r="F1844" t="s">
        <v>3830</v>
      </c>
      <c r="G1844">
        <v>1087</v>
      </c>
      <c r="H1844">
        <v>1</v>
      </c>
      <c r="I1844" t="s">
        <v>98</v>
      </c>
      <c r="J1844">
        <v>0</v>
      </c>
      <c r="K1844">
        <v>2</v>
      </c>
      <c r="L1844">
        <v>5</v>
      </c>
      <c r="M1844" t="s">
        <v>105</v>
      </c>
      <c r="N1844">
        <v>404</v>
      </c>
      <c r="O1844">
        <v>5</v>
      </c>
      <c r="P1844">
        <v>404</v>
      </c>
      <c r="Q1844">
        <v>33</v>
      </c>
      <c r="R1844">
        <v>36</v>
      </c>
      <c r="S1844">
        <v>6</v>
      </c>
      <c r="T1844">
        <v>129</v>
      </c>
      <c r="U1844">
        <v>6</v>
      </c>
      <c r="V1844">
        <v>8</v>
      </c>
      <c r="W1844">
        <v>15</v>
      </c>
      <c r="X1844">
        <v>38</v>
      </c>
      <c r="Y1844">
        <v>73</v>
      </c>
      <c r="Z1844">
        <v>4</v>
      </c>
      <c r="AA1844">
        <v>13</v>
      </c>
      <c r="AB1844">
        <v>9</v>
      </c>
      <c r="AC1844">
        <v>1</v>
      </c>
      <c r="AD1844">
        <v>0</v>
      </c>
      <c r="AE1844">
        <v>2</v>
      </c>
      <c r="AF1844">
        <v>0</v>
      </c>
      <c r="AK1844">
        <v>3</v>
      </c>
      <c r="AL1844">
        <v>0</v>
      </c>
      <c r="AM1844">
        <v>0</v>
      </c>
      <c r="AN1844">
        <v>1</v>
      </c>
      <c r="BC1844">
        <v>0</v>
      </c>
      <c r="BD1844">
        <v>27</v>
      </c>
      <c r="BE1844">
        <v>404</v>
      </c>
      <c r="BF1844">
        <v>404</v>
      </c>
      <c r="BG1844">
        <v>537</v>
      </c>
      <c r="BJ1844">
        <v>1</v>
      </c>
      <c r="BL1844" t="s">
        <v>3847</v>
      </c>
      <c r="BM1844" s="4">
        <v>43283.192384259259</v>
      </c>
      <c r="BN1844" s="4">
        <v>43283.209050925929</v>
      </c>
      <c r="BO1844" s="4">
        <v>43283.209050925929</v>
      </c>
      <c r="BP1844" t="s">
        <v>92</v>
      </c>
      <c r="BQ1844" t="s">
        <v>93</v>
      </c>
      <c r="BR1844" t="s">
        <v>94</v>
      </c>
    </row>
    <row r="1845" spans="1:70" x14ac:dyDescent="0.3">
      <c r="A1845" t="str">
        <f>"201087C0200"</f>
        <v>201087C0200</v>
      </c>
      <c r="B1845" t="s">
        <v>3848</v>
      </c>
      <c r="C1845">
        <v>20</v>
      </c>
      <c r="D1845" t="s">
        <v>88</v>
      </c>
      <c r="E1845">
        <v>183</v>
      </c>
      <c r="F1845" t="s">
        <v>3830</v>
      </c>
      <c r="G1845">
        <v>1087</v>
      </c>
      <c r="H1845">
        <v>2</v>
      </c>
      <c r="I1845" t="s">
        <v>98</v>
      </c>
      <c r="J1845">
        <v>0</v>
      </c>
      <c r="K1845">
        <v>2</v>
      </c>
      <c r="L1845">
        <v>5</v>
      </c>
      <c r="M1845">
        <v>166</v>
      </c>
      <c r="N1845">
        <v>388</v>
      </c>
      <c r="O1845">
        <v>2</v>
      </c>
      <c r="P1845" t="s">
        <v>105</v>
      </c>
      <c r="Q1845">
        <v>24</v>
      </c>
      <c r="R1845">
        <v>33</v>
      </c>
      <c r="S1845">
        <v>7</v>
      </c>
      <c r="T1845">
        <v>134</v>
      </c>
      <c r="U1845">
        <v>6</v>
      </c>
      <c r="V1845">
        <v>10</v>
      </c>
      <c r="W1845">
        <v>16</v>
      </c>
      <c r="X1845">
        <v>54</v>
      </c>
      <c r="Y1845">
        <v>55</v>
      </c>
      <c r="Z1845">
        <v>4</v>
      </c>
      <c r="AA1845">
        <v>14</v>
      </c>
      <c r="AB1845">
        <v>8</v>
      </c>
      <c r="AC1845">
        <v>1</v>
      </c>
      <c r="AD1845">
        <v>0</v>
      </c>
      <c r="AE1845">
        <v>1</v>
      </c>
      <c r="AF1845">
        <v>1</v>
      </c>
      <c r="AK1845">
        <v>2</v>
      </c>
      <c r="AL1845">
        <v>1</v>
      </c>
      <c r="AM1845">
        <v>0</v>
      </c>
      <c r="AN1845">
        <v>1</v>
      </c>
      <c r="BC1845">
        <v>0</v>
      </c>
      <c r="BD1845">
        <v>13</v>
      </c>
      <c r="BE1845">
        <v>388</v>
      </c>
      <c r="BF1845">
        <v>385</v>
      </c>
      <c r="BG1845">
        <v>537</v>
      </c>
      <c r="BJ1845">
        <v>1</v>
      </c>
      <c r="BL1845" t="s">
        <v>3849</v>
      </c>
      <c r="BM1845" s="4">
        <v>43283.191840277781</v>
      </c>
      <c r="BN1845" s="4">
        <v>43283.209409722222</v>
      </c>
      <c r="BO1845" s="4">
        <v>43283.209409722222</v>
      </c>
      <c r="BP1845" t="s">
        <v>92</v>
      </c>
      <c r="BQ1845" t="s">
        <v>93</v>
      </c>
      <c r="BR1845" t="s">
        <v>94</v>
      </c>
    </row>
    <row r="1846" spans="1:70" x14ac:dyDescent="0.3">
      <c r="A1846" t="str">
        <f>"201088B0100"</f>
        <v>201088B0100</v>
      </c>
      <c r="B1846" t="s">
        <v>3850</v>
      </c>
      <c r="C1846">
        <v>20</v>
      </c>
      <c r="D1846" t="s">
        <v>88</v>
      </c>
      <c r="E1846">
        <v>183</v>
      </c>
      <c r="F1846" t="s">
        <v>3830</v>
      </c>
      <c r="G1846">
        <v>1088</v>
      </c>
      <c r="H1846">
        <v>1</v>
      </c>
      <c r="I1846" t="s">
        <v>90</v>
      </c>
      <c r="J1846">
        <v>0</v>
      </c>
      <c r="K1846">
        <v>2</v>
      </c>
      <c r="L1846">
        <v>5</v>
      </c>
      <c r="M1846">
        <v>201</v>
      </c>
      <c r="N1846">
        <v>408</v>
      </c>
      <c r="O1846">
        <v>2</v>
      </c>
      <c r="P1846">
        <v>408</v>
      </c>
      <c r="Q1846">
        <v>31</v>
      </c>
      <c r="R1846">
        <v>67</v>
      </c>
      <c r="S1846">
        <v>5</v>
      </c>
      <c r="T1846">
        <v>43</v>
      </c>
      <c r="U1846">
        <v>27</v>
      </c>
      <c r="V1846">
        <v>7</v>
      </c>
      <c r="W1846">
        <v>3</v>
      </c>
      <c r="X1846">
        <v>117</v>
      </c>
      <c r="Y1846">
        <v>83</v>
      </c>
      <c r="Z1846">
        <v>3</v>
      </c>
      <c r="AA1846">
        <v>2</v>
      </c>
      <c r="AB1846">
        <v>2</v>
      </c>
      <c r="AC1846">
        <v>2</v>
      </c>
      <c r="AD1846">
        <v>0</v>
      </c>
      <c r="AE1846">
        <v>0</v>
      </c>
      <c r="AF1846">
        <v>0</v>
      </c>
      <c r="AK1846">
        <v>1</v>
      </c>
      <c r="AL1846">
        <v>0</v>
      </c>
      <c r="AM1846">
        <v>0</v>
      </c>
      <c r="AN1846">
        <v>1</v>
      </c>
      <c r="BC1846">
        <v>0</v>
      </c>
      <c r="BD1846">
        <v>13</v>
      </c>
      <c r="BE1846">
        <v>408</v>
      </c>
      <c r="BF1846">
        <v>407</v>
      </c>
      <c r="BG1846">
        <v>587</v>
      </c>
      <c r="BJ1846">
        <v>1</v>
      </c>
      <c r="BL1846" t="s">
        <v>3851</v>
      </c>
      <c r="BM1846" s="4">
        <v>43283.138321759259</v>
      </c>
      <c r="BN1846" s="4">
        <v>43283.142800925925</v>
      </c>
      <c r="BO1846" s="4">
        <v>43283.142800925925</v>
      </c>
      <c r="BP1846" t="s">
        <v>92</v>
      </c>
      <c r="BQ1846" t="s">
        <v>93</v>
      </c>
      <c r="BR1846" t="s">
        <v>94</v>
      </c>
    </row>
    <row r="1847" spans="1:70" x14ac:dyDescent="0.3">
      <c r="A1847" t="str">
        <f>"201088C0100"</f>
        <v>201088C0100</v>
      </c>
      <c r="B1847" t="s">
        <v>3852</v>
      </c>
      <c r="C1847">
        <v>20</v>
      </c>
      <c r="D1847" t="s">
        <v>88</v>
      </c>
      <c r="E1847">
        <v>183</v>
      </c>
      <c r="F1847" t="s">
        <v>3830</v>
      </c>
      <c r="G1847">
        <v>1088</v>
      </c>
      <c r="H1847">
        <v>1</v>
      </c>
      <c r="I1847" t="s">
        <v>98</v>
      </c>
      <c r="J1847">
        <v>0</v>
      </c>
      <c r="K1847">
        <v>2</v>
      </c>
      <c r="L1847">
        <v>5</v>
      </c>
      <c r="M1847">
        <v>190</v>
      </c>
      <c r="N1847">
        <v>420</v>
      </c>
      <c r="O1847">
        <v>1</v>
      </c>
      <c r="P1847">
        <v>420</v>
      </c>
      <c r="Q1847">
        <v>28</v>
      </c>
      <c r="R1847">
        <v>46</v>
      </c>
      <c r="S1847">
        <v>3</v>
      </c>
      <c r="T1847">
        <v>39</v>
      </c>
      <c r="U1847">
        <v>25</v>
      </c>
      <c r="V1847">
        <v>9</v>
      </c>
      <c r="W1847">
        <v>3</v>
      </c>
      <c r="X1847">
        <v>101</v>
      </c>
      <c r="Y1847">
        <v>132</v>
      </c>
      <c r="Z1847">
        <v>6</v>
      </c>
      <c r="AA1847">
        <v>4</v>
      </c>
      <c r="AB1847">
        <v>0</v>
      </c>
      <c r="AC1847">
        <v>2</v>
      </c>
      <c r="AD1847">
        <v>1</v>
      </c>
      <c r="AE1847">
        <v>0</v>
      </c>
      <c r="AF1847">
        <v>0</v>
      </c>
      <c r="AK1847">
        <v>0</v>
      </c>
      <c r="AL1847">
        <v>0</v>
      </c>
      <c r="AM1847">
        <v>1</v>
      </c>
      <c r="AN1847">
        <v>1</v>
      </c>
      <c r="BC1847">
        <v>0</v>
      </c>
      <c r="BD1847">
        <v>19</v>
      </c>
      <c r="BE1847">
        <v>420</v>
      </c>
      <c r="BF1847">
        <v>420</v>
      </c>
      <c r="BG1847">
        <v>587</v>
      </c>
      <c r="BJ1847">
        <v>1</v>
      </c>
      <c r="BL1847" t="s">
        <v>3853</v>
      </c>
      <c r="BM1847" s="4">
        <v>43283.139490740738</v>
      </c>
      <c r="BN1847" s="4">
        <v>43283.143472222226</v>
      </c>
      <c r="BO1847" s="4">
        <v>43283.143472222226</v>
      </c>
      <c r="BP1847" t="s">
        <v>92</v>
      </c>
      <c r="BQ1847" t="s">
        <v>93</v>
      </c>
      <c r="BR1847" t="s">
        <v>94</v>
      </c>
    </row>
    <row r="1848" spans="1:70" x14ac:dyDescent="0.3">
      <c r="A1848" t="str">
        <f>"201088E0100"</f>
        <v>201088E0100</v>
      </c>
      <c r="B1848" s="2" t="s">
        <v>3854</v>
      </c>
      <c r="C1848">
        <v>20</v>
      </c>
      <c r="D1848" t="s">
        <v>88</v>
      </c>
      <c r="E1848">
        <v>183</v>
      </c>
      <c r="F1848" t="s">
        <v>3830</v>
      </c>
      <c r="G1848">
        <v>1088</v>
      </c>
      <c r="H1848">
        <v>1</v>
      </c>
      <c r="I1848" t="s">
        <v>156</v>
      </c>
      <c r="J1848">
        <v>0</v>
      </c>
      <c r="K1848">
        <v>2</v>
      </c>
      <c r="L1848">
        <v>5</v>
      </c>
      <c r="M1848">
        <v>59</v>
      </c>
      <c r="N1848">
        <v>142</v>
      </c>
      <c r="O1848">
        <v>5</v>
      </c>
      <c r="P1848">
        <v>142</v>
      </c>
      <c r="Q1848">
        <v>18</v>
      </c>
      <c r="R1848">
        <v>15</v>
      </c>
      <c r="S1848">
        <v>4</v>
      </c>
      <c r="T1848">
        <v>27</v>
      </c>
      <c r="U1848">
        <v>5</v>
      </c>
      <c r="V1848">
        <v>3</v>
      </c>
      <c r="W1848">
        <v>3</v>
      </c>
      <c r="X1848">
        <v>33</v>
      </c>
      <c r="Y1848">
        <v>10</v>
      </c>
      <c r="Z1848">
        <v>7</v>
      </c>
      <c r="AA1848">
        <v>2</v>
      </c>
      <c r="AB1848">
        <v>0</v>
      </c>
      <c r="AC1848">
        <v>0</v>
      </c>
      <c r="AD1848">
        <v>0</v>
      </c>
      <c r="AE1848">
        <v>0</v>
      </c>
      <c r="AF1848">
        <v>0</v>
      </c>
      <c r="AK1848">
        <v>5</v>
      </c>
      <c r="AL1848">
        <v>0</v>
      </c>
      <c r="AM1848">
        <v>0</v>
      </c>
      <c r="AN1848">
        <v>0</v>
      </c>
      <c r="BC1848">
        <v>0</v>
      </c>
      <c r="BD1848">
        <v>3</v>
      </c>
      <c r="BE1848">
        <v>142</v>
      </c>
      <c r="BF1848">
        <v>135</v>
      </c>
      <c r="BG1848">
        <v>179</v>
      </c>
      <c r="BJ1848">
        <v>1</v>
      </c>
      <c r="BL1848" t="s">
        <v>3855</v>
      </c>
      <c r="BM1848" s="4">
        <v>43283.137476851851</v>
      </c>
      <c r="BN1848" s="4">
        <v>43283.142650462964</v>
      </c>
      <c r="BO1848" s="4">
        <v>43283.142650462964</v>
      </c>
      <c r="BP1848" t="s">
        <v>92</v>
      </c>
      <c r="BQ1848" t="s">
        <v>93</v>
      </c>
      <c r="BR1848" t="s">
        <v>94</v>
      </c>
    </row>
    <row r="1849" spans="1:70" x14ac:dyDescent="0.3">
      <c r="A1849" t="str">
        <f>"201089B0100"</f>
        <v>201089B0100</v>
      </c>
      <c r="B1849" t="s">
        <v>3856</v>
      </c>
      <c r="C1849">
        <v>20</v>
      </c>
      <c r="D1849" t="s">
        <v>88</v>
      </c>
      <c r="E1849">
        <v>183</v>
      </c>
      <c r="F1849" t="s">
        <v>3830</v>
      </c>
      <c r="G1849">
        <v>1089</v>
      </c>
      <c r="H1849">
        <v>1</v>
      </c>
      <c r="I1849" t="s">
        <v>90</v>
      </c>
      <c r="J1849">
        <v>0</v>
      </c>
      <c r="K1849">
        <v>2</v>
      </c>
      <c r="L1849">
        <v>5</v>
      </c>
      <c r="M1849">
        <v>233</v>
      </c>
      <c r="N1849">
        <v>447</v>
      </c>
      <c r="O1849">
        <v>3</v>
      </c>
      <c r="P1849">
        <v>447</v>
      </c>
      <c r="Q1849">
        <v>15</v>
      </c>
      <c r="R1849">
        <v>92</v>
      </c>
      <c r="S1849">
        <v>11</v>
      </c>
      <c r="T1849">
        <v>18</v>
      </c>
      <c r="U1849">
        <v>27</v>
      </c>
      <c r="V1849">
        <v>4</v>
      </c>
      <c r="W1849">
        <v>4</v>
      </c>
      <c r="X1849">
        <v>116</v>
      </c>
      <c r="Y1849">
        <v>109</v>
      </c>
      <c r="Z1849">
        <v>8</v>
      </c>
      <c r="AA1849">
        <v>9</v>
      </c>
      <c r="AB1849">
        <v>2</v>
      </c>
      <c r="AC1849">
        <v>0</v>
      </c>
      <c r="AD1849">
        <v>1</v>
      </c>
      <c r="AE1849">
        <v>0</v>
      </c>
      <c r="AF1849">
        <v>0</v>
      </c>
      <c r="AK1849">
        <v>4</v>
      </c>
      <c r="AL1849">
        <v>3</v>
      </c>
      <c r="AM1849">
        <v>0</v>
      </c>
      <c r="AN1849">
        <v>0</v>
      </c>
      <c r="BC1849">
        <v>0</v>
      </c>
      <c r="BD1849" t="s">
        <v>127</v>
      </c>
      <c r="BE1849">
        <v>447</v>
      </c>
      <c r="BF1849">
        <v>423</v>
      </c>
      <c r="BG1849">
        <v>658</v>
      </c>
      <c r="BI1849" t="s">
        <v>106</v>
      </c>
      <c r="BJ1849">
        <v>1</v>
      </c>
      <c r="BL1849" t="s">
        <v>3857</v>
      </c>
      <c r="BM1849" s="4">
        <v>43283.138854166667</v>
      </c>
      <c r="BN1849" s="4">
        <v>43283.157060185185</v>
      </c>
      <c r="BO1849" s="4">
        <v>43283.157060185185</v>
      </c>
      <c r="BP1849" t="s">
        <v>92</v>
      </c>
      <c r="BQ1849" t="s">
        <v>93</v>
      </c>
      <c r="BR1849" t="s">
        <v>94</v>
      </c>
    </row>
    <row r="1850" spans="1:70" x14ac:dyDescent="0.3">
      <c r="A1850" t="str">
        <f>"201089C0100"</f>
        <v>201089C0100</v>
      </c>
      <c r="B1850" t="s">
        <v>3858</v>
      </c>
      <c r="C1850">
        <v>20</v>
      </c>
      <c r="D1850" t="s">
        <v>88</v>
      </c>
      <c r="E1850">
        <v>183</v>
      </c>
      <c r="F1850" t="s">
        <v>3830</v>
      </c>
      <c r="G1850">
        <v>1089</v>
      </c>
      <c r="H1850">
        <v>1</v>
      </c>
      <c r="I1850" t="s">
        <v>98</v>
      </c>
      <c r="J1850">
        <v>0</v>
      </c>
      <c r="K1850">
        <v>2</v>
      </c>
      <c r="L1850">
        <v>5</v>
      </c>
      <c r="M1850">
        <v>205</v>
      </c>
      <c r="N1850" t="s">
        <v>127</v>
      </c>
      <c r="O1850" t="s">
        <v>127</v>
      </c>
      <c r="P1850" t="s">
        <v>127</v>
      </c>
      <c r="Q1850">
        <v>34</v>
      </c>
      <c r="R1850">
        <v>69</v>
      </c>
      <c r="S1850">
        <v>6</v>
      </c>
      <c r="T1850">
        <v>31</v>
      </c>
      <c r="U1850">
        <v>39</v>
      </c>
      <c r="V1850">
        <v>8</v>
      </c>
      <c r="W1850">
        <v>9</v>
      </c>
      <c r="X1850">
        <v>142</v>
      </c>
      <c r="Y1850">
        <v>80</v>
      </c>
      <c r="Z1850">
        <v>8</v>
      </c>
      <c r="AA1850">
        <v>7</v>
      </c>
      <c r="AB1850">
        <v>7</v>
      </c>
      <c r="AC1850">
        <v>6</v>
      </c>
      <c r="AD1850" t="s">
        <v>105</v>
      </c>
      <c r="AE1850" t="s">
        <v>105</v>
      </c>
      <c r="AF1850" t="s">
        <v>105</v>
      </c>
      <c r="AK1850" t="s">
        <v>105</v>
      </c>
      <c r="AL1850">
        <v>3</v>
      </c>
      <c r="AM1850" t="s">
        <v>105</v>
      </c>
      <c r="AN1850" t="s">
        <v>105</v>
      </c>
      <c r="BC1850" t="s">
        <v>105</v>
      </c>
      <c r="BD1850">
        <v>26</v>
      </c>
      <c r="BE1850">
        <v>475</v>
      </c>
      <c r="BF1850">
        <v>475</v>
      </c>
      <c r="BG1850">
        <v>658</v>
      </c>
      <c r="BI1850" t="s">
        <v>106</v>
      </c>
      <c r="BJ1850">
        <v>1</v>
      </c>
      <c r="BL1850" t="s">
        <v>3859</v>
      </c>
      <c r="BM1850" s="4">
        <v>43283.140092592592</v>
      </c>
      <c r="BN1850" s="4">
        <v>43283.158935185187</v>
      </c>
      <c r="BO1850" s="4">
        <v>43283.158935185187</v>
      </c>
      <c r="BP1850" t="s">
        <v>92</v>
      </c>
      <c r="BQ1850" t="s">
        <v>93</v>
      </c>
      <c r="BR1850" t="s">
        <v>94</v>
      </c>
    </row>
    <row r="1851" spans="1:70" x14ac:dyDescent="0.3">
      <c r="A1851" t="str">
        <f>"201090B0100"</f>
        <v>201090B0100</v>
      </c>
      <c r="B1851" t="s">
        <v>3860</v>
      </c>
      <c r="C1851">
        <v>20</v>
      </c>
      <c r="D1851" t="s">
        <v>88</v>
      </c>
      <c r="E1851">
        <v>183</v>
      </c>
      <c r="F1851" t="s">
        <v>3830</v>
      </c>
      <c r="G1851">
        <v>1090</v>
      </c>
      <c r="H1851">
        <v>1</v>
      </c>
      <c r="I1851" t="s">
        <v>90</v>
      </c>
      <c r="J1851">
        <v>0</v>
      </c>
      <c r="K1851">
        <v>2</v>
      </c>
      <c r="L1851">
        <v>5</v>
      </c>
      <c r="M1851">
        <v>138</v>
      </c>
      <c r="N1851">
        <v>297</v>
      </c>
      <c r="O1851">
        <v>3</v>
      </c>
      <c r="P1851">
        <v>297</v>
      </c>
      <c r="Q1851">
        <v>26</v>
      </c>
      <c r="R1851">
        <v>35</v>
      </c>
      <c r="S1851">
        <v>2</v>
      </c>
      <c r="T1851">
        <v>120</v>
      </c>
      <c r="U1851">
        <v>10</v>
      </c>
      <c r="V1851">
        <v>6</v>
      </c>
      <c r="W1851">
        <v>8</v>
      </c>
      <c r="X1851">
        <v>16</v>
      </c>
      <c r="Y1851">
        <v>44</v>
      </c>
      <c r="Z1851">
        <v>10</v>
      </c>
      <c r="AA1851">
        <v>4</v>
      </c>
      <c r="AB1851">
        <v>1</v>
      </c>
      <c r="AC1851">
        <v>0</v>
      </c>
      <c r="AD1851">
        <v>0</v>
      </c>
      <c r="AE1851">
        <v>1</v>
      </c>
      <c r="AF1851">
        <v>0</v>
      </c>
      <c r="AK1851">
        <v>3</v>
      </c>
      <c r="AL1851">
        <v>0</v>
      </c>
      <c r="AM1851">
        <v>1</v>
      </c>
      <c r="AN1851">
        <v>0</v>
      </c>
      <c r="BC1851">
        <v>0</v>
      </c>
      <c r="BD1851">
        <v>10</v>
      </c>
      <c r="BE1851">
        <v>297</v>
      </c>
      <c r="BF1851">
        <v>297</v>
      </c>
      <c r="BG1851">
        <v>413</v>
      </c>
      <c r="BJ1851">
        <v>1</v>
      </c>
      <c r="BL1851" t="s">
        <v>3861</v>
      </c>
      <c r="BM1851" s="4">
        <v>43283.082604166666</v>
      </c>
      <c r="BN1851" s="4">
        <v>43283.086365740739</v>
      </c>
      <c r="BO1851" s="4">
        <v>43283.086365740739</v>
      </c>
      <c r="BP1851" t="s">
        <v>92</v>
      </c>
      <c r="BQ1851" t="s">
        <v>93</v>
      </c>
      <c r="BR1851" t="s">
        <v>94</v>
      </c>
    </row>
    <row r="1852" spans="1:70" x14ac:dyDescent="0.3">
      <c r="A1852" t="str">
        <f>"201090C0100"</f>
        <v>201090C0100</v>
      </c>
      <c r="B1852" t="s">
        <v>3862</v>
      </c>
      <c r="C1852">
        <v>20</v>
      </c>
      <c r="D1852" t="s">
        <v>88</v>
      </c>
      <c r="E1852">
        <v>183</v>
      </c>
      <c r="F1852" t="s">
        <v>3830</v>
      </c>
      <c r="G1852">
        <v>1090</v>
      </c>
      <c r="H1852">
        <v>1</v>
      </c>
      <c r="I1852" t="s">
        <v>98</v>
      </c>
      <c r="J1852">
        <v>0</v>
      </c>
      <c r="K1852">
        <v>2</v>
      </c>
      <c r="L1852">
        <v>5</v>
      </c>
      <c r="M1852">
        <v>152</v>
      </c>
      <c r="N1852">
        <v>283</v>
      </c>
      <c r="O1852">
        <v>2</v>
      </c>
      <c r="P1852">
        <v>283</v>
      </c>
      <c r="Q1852">
        <v>17</v>
      </c>
      <c r="R1852">
        <v>46</v>
      </c>
      <c r="S1852">
        <v>0</v>
      </c>
      <c r="T1852">
        <v>112</v>
      </c>
      <c r="U1852">
        <v>5</v>
      </c>
      <c r="V1852">
        <v>4</v>
      </c>
      <c r="W1852">
        <v>6</v>
      </c>
      <c r="X1852">
        <v>16</v>
      </c>
      <c r="Y1852">
        <v>41</v>
      </c>
      <c r="Z1852">
        <v>6</v>
      </c>
      <c r="AA1852">
        <v>2</v>
      </c>
      <c r="AB1852">
        <v>1</v>
      </c>
      <c r="AC1852">
        <v>0</v>
      </c>
      <c r="AD1852">
        <v>0</v>
      </c>
      <c r="AE1852">
        <v>1</v>
      </c>
      <c r="AF1852">
        <v>0</v>
      </c>
      <c r="AK1852">
        <v>2</v>
      </c>
      <c r="AL1852">
        <v>1</v>
      </c>
      <c r="AM1852">
        <v>0</v>
      </c>
      <c r="AN1852">
        <v>2</v>
      </c>
      <c r="BC1852">
        <v>0</v>
      </c>
      <c r="BD1852">
        <v>21</v>
      </c>
      <c r="BE1852">
        <v>283</v>
      </c>
      <c r="BF1852">
        <v>283</v>
      </c>
      <c r="BG1852">
        <v>413</v>
      </c>
      <c r="BJ1852">
        <v>1</v>
      </c>
      <c r="BL1852" t="s">
        <v>3863</v>
      </c>
      <c r="BM1852" s="4">
        <v>43283.085613425923</v>
      </c>
      <c r="BN1852" s="4">
        <v>43283.092037037037</v>
      </c>
      <c r="BO1852" s="4">
        <v>43283.092037037037</v>
      </c>
      <c r="BP1852" t="s">
        <v>92</v>
      </c>
      <c r="BQ1852" t="s">
        <v>93</v>
      </c>
      <c r="BR1852" t="s">
        <v>94</v>
      </c>
    </row>
    <row r="1853" spans="1:70" x14ac:dyDescent="0.3">
      <c r="A1853" t="str">
        <f>"201090E0100"</f>
        <v>201090E0100</v>
      </c>
      <c r="B1853" s="2" t="s">
        <v>3864</v>
      </c>
      <c r="C1853">
        <v>20</v>
      </c>
      <c r="D1853" t="s">
        <v>88</v>
      </c>
      <c r="E1853">
        <v>183</v>
      </c>
      <c r="F1853" t="s">
        <v>3830</v>
      </c>
      <c r="G1853">
        <v>1090</v>
      </c>
      <c r="H1853">
        <v>1</v>
      </c>
      <c r="I1853" t="s">
        <v>156</v>
      </c>
      <c r="J1853">
        <v>0</v>
      </c>
      <c r="K1853">
        <v>2</v>
      </c>
      <c r="L1853">
        <v>5</v>
      </c>
      <c r="M1853">
        <v>163</v>
      </c>
      <c r="N1853">
        <v>398</v>
      </c>
      <c r="O1853">
        <v>3</v>
      </c>
      <c r="P1853">
        <v>398</v>
      </c>
      <c r="Q1853">
        <v>31</v>
      </c>
      <c r="R1853">
        <v>51</v>
      </c>
      <c r="S1853">
        <v>3</v>
      </c>
      <c r="T1853">
        <v>167</v>
      </c>
      <c r="U1853">
        <v>17</v>
      </c>
      <c r="V1853">
        <v>5</v>
      </c>
      <c r="W1853">
        <v>17</v>
      </c>
      <c r="X1853">
        <v>21</v>
      </c>
      <c r="Y1853">
        <v>41</v>
      </c>
      <c r="Z1853">
        <v>3</v>
      </c>
      <c r="AA1853">
        <v>4</v>
      </c>
      <c r="AB1853">
        <v>1</v>
      </c>
      <c r="AC1853">
        <v>0</v>
      </c>
      <c r="AD1853">
        <v>0</v>
      </c>
      <c r="AE1853">
        <v>1</v>
      </c>
      <c r="AF1853">
        <v>0</v>
      </c>
      <c r="AK1853">
        <v>1</v>
      </c>
      <c r="AL1853">
        <v>1</v>
      </c>
      <c r="AM1853">
        <v>0</v>
      </c>
      <c r="AN1853">
        <v>0</v>
      </c>
      <c r="BC1853">
        <v>0</v>
      </c>
      <c r="BD1853">
        <v>34</v>
      </c>
      <c r="BE1853">
        <v>398</v>
      </c>
      <c r="BF1853">
        <v>398</v>
      </c>
      <c r="BG1853">
        <v>541</v>
      </c>
      <c r="BJ1853">
        <v>1</v>
      </c>
      <c r="BL1853" t="s">
        <v>3865</v>
      </c>
      <c r="BM1853" s="4">
        <v>43283.044039351851</v>
      </c>
      <c r="BN1853" s="4">
        <v>43283.049097222225</v>
      </c>
      <c r="BO1853" s="4">
        <v>43283.049097222225</v>
      </c>
      <c r="BP1853" t="s">
        <v>92</v>
      </c>
      <c r="BQ1853" t="s">
        <v>93</v>
      </c>
      <c r="BR1853" t="s">
        <v>94</v>
      </c>
    </row>
    <row r="1854" spans="1:70" x14ac:dyDescent="0.3">
      <c r="A1854" t="str">
        <f>"201091B0100"</f>
        <v>201091B0100</v>
      </c>
      <c r="B1854" t="s">
        <v>3866</v>
      </c>
      <c r="C1854">
        <v>20</v>
      </c>
      <c r="D1854" t="s">
        <v>88</v>
      </c>
      <c r="E1854">
        <v>183</v>
      </c>
      <c r="F1854" t="s">
        <v>3830</v>
      </c>
      <c r="G1854">
        <v>1091</v>
      </c>
      <c r="H1854">
        <v>1</v>
      </c>
      <c r="I1854" t="s">
        <v>90</v>
      </c>
      <c r="J1854">
        <v>0</v>
      </c>
      <c r="K1854">
        <v>2</v>
      </c>
      <c r="L1854">
        <v>5</v>
      </c>
      <c r="M1854">
        <v>212</v>
      </c>
      <c r="N1854">
        <v>325</v>
      </c>
      <c r="O1854">
        <v>0</v>
      </c>
      <c r="P1854">
        <v>0</v>
      </c>
      <c r="Q1854">
        <v>38</v>
      </c>
      <c r="R1854">
        <v>15</v>
      </c>
      <c r="S1854">
        <v>2</v>
      </c>
      <c r="T1854">
        <v>31</v>
      </c>
      <c r="U1854">
        <v>22</v>
      </c>
      <c r="V1854">
        <v>8</v>
      </c>
      <c r="W1854">
        <v>4</v>
      </c>
      <c r="X1854">
        <v>71</v>
      </c>
      <c r="Y1854">
        <v>76</v>
      </c>
      <c r="Z1854">
        <v>9</v>
      </c>
      <c r="AA1854">
        <v>14</v>
      </c>
      <c r="AB1854">
        <v>3</v>
      </c>
      <c r="AC1854">
        <v>0</v>
      </c>
      <c r="AD1854">
        <v>0</v>
      </c>
      <c r="AE1854">
        <v>1</v>
      </c>
      <c r="AF1854">
        <v>0</v>
      </c>
      <c r="AK1854">
        <v>5</v>
      </c>
      <c r="AL1854">
        <v>2</v>
      </c>
      <c r="AM1854">
        <v>0</v>
      </c>
      <c r="AN1854">
        <v>1</v>
      </c>
      <c r="BC1854">
        <v>0</v>
      </c>
      <c r="BD1854">
        <v>25</v>
      </c>
      <c r="BE1854">
        <v>325</v>
      </c>
      <c r="BF1854">
        <v>327</v>
      </c>
      <c r="BG1854">
        <v>515</v>
      </c>
      <c r="BJ1854">
        <v>1</v>
      </c>
      <c r="BL1854" t="s">
        <v>3867</v>
      </c>
      <c r="BM1854" s="4">
        <v>43283.177488425928</v>
      </c>
      <c r="BN1854" s="4">
        <v>43283.20071759259</v>
      </c>
      <c r="BO1854" s="4">
        <v>43283.20071759259</v>
      </c>
      <c r="BP1854" t="s">
        <v>92</v>
      </c>
      <c r="BQ1854" t="s">
        <v>93</v>
      </c>
      <c r="BR1854" t="s">
        <v>94</v>
      </c>
    </row>
    <row r="1855" spans="1:70" x14ac:dyDescent="0.3">
      <c r="A1855" t="str">
        <f>"201091C0100"</f>
        <v>201091C0100</v>
      </c>
      <c r="B1855" t="s">
        <v>3868</v>
      </c>
      <c r="C1855">
        <v>20</v>
      </c>
      <c r="D1855" t="s">
        <v>88</v>
      </c>
      <c r="E1855">
        <v>183</v>
      </c>
      <c r="F1855" t="s">
        <v>3830</v>
      </c>
      <c r="G1855">
        <v>1091</v>
      </c>
      <c r="H1855">
        <v>1</v>
      </c>
      <c r="I1855" t="s">
        <v>98</v>
      </c>
      <c r="J1855">
        <v>0</v>
      </c>
      <c r="K1855">
        <v>2</v>
      </c>
      <c r="L1855">
        <v>5</v>
      </c>
      <c r="M1855">
        <v>192</v>
      </c>
      <c r="N1855">
        <v>344</v>
      </c>
      <c r="O1855">
        <v>2</v>
      </c>
      <c r="P1855">
        <v>344</v>
      </c>
      <c r="Q1855">
        <v>24</v>
      </c>
      <c r="R1855">
        <v>16</v>
      </c>
      <c r="S1855">
        <v>2</v>
      </c>
      <c r="T1855">
        <v>29</v>
      </c>
      <c r="U1855">
        <v>19</v>
      </c>
      <c r="V1855">
        <v>2</v>
      </c>
      <c r="W1855">
        <v>10</v>
      </c>
      <c r="X1855">
        <v>81</v>
      </c>
      <c r="Y1855">
        <v>88</v>
      </c>
      <c r="Z1855">
        <v>14</v>
      </c>
      <c r="AA1855">
        <v>10</v>
      </c>
      <c r="AB1855">
        <v>8</v>
      </c>
      <c r="AC1855">
        <v>1</v>
      </c>
      <c r="AD1855">
        <v>0</v>
      </c>
      <c r="AE1855">
        <v>0</v>
      </c>
      <c r="AF1855">
        <v>0</v>
      </c>
      <c r="AK1855">
        <v>15</v>
      </c>
      <c r="AL1855">
        <v>0</v>
      </c>
      <c r="AM1855">
        <v>1</v>
      </c>
      <c r="AN1855">
        <v>0</v>
      </c>
      <c r="BC1855">
        <v>0</v>
      </c>
      <c r="BD1855">
        <v>24</v>
      </c>
      <c r="BE1855">
        <v>344</v>
      </c>
      <c r="BF1855">
        <v>344</v>
      </c>
      <c r="BG1855">
        <v>514</v>
      </c>
      <c r="BJ1855">
        <v>1</v>
      </c>
      <c r="BL1855" t="s">
        <v>3869</v>
      </c>
      <c r="BM1855" s="4">
        <v>43283.176006944443</v>
      </c>
      <c r="BN1855" s="4">
        <v>43283.191458333335</v>
      </c>
      <c r="BO1855" s="4">
        <v>43283.191458333335</v>
      </c>
      <c r="BP1855" t="s">
        <v>92</v>
      </c>
      <c r="BQ1855" t="s">
        <v>93</v>
      </c>
      <c r="BR1855" t="s">
        <v>94</v>
      </c>
    </row>
    <row r="1856" spans="1:70" x14ac:dyDescent="0.3">
      <c r="A1856" t="str">
        <f>"201091E0100"</f>
        <v>201091E0100</v>
      </c>
      <c r="B1856" s="2" t="s">
        <v>3870</v>
      </c>
      <c r="C1856">
        <v>20</v>
      </c>
      <c r="D1856" t="s">
        <v>88</v>
      </c>
      <c r="E1856">
        <v>183</v>
      </c>
      <c r="F1856" t="s">
        <v>3830</v>
      </c>
      <c r="G1856">
        <v>1091</v>
      </c>
      <c r="H1856">
        <v>1</v>
      </c>
      <c r="I1856" t="s">
        <v>156</v>
      </c>
      <c r="J1856">
        <v>0</v>
      </c>
      <c r="K1856">
        <v>2</v>
      </c>
      <c r="L1856">
        <v>5</v>
      </c>
      <c r="M1856">
        <v>104</v>
      </c>
      <c r="N1856">
        <v>286</v>
      </c>
      <c r="O1856">
        <v>4</v>
      </c>
      <c r="P1856">
        <v>286</v>
      </c>
      <c r="Q1856">
        <v>49</v>
      </c>
      <c r="R1856">
        <v>13</v>
      </c>
      <c r="S1856">
        <v>7</v>
      </c>
      <c r="T1856">
        <v>26</v>
      </c>
      <c r="U1856">
        <v>15</v>
      </c>
      <c r="V1856">
        <v>6</v>
      </c>
      <c r="W1856">
        <v>1</v>
      </c>
      <c r="X1856">
        <v>62</v>
      </c>
      <c r="Y1856">
        <v>70</v>
      </c>
      <c r="Z1856">
        <v>10</v>
      </c>
      <c r="AA1856">
        <v>0</v>
      </c>
      <c r="AB1856">
        <v>2</v>
      </c>
      <c r="AC1856">
        <v>1</v>
      </c>
      <c r="AD1856">
        <v>0</v>
      </c>
      <c r="AE1856">
        <v>0</v>
      </c>
      <c r="AF1856">
        <v>0</v>
      </c>
      <c r="AK1856">
        <v>2</v>
      </c>
      <c r="AL1856">
        <v>1</v>
      </c>
      <c r="AM1856">
        <v>0</v>
      </c>
      <c r="AN1856">
        <v>0</v>
      </c>
      <c r="BC1856">
        <v>0</v>
      </c>
      <c r="BD1856">
        <v>21</v>
      </c>
      <c r="BE1856">
        <v>286</v>
      </c>
      <c r="BF1856">
        <v>286</v>
      </c>
      <c r="BG1856">
        <v>368</v>
      </c>
      <c r="BJ1856">
        <v>1</v>
      </c>
      <c r="BL1856" t="s">
        <v>3871</v>
      </c>
      <c r="BM1856" s="4">
        <v>43283.183530092596</v>
      </c>
      <c r="BN1856" s="4">
        <v>43283.199675925927</v>
      </c>
      <c r="BO1856" s="4">
        <v>43283.199675925927</v>
      </c>
      <c r="BP1856" t="s">
        <v>92</v>
      </c>
      <c r="BQ1856" t="s">
        <v>93</v>
      </c>
      <c r="BR1856" t="s">
        <v>254</v>
      </c>
    </row>
    <row r="1857" spans="1:70" x14ac:dyDescent="0.3">
      <c r="A1857" t="str">
        <f>"201092B0100"</f>
        <v>201092B0100</v>
      </c>
      <c r="B1857" t="s">
        <v>3872</v>
      </c>
      <c r="C1857">
        <v>20</v>
      </c>
      <c r="D1857" t="s">
        <v>88</v>
      </c>
      <c r="E1857">
        <v>183</v>
      </c>
      <c r="F1857" t="s">
        <v>3830</v>
      </c>
      <c r="G1857">
        <v>1092</v>
      </c>
      <c r="H1857">
        <v>1</v>
      </c>
      <c r="I1857" t="s">
        <v>90</v>
      </c>
      <c r="J1857">
        <v>0</v>
      </c>
      <c r="K1857">
        <v>2</v>
      </c>
      <c r="L1857">
        <v>5</v>
      </c>
      <c r="M1857">
        <v>168</v>
      </c>
      <c r="N1857">
        <v>346</v>
      </c>
      <c r="O1857">
        <v>2</v>
      </c>
      <c r="P1857">
        <v>346</v>
      </c>
      <c r="Q1857">
        <v>55</v>
      </c>
      <c r="R1857">
        <v>54</v>
      </c>
      <c r="S1857">
        <v>8</v>
      </c>
      <c r="T1857">
        <v>47</v>
      </c>
      <c r="U1857">
        <v>31</v>
      </c>
      <c r="V1857">
        <v>7</v>
      </c>
      <c r="W1857">
        <v>1</v>
      </c>
      <c r="X1857">
        <v>32</v>
      </c>
      <c r="Y1857">
        <v>57</v>
      </c>
      <c r="Z1857">
        <v>7</v>
      </c>
      <c r="AA1857">
        <v>3</v>
      </c>
      <c r="AB1857">
        <v>0</v>
      </c>
      <c r="AC1857">
        <v>4</v>
      </c>
      <c r="AD1857">
        <v>0</v>
      </c>
      <c r="AE1857">
        <v>2</v>
      </c>
      <c r="AF1857">
        <v>0</v>
      </c>
      <c r="AK1857">
        <v>4</v>
      </c>
      <c r="AL1857">
        <v>1</v>
      </c>
      <c r="AM1857">
        <v>0</v>
      </c>
      <c r="AN1857">
        <v>0</v>
      </c>
      <c r="BC1857">
        <v>0</v>
      </c>
      <c r="BD1857">
        <v>33</v>
      </c>
      <c r="BE1857">
        <v>346</v>
      </c>
      <c r="BF1857">
        <v>346</v>
      </c>
      <c r="BG1857">
        <v>492</v>
      </c>
      <c r="BJ1857">
        <v>1</v>
      </c>
      <c r="BL1857" t="s">
        <v>3873</v>
      </c>
      <c r="BM1857" s="4">
        <v>43283.248194444444</v>
      </c>
      <c r="BN1857" s="4">
        <v>43283.272615740738</v>
      </c>
      <c r="BO1857" s="4">
        <v>43283.272615740738</v>
      </c>
      <c r="BP1857" t="s">
        <v>92</v>
      </c>
      <c r="BQ1857" t="s">
        <v>93</v>
      </c>
      <c r="BR1857" t="s">
        <v>94</v>
      </c>
    </row>
    <row r="1858" spans="1:70" x14ac:dyDescent="0.3">
      <c r="A1858" t="str">
        <f>"201092E0100"</f>
        <v>201092E0100</v>
      </c>
      <c r="B1858" s="2" t="s">
        <v>3874</v>
      </c>
      <c r="C1858">
        <v>20</v>
      </c>
      <c r="D1858" t="s">
        <v>88</v>
      </c>
      <c r="E1858">
        <v>183</v>
      </c>
      <c r="F1858" t="s">
        <v>3830</v>
      </c>
      <c r="G1858">
        <v>1092</v>
      </c>
      <c r="H1858">
        <v>1</v>
      </c>
      <c r="I1858" t="s">
        <v>156</v>
      </c>
      <c r="J1858">
        <v>0</v>
      </c>
      <c r="K1858">
        <v>2</v>
      </c>
      <c r="L1858">
        <v>5</v>
      </c>
      <c r="M1858">
        <v>108</v>
      </c>
      <c r="N1858">
        <v>277</v>
      </c>
      <c r="O1858">
        <v>0</v>
      </c>
      <c r="P1858">
        <v>277</v>
      </c>
      <c r="Q1858">
        <v>29</v>
      </c>
      <c r="R1858">
        <v>8</v>
      </c>
      <c r="S1858">
        <v>7</v>
      </c>
      <c r="T1858">
        <v>5</v>
      </c>
      <c r="U1858">
        <v>42</v>
      </c>
      <c r="V1858">
        <v>4</v>
      </c>
      <c r="W1858">
        <v>0</v>
      </c>
      <c r="X1858">
        <v>35</v>
      </c>
      <c r="Y1858">
        <v>115</v>
      </c>
      <c r="Z1858">
        <v>3</v>
      </c>
      <c r="AA1858">
        <v>4</v>
      </c>
      <c r="AB1858">
        <v>9</v>
      </c>
      <c r="AC1858">
        <v>3</v>
      </c>
      <c r="AD1858">
        <v>0</v>
      </c>
      <c r="AE1858">
        <v>1</v>
      </c>
      <c r="AF1858">
        <v>0</v>
      </c>
      <c r="AK1858">
        <v>1</v>
      </c>
      <c r="AL1858">
        <v>1</v>
      </c>
      <c r="AM1858">
        <v>0</v>
      </c>
      <c r="AN1858">
        <v>0</v>
      </c>
      <c r="BC1858">
        <v>0</v>
      </c>
      <c r="BD1858">
        <v>10</v>
      </c>
      <c r="BE1858">
        <v>277</v>
      </c>
      <c r="BF1858">
        <v>277</v>
      </c>
      <c r="BG1858">
        <v>364</v>
      </c>
      <c r="BJ1858">
        <v>1</v>
      </c>
      <c r="BL1858" t="s">
        <v>3875</v>
      </c>
      <c r="BM1858" s="4">
        <v>43283.17496527778</v>
      </c>
      <c r="BN1858" s="4">
        <v>43283.188726851855</v>
      </c>
      <c r="BO1858" s="4">
        <v>43283.188726851855</v>
      </c>
      <c r="BP1858" t="s">
        <v>92</v>
      </c>
      <c r="BQ1858" t="s">
        <v>93</v>
      </c>
      <c r="BR1858" t="s">
        <v>94</v>
      </c>
    </row>
    <row r="1859" spans="1:70" x14ac:dyDescent="0.3">
      <c r="A1859" t="str">
        <f>"201093B0100"</f>
        <v>201093B0100</v>
      </c>
      <c r="B1859" t="s">
        <v>3876</v>
      </c>
      <c r="C1859">
        <v>20</v>
      </c>
      <c r="D1859" t="s">
        <v>88</v>
      </c>
      <c r="E1859">
        <v>183</v>
      </c>
      <c r="F1859" t="s">
        <v>3830</v>
      </c>
      <c r="G1859">
        <v>1093</v>
      </c>
      <c r="H1859">
        <v>1</v>
      </c>
      <c r="I1859" t="s">
        <v>90</v>
      </c>
      <c r="J1859">
        <v>0</v>
      </c>
      <c r="K1859">
        <v>2</v>
      </c>
      <c r="L1859">
        <v>5</v>
      </c>
      <c r="M1859">
        <v>273</v>
      </c>
      <c r="N1859">
        <v>489</v>
      </c>
      <c r="O1859">
        <v>4</v>
      </c>
      <c r="P1859">
        <v>489</v>
      </c>
      <c r="Q1859">
        <v>17</v>
      </c>
      <c r="R1859">
        <v>13</v>
      </c>
      <c r="S1859">
        <v>18</v>
      </c>
      <c r="T1859">
        <v>52</v>
      </c>
      <c r="U1859">
        <v>37</v>
      </c>
      <c r="V1859">
        <v>9</v>
      </c>
      <c r="W1859">
        <v>14</v>
      </c>
      <c r="X1859">
        <v>55</v>
      </c>
      <c r="Y1859">
        <v>78</v>
      </c>
      <c r="Z1859">
        <v>4</v>
      </c>
      <c r="AA1859">
        <v>5</v>
      </c>
      <c r="AB1859">
        <v>124</v>
      </c>
      <c r="AC1859">
        <v>1</v>
      </c>
      <c r="AD1859">
        <v>0</v>
      </c>
      <c r="AE1859">
        <v>0</v>
      </c>
      <c r="AF1859">
        <v>0</v>
      </c>
      <c r="AK1859">
        <v>2</v>
      </c>
      <c r="AL1859">
        <v>1</v>
      </c>
      <c r="AM1859">
        <v>0</v>
      </c>
      <c r="AN1859">
        <v>2</v>
      </c>
      <c r="BC1859">
        <v>0</v>
      </c>
      <c r="BD1859">
        <v>57</v>
      </c>
      <c r="BE1859">
        <v>489</v>
      </c>
      <c r="BF1859">
        <v>489</v>
      </c>
      <c r="BG1859">
        <v>740</v>
      </c>
      <c r="BJ1859">
        <v>1</v>
      </c>
      <c r="BL1859" t="s">
        <v>3877</v>
      </c>
      <c r="BM1859" s="4">
        <v>43283.066203703704</v>
      </c>
      <c r="BN1859" s="4">
        <v>43283.071192129632</v>
      </c>
      <c r="BO1859" s="4">
        <v>43283.071192129632</v>
      </c>
      <c r="BP1859" t="s">
        <v>92</v>
      </c>
      <c r="BQ1859" t="s">
        <v>93</v>
      </c>
      <c r="BR1859" t="s">
        <v>94</v>
      </c>
    </row>
    <row r="1860" spans="1:70" x14ac:dyDescent="0.3">
      <c r="A1860" t="str">
        <f>"201094B0100"</f>
        <v>201094B0100</v>
      </c>
      <c r="B1860" t="s">
        <v>3878</v>
      </c>
      <c r="C1860">
        <v>20</v>
      </c>
      <c r="D1860" t="s">
        <v>88</v>
      </c>
      <c r="E1860">
        <v>183</v>
      </c>
      <c r="F1860" t="s">
        <v>3830</v>
      </c>
      <c r="G1860">
        <v>1094</v>
      </c>
      <c r="H1860">
        <v>1</v>
      </c>
      <c r="I1860" t="s">
        <v>90</v>
      </c>
      <c r="J1860">
        <v>0</v>
      </c>
      <c r="K1860">
        <v>2</v>
      </c>
      <c r="L1860">
        <v>5</v>
      </c>
      <c r="M1860">
        <v>134</v>
      </c>
      <c r="N1860">
        <v>539</v>
      </c>
      <c r="O1860">
        <v>0</v>
      </c>
      <c r="P1860" t="s">
        <v>127</v>
      </c>
      <c r="Q1860">
        <v>19</v>
      </c>
      <c r="R1860">
        <v>58</v>
      </c>
      <c r="S1860">
        <v>5</v>
      </c>
      <c r="T1860">
        <v>68</v>
      </c>
      <c r="U1860">
        <v>17</v>
      </c>
      <c r="V1860">
        <v>7</v>
      </c>
      <c r="W1860">
        <v>8</v>
      </c>
      <c r="X1860">
        <v>51</v>
      </c>
      <c r="Y1860">
        <v>130</v>
      </c>
      <c r="Z1860">
        <v>22</v>
      </c>
      <c r="AA1860">
        <v>4</v>
      </c>
      <c r="AB1860">
        <v>1</v>
      </c>
      <c r="AC1860">
        <v>0</v>
      </c>
      <c r="AD1860">
        <v>2</v>
      </c>
      <c r="AE1860">
        <v>0</v>
      </c>
      <c r="AF1860">
        <v>0</v>
      </c>
      <c r="AK1860">
        <v>3</v>
      </c>
      <c r="AL1860">
        <v>1</v>
      </c>
      <c r="AM1860">
        <v>0</v>
      </c>
      <c r="AN1860">
        <v>0</v>
      </c>
      <c r="BC1860">
        <v>2</v>
      </c>
      <c r="BD1860">
        <v>6</v>
      </c>
      <c r="BE1860">
        <v>404</v>
      </c>
      <c r="BF1860">
        <v>404</v>
      </c>
      <c r="BG1860">
        <v>517</v>
      </c>
      <c r="BJ1860">
        <v>1</v>
      </c>
      <c r="BL1860" t="s">
        <v>3879</v>
      </c>
      <c r="BM1860" s="4">
        <v>43283.161226851851</v>
      </c>
      <c r="BN1860" s="4">
        <v>43283.17328703704</v>
      </c>
      <c r="BO1860" s="4">
        <v>43283.17328703704</v>
      </c>
      <c r="BP1860" t="s">
        <v>92</v>
      </c>
      <c r="BQ1860" t="s">
        <v>93</v>
      </c>
      <c r="BR1860" t="s">
        <v>254</v>
      </c>
    </row>
    <row r="1861" spans="1:70" x14ac:dyDescent="0.3">
      <c r="A1861" t="str">
        <f>"201094C0100"</f>
        <v>201094C0100</v>
      </c>
      <c r="B1861" t="s">
        <v>3880</v>
      </c>
      <c r="C1861">
        <v>20</v>
      </c>
      <c r="D1861" t="s">
        <v>88</v>
      </c>
      <c r="E1861">
        <v>183</v>
      </c>
      <c r="F1861" t="s">
        <v>3830</v>
      </c>
      <c r="G1861">
        <v>1094</v>
      </c>
      <c r="H1861">
        <v>1</v>
      </c>
      <c r="I1861" t="s">
        <v>98</v>
      </c>
      <c r="J1861">
        <v>0</v>
      </c>
      <c r="K1861">
        <v>2</v>
      </c>
      <c r="L1861">
        <v>5</v>
      </c>
      <c r="M1861" t="s">
        <v>127</v>
      </c>
      <c r="N1861">
        <v>410</v>
      </c>
      <c r="O1861">
        <v>1</v>
      </c>
      <c r="P1861" t="s">
        <v>105</v>
      </c>
      <c r="Q1861">
        <v>12</v>
      </c>
      <c r="R1861">
        <v>64</v>
      </c>
      <c r="S1861">
        <v>5</v>
      </c>
      <c r="T1861">
        <v>84</v>
      </c>
      <c r="U1861">
        <v>23</v>
      </c>
      <c r="V1861">
        <v>6</v>
      </c>
      <c r="W1861">
        <v>10</v>
      </c>
      <c r="X1861">
        <v>38</v>
      </c>
      <c r="Y1861">
        <v>121</v>
      </c>
      <c r="Z1861">
        <v>17</v>
      </c>
      <c r="AA1861">
        <v>3</v>
      </c>
      <c r="AB1861">
        <v>3</v>
      </c>
      <c r="AC1861">
        <v>0</v>
      </c>
      <c r="AD1861">
        <v>0</v>
      </c>
      <c r="AE1861">
        <v>0</v>
      </c>
      <c r="AF1861">
        <v>0</v>
      </c>
      <c r="AK1861">
        <v>4</v>
      </c>
      <c r="AL1861">
        <v>0</v>
      </c>
      <c r="AM1861">
        <v>0</v>
      </c>
      <c r="AN1861">
        <v>1</v>
      </c>
      <c r="BC1861">
        <v>0</v>
      </c>
      <c r="BD1861">
        <v>20</v>
      </c>
      <c r="BE1861" t="s">
        <v>105</v>
      </c>
      <c r="BF1861">
        <v>411</v>
      </c>
      <c r="BG1861">
        <v>517</v>
      </c>
      <c r="BJ1861">
        <v>1</v>
      </c>
      <c r="BL1861" t="s">
        <v>3881</v>
      </c>
      <c r="BM1861" s="4">
        <v>43283.157557870371</v>
      </c>
      <c r="BN1861" s="4">
        <v>43283.180567129632</v>
      </c>
      <c r="BO1861" s="4">
        <v>43283.180567129632</v>
      </c>
      <c r="BP1861" t="s">
        <v>92</v>
      </c>
      <c r="BQ1861" t="s">
        <v>93</v>
      </c>
      <c r="BR1861" t="s">
        <v>94</v>
      </c>
    </row>
    <row r="1862" spans="1:70" x14ac:dyDescent="0.3">
      <c r="A1862" t="str">
        <f>"201095B0100"</f>
        <v>201095B0100</v>
      </c>
      <c r="B1862" t="s">
        <v>3882</v>
      </c>
      <c r="C1862">
        <v>20</v>
      </c>
      <c r="D1862" t="s">
        <v>88</v>
      </c>
      <c r="E1862">
        <v>183</v>
      </c>
      <c r="F1862" t="s">
        <v>3830</v>
      </c>
      <c r="G1862">
        <v>1095</v>
      </c>
      <c r="H1862">
        <v>1</v>
      </c>
      <c r="I1862" t="s">
        <v>90</v>
      </c>
      <c r="J1862">
        <v>0</v>
      </c>
      <c r="K1862">
        <v>2</v>
      </c>
      <c r="L1862">
        <v>5</v>
      </c>
      <c r="M1862" t="s">
        <v>127</v>
      </c>
      <c r="N1862">
        <v>612</v>
      </c>
      <c r="O1862">
        <v>0</v>
      </c>
      <c r="P1862">
        <v>431</v>
      </c>
      <c r="Q1862">
        <v>44</v>
      </c>
      <c r="R1862">
        <v>32</v>
      </c>
      <c r="S1862">
        <v>4</v>
      </c>
      <c r="T1862">
        <v>66</v>
      </c>
      <c r="U1862">
        <v>13</v>
      </c>
      <c r="V1862">
        <v>6</v>
      </c>
      <c r="W1862">
        <v>16</v>
      </c>
      <c r="X1862">
        <v>81</v>
      </c>
      <c r="Y1862">
        <v>104</v>
      </c>
      <c r="Z1862">
        <v>10</v>
      </c>
      <c r="AA1862">
        <v>17</v>
      </c>
      <c r="AB1862">
        <v>6</v>
      </c>
      <c r="AC1862">
        <v>2</v>
      </c>
      <c r="AD1862" t="s">
        <v>105</v>
      </c>
      <c r="AE1862" t="s">
        <v>105</v>
      </c>
      <c r="AF1862" t="s">
        <v>105</v>
      </c>
      <c r="AK1862">
        <v>7</v>
      </c>
      <c r="AL1862">
        <v>2</v>
      </c>
      <c r="AM1862">
        <v>1</v>
      </c>
      <c r="AN1862">
        <v>1</v>
      </c>
      <c r="BC1862" t="s">
        <v>105</v>
      </c>
      <c r="BD1862">
        <v>20</v>
      </c>
      <c r="BE1862">
        <v>431</v>
      </c>
      <c r="BF1862">
        <v>432</v>
      </c>
      <c r="BG1862">
        <v>590</v>
      </c>
      <c r="BI1862" t="s">
        <v>106</v>
      </c>
      <c r="BJ1862">
        <v>1</v>
      </c>
      <c r="BL1862" t="s">
        <v>3883</v>
      </c>
      <c r="BM1862" s="4">
        <v>43283.127928240741</v>
      </c>
      <c r="BN1862" s="4">
        <v>43283.132418981484</v>
      </c>
      <c r="BO1862" s="4">
        <v>43283.132418981484</v>
      </c>
      <c r="BP1862" t="s">
        <v>92</v>
      </c>
      <c r="BQ1862" t="s">
        <v>93</v>
      </c>
      <c r="BR1862" t="s">
        <v>94</v>
      </c>
    </row>
    <row r="1863" spans="1:70" x14ac:dyDescent="0.3">
      <c r="A1863" t="str">
        <f>"201095E0100"</f>
        <v>201095E0100</v>
      </c>
      <c r="B1863" s="2" t="s">
        <v>3884</v>
      </c>
      <c r="C1863">
        <v>20</v>
      </c>
      <c r="D1863" t="s">
        <v>88</v>
      </c>
      <c r="E1863">
        <v>183</v>
      </c>
      <c r="F1863" t="s">
        <v>3830</v>
      </c>
      <c r="G1863">
        <v>1095</v>
      </c>
      <c r="H1863">
        <v>1</v>
      </c>
      <c r="I1863" t="s">
        <v>156</v>
      </c>
      <c r="J1863">
        <v>0</v>
      </c>
      <c r="K1863">
        <v>2</v>
      </c>
      <c r="L1863">
        <v>5</v>
      </c>
      <c r="M1863">
        <v>144</v>
      </c>
      <c r="N1863">
        <v>219</v>
      </c>
      <c r="O1863">
        <v>7</v>
      </c>
      <c r="P1863">
        <v>219</v>
      </c>
      <c r="Q1863">
        <v>29</v>
      </c>
      <c r="R1863">
        <v>13</v>
      </c>
      <c r="S1863">
        <v>3</v>
      </c>
      <c r="T1863">
        <v>18</v>
      </c>
      <c r="U1863">
        <v>9</v>
      </c>
      <c r="V1863">
        <v>2</v>
      </c>
      <c r="W1863">
        <v>1</v>
      </c>
      <c r="X1863">
        <v>14</v>
      </c>
      <c r="Y1863">
        <v>102</v>
      </c>
      <c r="Z1863">
        <v>3</v>
      </c>
      <c r="AA1863">
        <v>0</v>
      </c>
      <c r="AB1863">
        <v>0</v>
      </c>
      <c r="AC1863">
        <v>1</v>
      </c>
      <c r="AD1863">
        <v>0</v>
      </c>
      <c r="AE1863">
        <v>1</v>
      </c>
      <c r="AF1863">
        <v>0</v>
      </c>
      <c r="AK1863">
        <v>0</v>
      </c>
      <c r="AL1863">
        <v>1</v>
      </c>
      <c r="AM1863">
        <v>0</v>
      </c>
      <c r="AN1863">
        <v>0</v>
      </c>
      <c r="BC1863">
        <v>0</v>
      </c>
      <c r="BD1863">
        <v>21</v>
      </c>
      <c r="BE1863">
        <v>218</v>
      </c>
      <c r="BF1863">
        <v>218</v>
      </c>
      <c r="BG1863">
        <v>341</v>
      </c>
      <c r="BJ1863">
        <v>1</v>
      </c>
      <c r="BL1863" s="2" t="s">
        <v>3885</v>
      </c>
      <c r="BM1863" s="4">
        <v>43283.134629629632</v>
      </c>
      <c r="BN1863" s="4">
        <v>43283.138888888891</v>
      </c>
      <c r="BO1863" s="4">
        <v>43283.138888888891</v>
      </c>
      <c r="BP1863" t="s">
        <v>92</v>
      </c>
      <c r="BQ1863" t="s">
        <v>93</v>
      </c>
      <c r="BR1863" t="s">
        <v>254</v>
      </c>
    </row>
    <row r="1864" spans="1:70" x14ac:dyDescent="0.3">
      <c r="A1864" t="str">
        <f>"201095E0200"</f>
        <v>201095E0200</v>
      </c>
      <c r="B1864" s="2" t="s">
        <v>3886</v>
      </c>
      <c r="C1864">
        <v>20</v>
      </c>
      <c r="D1864" t="s">
        <v>88</v>
      </c>
      <c r="E1864">
        <v>183</v>
      </c>
      <c r="F1864" t="s">
        <v>3830</v>
      </c>
      <c r="G1864">
        <v>1095</v>
      </c>
      <c r="H1864">
        <v>2</v>
      </c>
      <c r="I1864" t="s">
        <v>156</v>
      </c>
      <c r="J1864">
        <v>0</v>
      </c>
      <c r="K1864">
        <v>2</v>
      </c>
      <c r="L1864">
        <v>5</v>
      </c>
      <c r="M1864">
        <v>105</v>
      </c>
      <c r="N1864">
        <v>202</v>
      </c>
      <c r="O1864">
        <v>3</v>
      </c>
      <c r="P1864">
        <v>202</v>
      </c>
      <c r="Q1864">
        <v>13</v>
      </c>
      <c r="R1864">
        <v>10</v>
      </c>
      <c r="S1864">
        <v>0</v>
      </c>
      <c r="T1864">
        <v>10</v>
      </c>
      <c r="U1864">
        <v>30</v>
      </c>
      <c r="V1864">
        <v>1</v>
      </c>
      <c r="W1864">
        <v>0</v>
      </c>
      <c r="X1864">
        <v>8</v>
      </c>
      <c r="Y1864">
        <v>91</v>
      </c>
      <c r="Z1864">
        <v>17</v>
      </c>
      <c r="AA1864">
        <v>3</v>
      </c>
      <c r="AB1864">
        <v>3</v>
      </c>
      <c r="AC1864">
        <v>0</v>
      </c>
      <c r="AD1864">
        <v>0</v>
      </c>
      <c r="AE1864">
        <v>0</v>
      </c>
      <c r="AF1864">
        <v>0</v>
      </c>
      <c r="AK1864">
        <v>5</v>
      </c>
      <c r="AL1864">
        <v>2</v>
      </c>
      <c r="AM1864">
        <v>0</v>
      </c>
      <c r="AN1864">
        <v>1</v>
      </c>
      <c r="BC1864">
        <v>0</v>
      </c>
      <c r="BD1864">
        <v>6</v>
      </c>
      <c r="BE1864">
        <v>200</v>
      </c>
      <c r="BF1864">
        <v>200</v>
      </c>
      <c r="BG1864">
        <v>285</v>
      </c>
      <c r="BJ1864">
        <v>1</v>
      </c>
      <c r="BL1864" t="s">
        <v>3887</v>
      </c>
      <c r="BM1864" s="4">
        <v>43283.126689814817</v>
      </c>
      <c r="BN1864" s="4">
        <v>43283.129953703705</v>
      </c>
      <c r="BO1864" s="4">
        <v>43283.129953703705</v>
      </c>
      <c r="BP1864" t="s">
        <v>92</v>
      </c>
      <c r="BQ1864" t="s">
        <v>93</v>
      </c>
      <c r="BR1864" t="s">
        <v>94</v>
      </c>
    </row>
    <row r="1865" spans="1:70" x14ac:dyDescent="0.3">
      <c r="A1865" t="str">
        <f>"201096B0100"</f>
        <v>201096B0100</v>
      </c>
      <c r="B1865" t="s">
        <v>3888</v>
      </c>
      <c r="C1865">
        <v>20</v>
      </c>
      <c r="D1865" t="s">
        <v>88</v>
      </c>
      <c r="E1865">
        <v>183</v>
      </c>
      <c r="F1865" t="s">
        <v>3830</v>
      </c>
      <c r="G1865">
        <v>1096</v>
      </c>
      <c r="H1865">
        <v>1</v>
      </c>
      <c r="I1865" t="s">
        <v>90</v>
      </c>
      <c r="J1865">
        <v>0</v>
      </c>
      <c r="K1865">
        <v>2</v>
      </c>
      <c r="L1865">
        <v>5</v>
      </c>
      <c r="M1865">
        <v>154</v>
      </c>
      <c r="N1865">
        <v>490</v>
      </c>
      <c r="O1865">
        <v>0</v>
      </c>
      <c r="P1865">
        <v>490</v>
      </c>
      <c r="Q1865">
        <v>25</v>
      </c>
      <c r="R1865">
        <v>61</v>
      </c>
      <c r="S1865">
        <v>8</v>
      </c>
      <c r="T1865">
        <v>85</v>
      </c>
      <c r="U1865">
        <v>21</v>
      </c>
      <c r="V1865">
        <v>20</v>
      </c>
      <c r="W1865">
        <v>5</v>
      </c>
      <c r="X1865">
        <v>128</v>
      </c>
      <c r="Y1865">
        <v>93</v>
      </c>
      <c r="Z1865">
        <v>7</v>
      </c>
      <c r="AA1865">
        <v>3</v>
      </c>
      <c r="AB1865">
        <v>1</v>
      </c>
      <c r="AC1865">
        <v>2</v>
      </c>
      <c r="AD1865">
        <v>0</v>
      </c>
      <c r="AE1865">
        <v>0</v>
      </c>
      <c r="AF1865">
        <v>0</v>
      </c>
      <c r="AK1865">
        <v>2</v>
      </c>
      <c r="AL1865">
        <v>0</v>
      </c>
      <c r="AM1865">
        <v>1</v>
      </c>
      <c r="AN1865">
        <v>1</v>
      </c>
      <c r="BC1865">
        <v>0</v>
      </c>
      <c r="BD1865">
        <v>26</v>
      </c>
      <c r="BE1865">
        <v>490</v>
      </c>
      <c r="BF1865">
        <v>489</v>
      </c>
      <c r="BG1865">
        <v>622</v>
      </c>
      <c r="BJ1865">
        <v>1</v>
      </c>
      <c r="BL1865" t="s">
        <v>3889</v>
      </c>
      <c r="BM1865" s="4">
        <v>43283.084629629629</v>
      </c>
      <c r="BN1865" s="4">
        <v>43283.087488425925</v>
      </c>
      <c r="BO1865" s="4">
        <v>43283.087488425925</v>
      </c>
      <c r="BP1865" t="s">
        <v>92</v>
      </c>
      <c r="BQ1865" t="s">
        <v>93</v>
      </c>
      <c r="BR1865" t="s">
        <v>94</v>
      </c>
    </row>
    <row r="1866" spans="1:70" x14ac:dyDescent="0.3">
      <c r="A1866" t="str">
        <f>"201097B0100"</f>
        <v>201097B0100</v>
      </c>
      <c r="B1866" t="s">
        <v>3890</v>
      </c>
      <c r="C1866">
        <v>20</v>
      </c>
      <c r="D1866" t="s">
        <v>88</v>
      </c>
      <c r="E1866">
        <v>183</v>
      </c>
      <c r="F1866" t="s">
        <v>3830</v>
      </c>
      <c r="G1866">
        <v>1097</v>
      </c>
      <c r="H1866">
        <v>1</v>
      </c>
      <c r="I1866" t="s">
        <v>90</v>
      </c>
      <c r="J1866">
        <v>0</v>
      </c>
      <c r="K1866">
        <v>2</v>
      </c>
      <c r="L1866">
        <v>5</v>
      </c>
      <c r="M1866">
        <v>148</v>
      </c>
      <c r="N1866">
        <v>438</v>
      </c>
      <c r="O1866">
        <v>0</v>
      </c>
      <c r="P1866">
        <v>438</v>
      </c>
      <c r="Q1866">
        <v>51</v>
      </c>
      <c r="R1866">
        <v>85</v>
      </c>
      <c r="S1866">
        <v>7</v>
      </c>
      <c r="T1866">
        <v>56</v>
      </c>
      <c r="U1866">
        <v>30</v>
      </c>
      <c r="V1866">
        <v>3</v>
      </c>
      <c r="W1866">
        <v>8</v>
      </c>
      <c r="X1866">
        <v>36</v>
      </c>
      <c r="Y1866">
        <v>112</v>
      </c>
      <c r="Z1866">
        <v>7</v>
      </c>
      <c r="AA1866">
        <v>4</v>
      </c>
      <c r="AB1866">
        <v>4</v>
      </c>
      <c r="AC1866">
        <v>1</v>
      </c>
      <c r="AD1866">
        <v>0</v>
      </c>
      <c r="AE1866">
        <v>0</v>
      </c>
      <c r="AF1866">
        <v>1</v>
      </c>
      <c r="AK1866">
        <v>4</v>
      </c>
      <c r="AL1866">
        <v>1</v>
      </c>
      <c r="AM1866">
        <v>0</v>
      </c>
      <c r="AN1866">
        <v>0</v>
      </c>
      <c r="BC1866">
        <v>0</v>
      </c>
      <c r="BD1866">
        <v>26</v>
      </c>
      <c r="BE1866">
        <v>438</v>
      </c>
      <c r="BF1866">
        <v>436</v>
      </c>
      <c r="BG1866">
        <v>564</v>
      </c>
      <c r="BJ1866">
        <v>1</v>
      </c>
      <c r="BL1866" t="s">
        <v>3891</v>
      </c>
      <c r="BM1866" s="4">
        <v>43283.068009259259</v>
      </c>
      <c r="BN1866" s="4">
        <v>43283.073101851849</v>
      </c>
      <c r="BO1866" s="4">
        <v>43283.073101851849</v>
      </c>
      <c r="BP1866" t="s">
        <v>92</v>
      </c>
      <c r="BQ1866" t="s">
        <v>93</v>
      </c>
      <c r="BR1866" t="s">
        <v>94</v>
      </c>
    </row>
    <row r="1867" spans="1:70" x14ac:dyDescent="0.3">
      <c r="A1867" t="str">
        <f>"201098B0100"</f>
        <v>201098B0100</v>
      </c>
      <c r="B1867" t="s">
        <v>3892</v>
      </c>
      <c r="C1867">
        <v>20</v>
      </c>
      <c r="D1867" t="s">
        <v>88</v>
      </c>
      <c r="E1867">
        <v>183</v>
      </c>
      <c r="F1867" t="s">
        <v>3830</v>
      </c>
      <c r="G1867">
        <v>1098</v>
      </c>
      <c r="H1867">
        <v>1</v>
      </c>
      <c r="I1867" t="s">
        <v>90</v>
      </c>
      <c r="J1867">
        <v>0</v>
      </c>
      <c r="K1867">
        <v>2</v>
      </c>
      <c r="L1867">
        <v>5</v>
      </c>
      <c r="M1867">
        <v>174</v>
      </c>
      <c r="N1867">
        <v>479</v>
      </c>
      <c r="O1867">
        <v>2</v>
      </c>
      <c r="P1867">
        <v>479</v>
      </c>
      <c r="Q1867">
        <v>13</v>
      </c>
      <c r="R1867">
        <v>31</v>
      </c>
      <c r="S1867">
        <v>4</v>
      </c>
      <c r="T1867">
        <v>66</v>
      </c>
      <c r="U1867">
        <v>39</v>
      </c>
      <c r="V1867">
        <v>5</v>
      </c>
      <c r="W1867">
        <v>5</v>
      </c>
      <c r="X1867">
        <v>63</v>
      </c>
      <c r="Y1867">
        <v>177</v>
      </c>
      <c r="Z1867">
        <v>28</v>
      </c>
      <c r="AA1867">
        <v>0</v>
      </c>
      <c r="AB1867">
        <v>0</v>
      </c>
      <c r="AC1867">
        <v>1</v>
      </c>
      <c r="AD1867">
        <v>0</v>
      </c>
      <c r="AE1867">
        <v>0</v>
      </c>
      <c r="AF1867">
        <v>0</v>
      </c>
      <c r="AK1867">
        <v>13</v>
      </c>
      <c r="AL1867">
        <v>5</v>
      </c>
      <c r="AM1867">
        <v>3</v>
      </c>
      <c r="AN1867">
        <v>5</v>
      </c>
      <c r="BC1867">
        <v>0</v>
      </c>
      <c r="BD1867">
        <v>21</v>
      </c>
      <c r="BE1867">
        <v>479</v>
      </c>
      <c r="BF1867">
        <v>479</v>
      </c>
      <c r="BG1867">
        <v>631</v>
      </c>
      <c r="BJ1867">
        <v>1</v>
      </c>
      <c r="BL1867" t="s">
        <v>3893</v>
      </c>
      <c r="BM1867" s="4">
        <v>43283.083425925928</v>
      </c>
      <c r="BN1867" s="4">
        <v>43283.098321759258</v>
      </c>
      <c r="BO1867" s="4">
        <v>43283.098321759258</v>
      </c>
      <c r="BP1867" t="s">
        <v>92</v>
      </c>
      <c r="BQ1867" t="s">
        <v>93</v>
      </c>
      <c r="BR1867" t="s">
        <v>94</v>
      </c>
    </row>
    <row r="1868" spans="1:70" x14ac:dyDescent="0.3">
      <c r="A1868" t="str">
        <f>"201099B0100"</f>
        <v>201099B0100</v>
      </c>
      <c r="B1868" t="s">
        <v>3894</v>
      </c>
      <c r="C1868">
        <v>20</v>
      </c>
      <c r="D1868" t="s">
        <v>88</v>
      </c>
      <c r="E1868">
        <v>184</v>
      </c>
      <c r="F1868" t="s">
        <v>3895</v>
      </c>
      <c r="G1868">
        <v>1099</v>
      </c>
      <c r="H1868">
        <v>1</v>
      </c>
      <c r="I1868" t="s">
        <v>90</v>
      </c>
      <c r="J1868">
        <v>0</v>
      </c>
      <c r="K1868">
        <v>1</v>
      </c>
      <c r="L1868">
        <v>5</v>
      </c>
      <c r="M1868">
        <v>206</v>
      </c>
      <c r="N1868">
        <v>520</v>
      </c>
      <c r="O1868">
        <v>0</v>
      </c>
      <c r="P1868">
        <v>520</v>
      </c>
      <c r="Q1868">
        <v>215</v>
      </c>
      <c r="R1868">
        <v>52</v>
      </c>
      <c r="T1868">
        <v>0</v>
      </c>
      <c r="U1868">
        <v>1</v>
      </c>
      <c r="V1868">
        <v>3</v>
      </c>
      <c r="W1868">
        <v>16</v>
      </c>
      <c r="X1868">
        <v>0</v>
      </c>
      <c r="Y1868">
        <v>207</v>
      </c>
      <c r="Z1868">
        <v>3</v>
      </c>
      <c r="AA1868">
        <v>4</v>
      </c>
      <c r="AK1868">
        <v>2</v>
      </c>
      <c r="AL1868">
        <v>1</v>
      </c>
      <c r="AM1868">
        <v>0</v>
      </c>
      <c r="AN1868">
        <v>1</v>
      </c>
      <c r="AS1868">
        <v>1</v>
      </c>
      <c r="AT1868">
        <v>0</v>
      </c>
      <c r="AU1868">
        <v>0</v>
      </c>
      <c r="AV1868">
        <v>0</v>
      </c>
      <c r="BC1868">
        <v>0</v>
      </c>
      <c r="BD1868">
        <v>15</v>
      </c>
      <c r="BE1868">
        <v>521</v>
      </c>
      <c r="BF1868">
        <v>521</v>
      </c>
      <c r="BG1868">
        <v>704</v>
      </c>
      <c r="BJ1868">
        <v>1</v>
      </c>
      <c r="BL1868" t="s">
        <v>3896</v>
      </c>
      <c r="BM1868" s="4">
        <v>43283.158333333333</v>
      </c>
      <c r="BN1868" s="4">
        <v>43283.16951388889</v>
      </c>
      <c r="BO1868" s="4">
        <v>43283.16951388889</v>
      </c>
      <c r="BP1868" t="s">
        <v>92</v>
      </c>
      <c r="BQ1868" t="s">
        <v>93</v>
      </c>
      <c r="BR1868" t="s">
        <v>94</v>
      </c>
    </row>
    <row r="1869" spans="1:70" x14ac:dyDescent="0.3">
      <c r="A1869" t="str">
        <f>"201099C0100"</f>
        <v>201099C0100</v>
      </c>
      <c r="B1869" t="s">
        <v>3897</v>
      </c>
      <c r="C1869">
        <v>20</v>
      </c>
      <c r="D1869" t="s">
        <v>88</v>
      </c>
      <c r="E1869">
        <v>184</v>
      </c>
      <c r="F1869" t="s">
        <v>3895</v>
      </c>
      <c r="G1869">
        <v>1099</v>
      </c>
      <c r="H1869">
        <v>1</v>
      </c>
      <c r="I1869" t="s">
        <v>98</v>
      </c>
      <c r="J1869">
        <v>0</v>
      </c>
      <c r="K1869">
        <v>1</v>
      </c>
      <c r="L1869">
        <v>5</v>
      </c>
      <c r="M1869">
        <v>234</v>
      </c>
      <c r="N1869">
        <v>492</v>
      </c>
      <c r="O1869">
        <v>1</v>
      </c>
      <c r="P1869">
        <v>492</v>
      </c>
      <c r="Q1869">
        <v>213</v>
      </c>
      <c r="R1869">
        <v>50</v>
      </c>
      <c r="T1869">
        <v>0</v>
      </c>
      <c r="U1869">
        <v>3</v>
      </c>
      <c r="V1869">
        <v>3</v>
      </c>
      <c r="W1869">
        <v>14</v>
      </c>
      <c r="X1869">
        <v>1</v>
      </c>
      <c r="Y1869">
        <v>175</v>
      </c>
      <c r="Z1869">
        <v>1</v>
      </c>
      <c r="AA1869">
        <v>3</v>
      </c>
      <c r="AK1869">
        <v>2</v>
      </c>
      <c r="AL1869">
        <v>0</v>
      </c>
      <c r="AM1869">
        <v>0</v>
      </c>
      <c r="AN1869">
        <v>1</v>
      </c>
      <c r="AS1869">
        <v>1</v>
      </c>
      <c r="AT1869">
        <v>2</v>
      </c>
      <c r="AU1869">
        <v>0</v>
      </c>
      <c r="AV1869">
        <v>0</v>
      </c>
      <c r="BC1869">
        <v>0</v>
      </c>
      <c r="BD1869">
        <v>22</v>
      </c>
      <c r="BE1869">
        <v>491</v>
      </c>
      <c r="BF1869">
        <v>491</v>
      </c>
      <c r="BG1869">
        <v>704</v>
      </c>
      <c r="BJ1869">
        <v>1</v>
      </c>
      <c r="BL1869" t="s">
        <v>3898</v>
      </c>
      <c r="BM1869" s="4">
        <v>43283.140277777777</v>
      </c>
      <c r="BN1869" s="4">
        <v>43283.146793981483</v>
      </c>
      <c r="BO1869" s="4">
        <v>43283.146793981483</v>
      </c>
      <c r="BP1869" t="s">
        <v>92</v>
      </c>
      <c r="BQ1869" t="s">
        <v>93</v>
      </c>
      <c r="BR1869" t="s">
        <v>94</v>
      </c>
    </row>
    <row r="1870" spans="1:70" x14ac:dyDescent="0.3">
      <c r="A1870" t="str">
        <f>"201100B0100"</f>
        <v>201100B0100</v>
      </c>
      <c r="B1870" t="s">
        <v>3899</v>
      </c>
      <c r="C1870">
        <v>20</v>
      </c>
      <c r="D1870" t="s">
        <v>88</v>
      </c>
      <c r="E1870">
        <v>184</v>
      </c>
      <c r="F1870" t="s">
        <v>3895</v>
      </c>
      <c r="G1870">
        <v>1100</v>
      </c>
      <c r="H1870">
        <v>1</v>
      </c>
      <c r="I1870" t="s">
        <v>90</v>
      </c>
      <c r="J1870">
        <v>0</v>
      </c>
      <c r="K1870">
        <v>2</v>
      </c>
      <c r="L1870">
        <v>5</v>
      </c>
      <c r="M1870">
        <v>159</v>
      </c>
      <c r="N1870">
        <v>455</v>
      </c>
      <c r="O1870">
        <v>8</v>
      </c>
      <c r="P1870">
        <v>454</v>
      </c>
      <c r="Q1870">
        <v>149</v>
      </c>
      <c r="R1870">
        <v>46</v>
      </c>
      <c r="T1870">
        <v>0</v>
      </c>
      <c r="U1870">
        <v>4</v>
      </c>
      <c r="V1870">
        <v>2</v>
      </c>
      <c r="W1870">
        <v>11</v>
      </c>
      <c r="X1870">
        <v>0</v>
      </c>
      <c r="Y1870">
        <v>205</v>
      </c>
      <c r="Z1870">
        <v>1</v>
      </c>
      <c r="AA1870">
        <v>2</v>
      </c>
      <c r="AK1870">
        <v>5</v>
      </c>
      <c r="AL1870">
        <v>2</v>
      </c>
      <c r="AM1870">
        <v>0</v>
      </c>
      <c r="AN1870">
        <v>3</v>
      </c>
      <c r="AS1870">
        <v>2</v>
      </c>
      <c r="AT1870">
        <v>1</v>
      </c>
      <c r="AU1870">
        <v>0</v>
      </c>
      <c r="AV1870">
        <v>0</v>
      </c>
      <c r="BC1870">
        <v>0</v>
      </c>
      <c r="BD1870">
        <v>21</v>
      </c>
      <c r="BE1870">
        <v>454</v>
      </c>
      <c r="BF1870">
        <v>454</v>
      </c>
      <c r="BG1870">
        <v>592</v>
      </c>
      <c r="BJ1870">
        <v>1</v>
      </c>
      <c r="BL1870" t="s">
        <v>3900</v>
      </c>
      <c r="BM1870" s="4">
        <v>43283.21875</v>
      </c>
      <c r="BN1870" s="4">
        <v>43283.247291666667</v>
      </c>
      <c r="BO1870" s="4">
        <v>43283.247291666667</v>
      </c>
      <c r="BP1870" t="s">
        <v>92</v>
      </c>
      <c r="BQ1870" t="s">
        <v>93</v>
      </c>
      <c r="BR1870" t="s">
        <v>94</v>
      </c>
    </row>
    <row r="1871" spans="1:70" x14ac:dyDescent="0.3">
      <c r="A1871" t="str">
        <f>"201100C0100"</f>
        <v>201100C0100</v>
      </c>
      <c r="B1871" t="s">
        <v>3901</v>
      </c>
      <c r="C1871">
        <v>20</v>
      </c>
      <c r="D1871" t="s">
        <v>88</v>
      </c>
      <c r="E1871">
        <v>184</v>
      </c>
      <c r="F1871" t="s">
        <v>3895</v>
      </c>
      <c r="G1871">
        <v>1100</v>
      </c>
      <c r="H1871">
        <v>1</v>
      </c>
      <c r="I1871" t="s">
        <v>98</v>
      </c>
      <c r="J1871">
        <v>0</v>
      </c>
      <c r="K1871">
        <v>2</v>
      </c>
      <c r="L1871">
        <v>5</v>
      </c>
      <c r="M1871">
        <v>212</v>
      </c>
      <c r="N1871">
        <v>402</v>
      </c>
      <c r="O1871">
        <v>0</v>
      </c>
      <c r="P1871">
        <v>399</v>
      </c>
      <c r="Q1871">
        <v>162</v>
      </c>
      <c r="R1871">
        <v>47</v>
      </c>
      <c r="T1871">
        <v>0</v>
      </c>
      <c r="U1871">
        <v>3</v>
      </c>
      <c r="V1871">
        <v>0</v>
      </c>
      <c r="W1871">
        <v>18</v>
      </c>
      <c r="X1871">
        <v>4</v>
      </c>
      <c r="Y1871">
        <v>148</v>
      </c>
      <c r="Z1871">
        <v>2</v>
      </c>
      <c r="AA1871">
        <v>1</v>
      </c>
      <c r="AK1871">
        <v>3</v>
      </c>
      <c r="AL1871">
        <v>1</v>
      </c>
      <c r="AM1871">
        <v>0</v>
      </c>
      <c r="AN1871">
        <v>2</v>
      </c>
      <c r="AS1871">
        <v>0</v>
      </c>
      <c r="AT1871">
        <v>0</v>
      </c>
      <c r="AU1871">
        <v>0</v>
      </c>
      <c r="AV1871">
        <v>0</v>
      </c>
      <c r="BC1871">
        <v>0</v>
      </c>
      <c r="BD1871">
        <v>8</v>
      </c>
      <c r="BE1871">
        <v>399</v>
      </c>
      <c r="BF1871">
        <v>399</v>
      </c>
      <c r="BG1871">
        <v>592</v>
      </c>
      <c r="BJ1871">
        <v>1</v>
      </c>
      <c r="BL1871" t="s">
        <v>3902</v>
      </c>
      <c r="BM1871" s="4">
        <v>43283.283333333333</v>
      </c>
      <c r="BN1871" s="4">
        <v>43283.312743055554</v>
      </c>
      <c r="BO1871" s="4">
        <v>43283.312743055554</v>
      </c>
      <c r="BP1871" t="s">
        <v>92</v>
      </c>
      <c r="BQ1871" t="s">
        <v>93</v>
      </c>
      <c r="BR1871" t="s">
        <v>94</v>
      </c>
    </row>
    <row r="1872" spans="1:70" x14ac:dyDescent="0.3">
      <c r="A1872" t="str">
        <f>"201100C0200"</f>
        <v>201100C0200</v>
      </c>
      <c r="B1872" t="s">
        <v>3903</v>
      </c>
      <c r="C1872">
        <v>20</v>
      </c>
      <c r="D1872" t="s">
        <v>88</v>
      </c>
      <c r="E1872">
        <v>184</v>
      </c>
      <c r="F1872" t="s">
        <v>3895</v>
      </c>
      <c r="G1872">
        <v>1100</v>
      </c>
      <c r="H1872">
        <v>2</v>
      </c>
      <c r="I1872" t="s">
        <v>98</v>
      </c>
      <c r="J1872">
        <v>0</v>
      </c>
      <c r="K1872">
        <v>2</v>
      </c>
      <c r="L1872">
        <v>5</v>
      </c>
      <c r="M1872">
        <v>163</v>
      </c>
      <c r="N1872">
        <v>450</v>
      </c>
      <c r="O1872">
        <v>0</v>
      </c>
      <c r="P1872">
        <v>465</v>
      </c>
      <c r="Q1872">
        <v>173</v>
      </c>
      <c r="R1872">
        <v>49</v>
      </c>
      <c r="T1872">
        <v>0</v>
      </c>
      <c r="U1872">
        <v>2</v>
      </c>
      <c r="V1872">
        <v>4</v>
      </c>
      <c r="W1872">
        <v>11</v>
      </c>
      <c r="X1872">
        <v>0</v>
      </c>
      <c r="Y1872">
        <v>212</v>
      </c>
      <c r="Z1872">
        <v>2</v>
      </c>
      <c r="AA1872">
        <v>3</v>
      </c>
      <c r="AK1872">
        <v>2</v>
      </c>
      <c r="AL1872">
        <v>0</v>
      </c>
      <c r="AM1872">
        <v>0</v>
      </c>
      <c r="AN1872">
        <v>1</v>
      </c>
      <c r="AS1872">
        <v>1</v>
      </c>
      <c r="AT1872">
        <v>1</v>
      </c>
      <c r="AU1872">
        <v>0</v>
      </c>
      <c r="AV1872">
        <v>0</v>
      </c>
      <c r="BC1872">
        <v>0</v>
      </c>
      <c r="BD1872">
        <v>4</v>
      </c>
      <c r="BE1872">
        <v>465</v>
      </c>
      <c r="BF1872">
        <v>465</v>
      </c>
      <c r="BG1872">
        <v>591</v>
      </c>
      <c r="BJ1872">
        <v>1</v>
      </c>
      <c r="BL1872" t="s">
        <v>3904</v>
      </c>
      <c r="BM1872" s="4">
        <v>43283.22152777778</v>
      </c>
      <c r="BN1872" s="4">
        <v>43283.246331018519</v>
      </c>
      <c r="BO1872" s="4">
        <v>43283.246331018519</v>
      </c>
      <c r="BP1872" t="s">
        <v>92</v>
      </c>
      <c r="BQ1872" t="s">
        <v>93</v>
      </c>
      <c r="BR1872" t="s">
        <v>94</v>
      </c>
    </row>
    <row r="1873" spans="1:70" x14ac:dyDescent="0.3">
      <c r="A1873" t="str">
        <f>"201101B0100"</f>
        <v>201101B0100</v>
      </c>
      <c r="B1873" t="s">
        <v>3905</v>
      </c>
      <c r="C1873">
        <v>20</v>
      </c>
      <c r="D1873" t="s">
        <v>88</v>
      </c>
      <c r="E1873">
        <v>184</v>
      </c>
      <c r="F1873" t="s">
        <v>3895</v>
      </c>
      <c r="G1873">
        <v>1101</v>
      </c>
      <c r="H1873">
        <v>1</v>
      </c>
      <c r="I1873" t="s">
        <v>90</v>
      </c>
      <c r="J1873">
        <v>0</v>
      </c>
      <c r="K1873">
        <v>2</v>
      </c>
      <c r="L1873">
        <v>5</v>
      </c>
      <c r="M1873">
        <v>109</v>
      </c>
      <c r="N1873" t="s">
        <v>127</v>
      </c>
      <c r="O1873">
        <v>2</v>
      </c>
      <c r="P1873" t="s">
        <v>105</v>
      </c>
      <c r="Q1873">
        <v>64</v>
      </c>
      <c r="R1873">
        <v>150</v>
      </c>
      <c r="T1873">
        <v>5</v>
      </c>
      <c r="U1873">
        <v>3</v>
      </c>
      <c r="V1873">
        <v>4</v>
      </c>
      <c r="W1873">
        <v>2</v>
      </c>
      <c r="X1873">
        <v>2</v>
      </c>
      <c r="Y1873">
        <v>84</v>
      </c>
      <c r="Z1873">
        <v>1</v>
      </c>
      <c r="AA1873">
        <v>0</v>
      </c>
      <c r="AK1873">
        <v>1</v>
      </c>
      <c r="AL1873">
        <v>1</v>
      </c>
      <c r="AM1873">
        <v>0</v>
      </c>
      <c r="AN1873">
        <v>1</v>
      </c>
      <c r="AS1873">
        <v>0</v>
      </c>
      <c r="AT1873">
        <v>1</v>
      </c>
      <c r="AU1873">
        <v>0</v>
      </c>
      <c r="AV1873">
        <v>0</v>
      </c>
      <c r="BC1873">
        <v>0</v>
      </c>
      <c r="BD1873">
        <v>10</v>
      </c>
      <c r="BE1873">
        <v>327</v>
      </c>
      <c r="BF1873">
        <v>329</v>
      </c>
      <c r="BG1873">
        <v>416</v>
      </c>
      <c r="BJ1873">
        <v>1</v>
      </c>
      <c r="BL1873" s="2" t="s">
        <v>3906</v>
      </c>
      <c r="BM1873" s="4">
        <v>43283.225694444445</v>
      </c>
      <c r="BN1873" s="4">
        <v>43283.263807870368</v>
      </c>
      <c r="BO1873" s="4">
        <v>43283.263807870368</v>
      </c>
      <c r="BP1873" t="s">
        <v>92</v>
      </c>
      <c r="BQ1873" t="s">
        <v>93</v>
      </c>
      <c r="BR1873" t="s">
        <v>94</v>
      </c>
    </row>
    <row r="1874" spans="1:70" x14ac:dyDescent="0.3">
      <c r="A1874" t="str">
        <f>"201101C0100"</f>
        <v>201101C0100</v>
      </c>
      <c r="B1874" t="s">
        <v>3907</v>
      </c>
      <c r="C1874">
        <v>20</v>
      </c>
      <c r="D1874" t="s">
        <v>88</v>
      </c>
      <c r="E1874">
        <v>184</v>
      </c>
      <c r="F1874" t="s">
        <v>3895</v>
      </c>
      <c r="G1874">
        <v>1101</v>
      </c>
      <c r="H1874">
        <v>1</v>
      </c>
      <c r="I1874" t="s">
        <v>98</v>
      </c>
      <c r="J1874">
        <v>0</v>
      </c>
      <c r="K1874">
        <v>2</v>
      </c>
      <c r="L1874">
        <v>5</v>
      </c>
      <c r="M1874">
        <v>116</v>
      </c>
      <c r="N1874">
        <v>321</v>
      </c>
      <c r="O1874">
        <v>7</v>
      </c>
      <c r="P1874">
        <v>321</v>
      </c>
      <c r="Q1874">
        <v>74</v>
      </c>
      <c r="R1874">
        <v>126</v>
      </c>
      <c r="T1874">
        <v>1</v>
      </c>
      <c r="U1874">
        <v>3</v>
      </c>
      <c r="V1874">
        <v>2</v>
      </c>
      <c r="W1874">
        <v>6</v>
      </c>
      <c r="X1874">
        <v>1</v>
      </c>
      <c r="Y1874">
        <v>88</v>
      </c>
      <c r="Z1874">
        <v>2</v>
      </c>
      <c r="AA1874">
        <v>1</v>
      </c>
      <c r="AK1874">
        <v>1</v>
      </c>
      <c r="AL1874">
        <v>0</v>
      </c>
      <c r="AM1874">
        <v>1</v>
      </c>
      <c r="AN1874">
        <v>3</v>
      </c>
      <c r="AS1874">
        <v>1</v>
      </c>
      <c r="AT1874">
        <v>1</v>
      </c>
      <c r="AU1874">
        <v>1</v>
      </c>
      <c r="AV1874">
        <v>0</v>
      </c>
      <c r="BC1874">
        <v>0</v>
      </c>
      <c r="BD1874">
        <v>9</v>
      </c>
      <c r="BE1874">
        <v>321</v>
      </c>
      <c r="BF1874">
        <v>321</v>
      </c>
      <c r="BG1874">
        <v>416</v>
      </c>
      <c r="BJ1874">
        <v>1</v>
      </c>
      <c r="BL1874" t="s">
        <v>3908</v>
      </c>
      <c r="BM1874" s="4">
        <v>43283.228472222225</v>
      </c>
      <c r="BN1874" s="4">
        <v>43283.263101851851</v>
      </c>
      <c r="BO1874" s="4">
        <v>43283.263101851851</v>
      </c>
      <c r="BP1874" t="s">
        <v>92</v>
      </c>
      <c r="BQ1874" t="s">
        <v>93</v>
      </c>
      <c r="BR1874" t="s">
        <v>94</v>
      </c>
    </row>
    <row r="1875" spans="1:70" x14ac:dyDescent="0.3">
      <c r="A1875" t="str">
        <f>"201102B0100"</f>
        <v>201102B0100</v>
      </c>
      <c r="B1875" t="s">
        <v>3909</v>
      </c>
      <c r="C1875">
        <v>20</v>
      </c>
      <c r="D1875" t="s">
        <v>88</v>
      </c>
      <c r="E1875">
        <v>184</v>
      </c>
      <c r="F1875" t="s">
        <v>3895</v>
      </c>
      <c r="G1875">
        <v>1102</v>
      </c>
      <c r="H1875">
        <v>1</v>
      </c>
      <c r="I1875" t="s">
        <v>90</v>
      </c>
      <c r="J1875">
        <v>0</v>
      </c>
      <c r="K1875">
        <v>2</v>
      </c>
      <c r="L1875">
        <v>5</v>
      </c>
      <c r="BG1875">
        <v>528</v>
      </c>
      <c r="BI1875" t="s">
        <v>122</v>
      </c>
      <c r="BJ1875">
        <v>0</v>
      </c>
      <c r="BL1875" t="s">
        <v>3910</v>
      </c>
      <c r="BM1875" s="4">
        <v>43283.15</v>
      </c>
      <c r="BN1875" s="4">
        <v>43283.652499999997</v>
      </c>
      <c r="BO1875" s="4">
        <v>43283.652499999997</v>
      </c>
      <c r="BP1875" t="s">
        <v>92</v>
      </c>
      <c r="BQ1875" t="s">
        <v>93</v>
      </c>
      <c r="BR1875" t="s">
        <v>94</v>
      </c>
    </row>
    <row r="1876" spans="1:70" x14ac:dyDescent="0.3">
      <c r="A1876" t="str">
        <f>"201102C0100"</f>
        <v>201102C0100</v>
      </c>
      <c r="B1876" t="s">
        <v>3911</v>
      </c>
      <c r="C1876">
        <v>20</v>
      </c>
      <c r="D1876" t="s">
        <v>88</v>
      </c>
      <c r="E1876">
        <v>184</v>
      </c>
      <c r="F1876" t="s">
        <v>3895</v>
      </c>
      <c r="G1876">
        <v>1102</v>
      </c>
      <c r="H1876">
        <v>1</v>
      </c>
      <c r="I1876" t="s">
        <v>98</v>
      </c>
      <c r="J1876">
        <v>0</v>
      </c>
      <c r="K1876">
        <v>2</v>
      </c>
      <c r="L1876">
        <v>5</v>
      </c>
      <c r="M1876">
        <v>175</v>
      </c>
      <c r="N1876">
        <v>375</v>
      </c>
      <c r="O1876">
        <v>2</v>
      </c>
      <c r="P1876">
        <v>378</v>
      </c>
      <c r="Q1876">
        <v>68</v>
      </c>
      <c r="R1876">
        <v>85</v>
      </c>
      <c r="T1876">
        <v>2</v>
      </c>
      <c r="U1876">
        <v>8</v>
      </c>
      <c r="V1876">
        <v>3</v>
      </c>
      <c r="W1876">
        <v>15</v>
      </c>
      <c r="X1876">
        <v>2</v>
      </c>
      <c r="Y1876">
        <v>158</v>
      </c>
      <c r="Z1876">
        <v>6</v>
      </c>
      <c r="AA1876">
        <v>15</v>
      </c>
      <c r="AK1876">
        <v>4</v>
      </c>
      <c r="AL1876">
        <v>0</v>
      </c>
      <c r="AM1876">
        <v>0</v>
      </c>
      <c r="AN1876">
        <v>1</v>
      </c>
      <c r="AS1876">
        <v>0</v>
      </c>
      <c r="AT1876">
        <v>3</v>
      </c>
      <c r="AU1876">
        <v>0</v>
      </c>
      <c r="AV1876">
        <v>0</v>
      </c>
      <c r="BC1876">
        <v>0</v>
      </c>
      <c r="BD1876">
        <v>8</v>
      </c>
      <c r="BE1876" t="s">
        <v>105</v>
      </c>
      <c r="BF1876">
        <v>378</v>
      </c>
      <c r="BG1876">
        <v>528</v>
      </c>
      <c r="BJ1876">
        <v>1</v>
      </c>
      <c r="BL1876" t="s">
        <v>3912</v>
      </c>
      <c r="BM1876" s="4">
        <v>43283.365972222222</v>
      </c>
      <c r="BN1876" s="4">
        <v>43283.384340277778</v>
      </c>
      <c r="BO1876" s="4">
        <v>43283.384340277778</v>
      </c>
      <c r="BP1876" t="s">
        <v>92</v>
      </c>
      <c r="BQ1876" t="s">
        <v>93</v>
      </c>
      <c r="BR1876" t="s">
        <v>94</v>
      </c>
    </row>
    <row r="1877" spans="1:70" x14ac:dyDescent="0.3">
      <c r="A1877" t="str">
        <f>"201103B0100"</f>
        <v>201103B0100</v>
      </c>
      <c r="B1877" t="s">
        <v>3913</v>
      </c>
      <c r="C1877">
        <v>20</v>
      </c>
      <c r="D1877" t="s">
        <v>88</v>
      </c>
      <c r="E1877">
        <v>184</v>
      </c>
      <c r="F1877" t="s">
        <v>3895</v>
      </c>
      <c r="G1877">
        <v>1103</v>
      </c>
      <c r="H1877">
        <v>1</v>
      </c>
      <c r="I1877" t="s">
        <v>90</v>
      </c>
      <c r="J1877">
        <v>0</v>
      </c>
      <c r="K1877">
        <v>2</v>
      </c>
      <c r="L1877">
        <v>5</v>
      </c>
      <c r="M1877">
        <v>191</v>
      </c>
      <c r="N1877">
        <v>392</v>
      </c>
      <c r="O1877">
        <v>1</v>
      </c>
      <c r="P1877" t="s">
        <v>105</v>
      </c>
      <c r="Q1877">
        <v>102</v>
      </c>
      <c r="R1877">
        <v>79</v>
      </c>
      <c r="T1877">
        <v>1</v>
      </c>
      <c r="U1877">
        <v>11</v>
      </c>
      <c r="V1877">
        <v>2</v>
      </c>
      <c r="W1877">
        <v>32</v>
      </c>
      <c r="X1877">
        <v>4</v>
      </c>
      <c r="Y1877">
        <v>128</v>
      </c>
      <c r="Z1877">
        <v>0</v>
      </c>
      <c r="AA1877">
        <v>12</v>
      </c>
      <c r="AK1877">
        <v>1</v>
      </c>
      <c r="AL1877">
        <v>1</v>
      </c>
      <c r="AM1877">
        <v>0</v>
      </c>
      <c r="AN1877">
        <v>1</v>
      </c>
      <c r="AS1877">
        <v>2</v>
      </c>
      <c r="AT1877">
        <v>0</v>
      </c>
      <c r="AU1877">
        <v>0</v>
      </c>
      <c r="AV1877">
        <v>0</v>
      </c>
      <c r="BC1877">
        <v>0</v>
      </c>
      <c r="BD1877">
        <v>14</v>
      </c>
      <c r="BE1877">
        <v>390</v>
      </c>
      <c r="BF1877">
        <v>390</v>
      </c>
      <c r="BG1877">
        <v>541</v>
      </c>
      <c r="BJ1877">
        <v>1</v>
      </c>
      <c r="BL1877" t="s">
        <v>3914</v>
      </c>
      <c r="BM1877" s="4">
        <v>43283.069444444445</v>
      </c>
      <c r="BN1877" s="4">
        <v>43283.081238425926</v>
      </c>
      <c r="BO1877" s="4">
        <v>43283.081238425926</v>
      </c>
      <c r="BP1877" t="s">
        <v>92</v>
      </c>
      <c r="BQ1877" t="s">
        <v>93</v>
      </c>
      <c r="BR1877" t="s">
        <v>94</v>
      </c>
    </row>
    <row r="1878" spans="1:70" x14ac:dyDescent="0.3">
      <c r="A1878" t="str">
        <f>"201104B0100"</f>
        <v>201104B0100</v>
      </c>
      <c r="B1878" t="s">
        <v>3915</v>
      </c>
      <c r="C1878">
        <v>20</v>
      </c>
      <c r="D1878" t="s">
        <v>88</v>
      </c>
      <c r="E1878">
        <v>184</v>
      </c>
      <c r="F1878" t="s">
        <v>3895</v>
      </c>
      <c r="G1878">
        <v>1104</v>
      </c>
      <c r="H1878">
        <v>1</v>
      </c>
      <c r="I1878" t="s">
        <v>90</v>
      </c>
      <c r="J1878">
        <v>0</v>
      </c>
      <c r="K1878">
        <v>2</v>
      </c>
      <c r="L1878">
        <v>5</v>
      </c>
      <c r="M1878" t="s">
        <v>127</v>
      </c>
      <c r="N1878" t="s">
        <v>127</v>
      </c>
      <c r="O1878" t="s">
        <v>127</v>
      </c>
      <c r="P1878" t="s">
        <v>127</v>
      </c>
      <c r="Q1878">
        <v>57</v>
      </c>
      <c r="R1878">
        <v>73</v>
      </c>
      <c r="T1878">
        <v>1</v>
      </c>
      <c r="U1878">
        <v>0</v>
      </c>
      <c r="V1878">
        <v>1</v>
      </c>
      <c r="W1878">
        <v>7</v>
      </c>
      <c r="X1878">
        <v>1</v>
      </c>
      <c r="Y1878">
        <v>96</v>
      </c>
      <c r="Z1878">
        <v>3</v>
      </c>
      <c r="AA1878">
        <v>25</v>
      </c>
      <c r="AK1878">
        <v>5</v>
      </c>
      <c r="AL1878">
        <v>0</v>
      </c>
      <c r="AM1878">
        <v>2</v>
      </c>
      <c r="AN1878">
        <v>0</v>
      </c>
      <c r="AS1878">
        <v>0</v>
      </c>
      <c r="AT1878">
        <v>1</v>
      </c>
      <c r="AU1878">
        <v>0</v>
      </c>
      <c r="AV1878">
        <v>0</v>
      </c>
      <c r="BC1878" t="s">
        <v>105</v>
      </c>
      <c r="BD1878" t="s">
        <v>105</v>
      </c>
      <c r="BE1878">
        <v>292</v>
      </c>
      <c r="BF1878">
        <v>272</v>
      </c>
      <c r="BG1878">
        <v>431</v>
      </c>
      <c r="BI1878" t="s">
        <v>106</v>
      </c>
      <c r="BJ1878">
        <v>1</v>
      </c>
      <c r="BL1878" t="s">
        <v>3916</v>
      </c>
      <c r="BM1878" s="4">
        <v>43283.289583333331</v>
      </c>
      <c r="BN1878" s="4">
        <v>43283.338402777779</v>
      </c>
      <c r="BO1878" s="4">
        <v>43283.338402777779</v>
      </c>
      <c r="BP1878" t="s">
        <v>92</v>
      </c>
      <c r="BQ1878" t="s">
        <v>93</v>
      </c>
      <c r="BR1878" t="s">
        <v>94</v>
      </c>
    </row>
    <row r="1879" spans="1:70" x14ac:dyDescent="0.3">
      <c r="A1879" t="str">
        <f>"201105B0100"</f>
        <v>201105B0100</v>
      </c>
      <c r="B1879" t="s">
        <v>3917</v>
      </c>
      <c r="C1879">
        <v>20</v>
      </c>
      <c r="D1879" t="s">
        <v>88</v>
      </c>
      <c r="E1879">
        <v>184</v>
      </c>
      <c r="F1879" t="s">
        <v>3895</v>
      </c>
      <c r="G1879">
        <v>1105</v>
      </c>
      <c r="H1879">
        <v>1</v>
      </c>
      <c r="I1879" t="s">
        <v>90</v>
      </c>
      <c r="J1879">
        <v>0</v>
      </c>
      <c r="K1879">
        <v>2</v>
      </c>
      <c r="L1879">
        <v>5</v>
      </c>
      <c r="M1879">
        <v>123</v>
      </c>
      <c r="N1879">
        <v>261</v>
      </c>
      <c r="O1879">
        <v>0</v>
      </c>
      <c r="P1879">
        <v>276</v>
      </c>
      <c r="Q1879">
        <v>107</v>
      </c>
      <c r="R1879">
        <v>50</v>
      </c>
      <c r="T1879">
        <v>0</v>
      </c>
      <c r="U1879">
        <v>3</v>
      </c>
      <c r="V1879">
        <v>2</v>
      </c>
      <c r="W1879">
        <v>4</v>
      </c>
      <c r="X1879">
        <v>2</v>
      </c>
      <c r="Y1879">
        <v>94</v>
      </c>
      <c r="Z1879">
        <v>1</v>
      </c>
      <c r="AA1879">
        <v>0</v>
      </c>
      <c r="AK1879">
        <v>3</v>
      </c>
      <c r="AL1879">
        <v>0</v>
      </c>
      <c r="AM1879">
        <v>0</v>
      </c>
      <c r="AN1879">
        <v>3</v>
      </c>
      <c r="AS1879">
        <v>0</v>
      </c>
      <c r="AT1879">
        <v>0</v>
      </c>
      <c r="AU1879">
        <v>0</v>
      </c>
      <c r="AV1879">
        <v>0</v>
      </c>
      <c r="BC1879">
        <v>0</v>
      </c>
      <c r="BD1879">
        <v>7</v>
      </c>
      <c r="BE1879">
        <v>276</v>
      </c>
      <c r="BF1879">
        <v>276</v>
      </c>
      <c r="BG1879">
        <v>377</v>
      </c>
      <c r="BJ1879">
        <v>1</v>
      </c>
      <c r="BL1879" t="s">
        <v>3918</v>
      </c>
      <c r="BM1879" s="4">
        <v>43283.197916666664</v>
      </c>
      <c r="BN1879" s="4">
        <v>43283.214722222219</v>
      </c>
      <c r="BO1879" s="4">
        <v>43283.214722222219</v>
      </c>
      <c r="BP1879" t="s">
        <v>92</v>
      </c>
      <c r="BQ1879" t="s">
        <v>93</v>
      </c>
      <c r="BR1879" t="s">
        <v>94</v>
      </c>
    </row>
    <row r="1880" spans="1:70" x14ac:dyDescent="0.3">
      <c r="A1880" t="str">
        <f>"201111B0100"</f>
        <v>201111B0100</v>
      </c>
      <c r="B1880" t="s">
        <v>3919</v>
      </c>
      <c r="C1880">
        <v>20</v>
      </c>
      <c r="D1880" t="s">
        <v>88</v>
      </c>
      <c r="E1880">
        <v>189</v>
      </c>
      <c r="F1880" t="s">
        <v>3920</v>
      </c>
      <c r="G1880">
        <v>1111</v>
      </c>
      <c r="H1880">
        <v>1</v>
      </c>
      <c r="I1880" t="s">
        <v>90</v>
      </c>
      <c r="J1880">
        <v>0</v>
      </c>
      <c r="K1880">
        <v>2</v>
      </c>
      <c r="L1880">
        <v>5</v>
      </c>
      <c r="M1880">
        <v>168</v>
      </c>
      <c r="N1880">
        <v>586</v>
      </c>
      <c r="O1880">
        <v>0</v>
      </c>
      <c r="P1880">
        <v>586</v>
      </c>
      <c r="Q1880">
        <v>0</v>
      </c>
      <c r="R1880">
        <v>7</v>
      </c>
      <c r="S1880">
        <v>122</v>
      </c>
      <c r="T1880">
        <v>194</v>
      </c>
      <c r="U1880">
        <v>4</v>
      </c>
      <c r="V1880">
        <v>1</v>
      </c>
      <c r="X1880">
        <v>3</v>
      </c>
      <c r="Y1880">
        <v>234</v>
      </c>
      <c r="Z1880">
        <v>2</v>
      </c>
      <c r="AA1880">
        <v>1</v>
      </c>
      <c r="AC1880">
        <v>0</v>
      </c>
      <c r="AD1880">
        <v>0</v>
      </c>
      <c r="AE1880">
        <v>1</v>
      </c>
      <c r="AF1880">
        <v>0</v>
      </c>
      <c r="AK1880">
        <v>1</v>
      </c>
      <c r="AL1880">
        <v>0</v>
      </c>
      <c r="AM1880">
        <v>0</v>
      </c>
      <c r="AN1880">
        <v>1</v>
      </c>
      <c r="AU1880">
        <v>0</v>
      </c>
      <c r="BC1880">
        <v>0</v>
      </c>
      <c r="BD1880">
        <v>15</v>
      </c>
      <c r="BE1880">
        <v>586</v>
      </c>
      <c r="BF1880">
        <v>586</v>
      </c>
      <c r="BG1880">
        <v>732</v>
      </c>
      <c r="BJ1880">
        <v>1</v>
      </c>
      <c r="BL1880" t="s">
        <v>3921</v>
      </c>
      <c r="BM1880" s="4">
        <v>43283.353067129632</v>
      </c>
      <c r="BN1880" s="4">
        <v>43283.364791666667</v>
      </c>
      <c r="BO1880" s="4">
        <v>43283.364791666667</v>
      </c>
      <c r="BP1880" t="s">
        <v>92</v>
      </c>
      <c r="BQ1880" t="s">
        <v>93</v>
      </c>
      <c r="BR1880" t="s">
        <v>94</v>
      </c>
    </row>
    <row r="1881" spans="1:70" x14ac:dyDescent="0.3">
      <c r="A1881" t="str">
        <f>"201111C0100"</f>
        <v>201111C0100</v>
      </c>
      <c r="B1881" t="s">
        <v>3922</v>
      </c>
      <c r="C1881">
        <v>20</v>
      </c>
      <c r="D1881" t="s">
        <v>88</v>
      </c>
      <c r="E1881">
        <v>189</v>
      </c>
      <c r="F1881" t="s">
        <v>3920</v>
      </c>
      <c r="G1881">
        <v>1111</v>
      </c>
      <c r="H1881">
        <v>1</v>
      </c>
      <c r="I1881" t="s">
        <v>98</v>
      </c>
      <c r="J1881">
        <v>0</v>
      </c>
      <c r="K1881">
        <v>2</v>
      </c>
      <c r="L1881">
        <v>5</v>
      </c>
      <c r="M1881">
        <v>177</v>
      </c>
      <c r="N1881">
        <v>576</v>
      </c>
      <c r="O1881">
        <v>0</v>
      </c>
      <c r="P1881">
        <v>576</v>
      </c>
      <c r="Q1881">
        <v>1</v>
      </c>
      <c r="R1881">
        <v>1</v>
      </c>
      <c r="S1881">
        <v>120</v>
      </c>
      <c r="T1881">
        <v>202</v>
      </c>
      <c r="U1881">
        <v>2</v>
      </c>
      <c r="V1881">
        <v>2</v>
      </c>
      <c r="X1881">
        <v>6</v>
      </c>
      <c r="Y1881">
        <v>207</v>
      </c>
      <c r="Z1881">
        <v>0</v>
      </c>
      <c r="AA1881">
        <v>2</v>
      </c>
      <c r="AC1881">
        <v>1</v>
      </c>
      <c r="AD1881">
        <v>0</v>
      </c>
      <c r="AE1881">
        <v>0</v>
      </c>
      <c r="AF1881">
        <v>0</v>
      </c>
      <c r="AK1881">
        <v>1</v>
      </c>
      <c r="AL1881">
        <v>0</v>
      </c>
      <c r="AM1881">
        <v>0</v>
      </c>
      <c r="AN1881">
        <v>0</v>
      </c>
      <c r="AU1881">
        <v>0</v>
      </c>
      <c r="BC1881">
        <v>0</v>
      </c>
      <c r="BD1881">
        <v>31</v>
      </c>
      <c r="BE1881">
        <v>576</v>
      </c>
      <c r="BF1881">
        <v>576</v>
      </c>
      <c r="BG1881">
        <v>731</v>
      </c>
      <c r="BJ1881">
        <v>1</v>
      </c>
      <c r="BL1881" t="s">
        <v>3923</v>
      </c>
      <c r="BM1881" s="4">
        <v>43283.354432870372</v>
      </c>
      <c r="BN1881" s="4">
        <v>43283.369953703703</v>
      </c>
      <c r="BO1881" s="4">
        <v>43283.369953703703</v>
      </c>
      <c r="BP1881" t="s">
        <v>92</v>
      </c>
      <c r="BQ1881" t="s">
        <v>93</v>
      </c>
      <c r="BR1881" t="s">
        <v>94</v>
      </c>
    </row>
    <row r="1882" spans="1:70" x14ac:dyDescent="0.3">
      <c r="A1882" t="str">
        <f>"201112B0100"</f>
        <v>201112B0100</v>
      </c>
      <c r="B1882" t="s">
        <v>3924</v>
      </c>
      <c r="C1882">
        <v>20</v>
      </c>
      <c r="D1882" t="s">
        <v>88</v>
      </c>
      <c r="E1882">
        <v>190</v>
      </c>
      <c r="F1882" t="s">
        <v>3925</v>
      </c>
      <c r="G1882">
        <v>1112</v>
      </c>
      <c r="H1882">
        <v>1</v>
      </c>
      <c r="I1882" t="s">
        <v>90</v>
      </c>
      <c r="J1882">
        <v>0</v>
      </c>
      <c r="K1882">
        <v>2</v>
      </c>
      <c r="L1882">
        <v>5</v>
      </c>
      <c r="M1882">
        <v>131</v>
      </c>
      <c r="N1882">
        <v>570</v>
      </c>
      <c r="O1882">
        <v>0</v>
      </c>
      <c r="P1882">
        <v>573</v>
      </c>
      <c r="Q1882" t="s">
        <v>105</v>
      </c>
      <c r="R1882">
        <v>196</v>
      </c>
      <c r="S1882">
        <v>281</v>
      </c>
      <c r="T1882">
        <v>23</v>
      </c>
      <c r="U1882">
        <v>2</v>
      </c>
      <c r="V1882">
        <v>1</v>
      </c>
      <c r="X1882">
        <v>1</v>
      </c>
      <c r="Y1882">
        <v>44</v>
      </c>
      <c r="Z1882">
        <v>1</v>
      </c>
      <c r="AC1882" t="s">
        <v>105</v>
      </c>
      <c r="AD1882" t="s">
        <v>105</v>
      </c>
      <c r="AE1882" t="s">
        <v>105</v>
      </c>
      <c r="AF1882" t="s">
        <v>105</v>
      </c>
      <c r="AG1882" t="s">
        <v>105</v>
      </c>
      <c r="AH1882">
        <v>3</v>
      </c>
      <c r="AI1882" t="s">
        <v>105</v>
      </c>
      <c r="AJ1882" t="s">
        <v>105</v>
      </c>
      <c r="AK1882" t="s">
        <v>105</v>
      </c>
      <c r="AL1882">
        <v>1</v>
      </c>
      <c r="AM1882" t="s">
        <v>105</v>
      </c>
      <c r="AN1882" t="s">
        <v>105</v>
      </c>
      <c r="BC1882" t="s">
        <v>105</v>
      </c>
      <c r="BD1882">
        <v>20</v>
      </c>
      <c r="BE1882">
        <v>573</v>
      </c>
      <c r="BF1882">
        <v>573</v>
      </c>
      <c r="BG1882">
        <v>674</v>
      </c>
      <c r="BI1882" t="s">
        <v>106</v>
      </c>
      <c r="BJ1882">
        <v>1</v>
      </c>
      <c r="BL1882" t="s">
        <v>3926</v>
      </c>
      <c r="BM1882" s="4">
        <v>43283.168749999997</v>
      </c>
      <c r="BN1882" s="4">
        <v>43283.180405092593</v>
      </c>
      <c r="BO1882" s="4">
        <v>43283.180405092593</v>
      </c>
      <c r="BP1882" t="s">
        <v>92</v>
      </c>
      <c r="BQ1882" t="s">
        <v>93</v>
      </c>
      <c r="BR1882" t="s">
        <v>94</v>
      </c>
    </row>
    <row r="1883" spans="1:70" x14ac:dyDescent="0.3">
      <c r="A1883" t="str">
        <f>"201112C0100"</f>
        <v>201112C0100</v>
      </c>
      <c r="B1883" t="s">
        <v>3927</v>
      </c>
      <c r="C1883">
        <v>20</v>
      </c>
      <c r="D1883" t="s">
        <v>88</v>
      </c>
      <c r="E1883">
        <v>190</v>
      </c>
      <c r="F1883" t="s">
        <v>3925</v>
      </c>
      <c r="G1883">
        <v>1112</v>
      </c>
      <c r="H1883">
        <v>1</v>
      </c>
      <c r="I1883" t="s">
        <v>98</v>
      </c>
      <c r="J1883">
        <v>0</v>
      </c>
      <c r="K1883">
        <v>2</v>
      </c>
      <c r="L1883">
        <v>5</v>
      </c>
      <c r="M1883">
        <v>125</v>
      </c>
      <c r="N1883">
        <v>570</v>
      </c>
      <c r="O1883">
        <v>0</v>
      </c>
      <c r="P1883">
        <v>564</v>
      </c>
      <c r="Q1883">
        <v>1</v>
      </c>
      <c r="R1883">
        <v>214</v>
      </c>
      <c r="S1883">
        <v>261</v>
      </c>
      <c r="T1883">
        <v>30</v>
      </c>
      <c r="U1883">
        <v>2</v>
      </c>
      <c r="V1883">
        <v>2</v>
      </c>
      <c r="X1883">
        <v>2</v>
      </c>
      <c r="Y1883">
        <v>34</v>
      </c>
      <c r="Z1883">
        <v>0</v>
      </c>
      <c r="AC1883">
        <v>0</v>
      </c>
      <c r="AD1883">
        <v>1</v>
      </c>
      <c r="AE1883">
        <v>0</v>
      </c>
      <c r="AF1883">
        <v>0</v>
      </c>
      <c r="AG1883">
        <v>0</v>
      </c>
      <c r="AH1883">
        <v>5</v>
      </c>
      <c r="AI1883">
        <v>0</v>
      </c>
      <c r="AJ1883">
        <v>0</v>
      </c>
      <c r="AK1883">
        <v>0</v>
      </c>
      <c r="AL1883">
        <v>0</v>
      </c>
      <c r="AM1883">
        <v>0</v>
      </c>
      <c r="AN1883">
        <v>0</v>
      </c>
      <c r="BC1883">
        <v>1</v>
      </c>
      <c r="BD1883">
        <v>11</v>
      </c>
      <c r="BE1883">
        <v>564</v>
      </c>
      <c r="BF1883">
        <v>564</v>
      </c>
      <c r="BG1883">
        <v>674</v>
      </c>
      <c r="BJ1883">
        <v>1</v>
      </c>
      <c r="BL1883" t="s">
        <v>3928</v>
      </c>
      <c r="BM1883" s="4">
        <v>43283.17291666667</v>
      </c>
      <c r="BN1883" s="4">
        <v>43283.201574074075</v>
      </c>
      <c r="BO1883" s="4">
        <v>43283.201574074075</v>
      </c>
      <c r="BP1883" t="s">
        <v>92</v>
      </c>
      <c r="BQ1883" t="s">
        <v>93</v>
      </c>
      <c r="BR1883" t="s">
        <v>94</v>
      </c>
    </row>
    <row r="1884" spans="1:70" x14ac:dyDescent="0.3">
      <c r="A1884" t="str">
        <f>"201112E0100"</f>
        <v>201112E0100</v>
      </c>
      <c r="B1884" s="2" t="s">
        <v>3929</v>
      </c>
      <c r="C1884">
        <v>20</v>
      </c>
      <c r="D1884" t="s">
        <v>88</v>
      </c>
      <c r="E1884">
        <v>190</v>
      </c>
      <c r="F1884" t="s">
        <v>3925</v>
      </c>
      <c r="G1884">
        <v>1112</v>
      </c>
      <c r="H1884">
        <v>1</v>
      </c>
      <c r="I1884" t="s">
        <v>156</v>
      </c>
      <c r="J1884">
        <v>0</v>
      </c>
      <c r="K1884">
        <v>2</v>
      </c>
      <c r="L1884">
        <v>5</v>
      </c>
      <c r="M1884">
        <v>102</v>
      </c>
      <c r="N1884">
        <v>364</v>
      </c>
      <c r="O1884">
        <v>18</v>
      </c>
      <c r="P1884">
        <v>364</v>
      </c>
      <c r="Q1884">
        <v>0</v>
      </c>
      <c r="R1884">
        <v>99</v>
      </c>
      <c r="S1884">
        <v>210</v>
      </c>
      <c r="T1884">
        <v>6</v>
      </c>
      <c r="U1884">
        <v>1</v>
      </c>
      <c r="V1884">
        <v>0</v>
      </c>
      <c r="X1884">
        <v>0</v>
      </c>
      <c r="Y1884">
        <v>37</v>
      </c>
      <c r="Z1884">
        <v>0</v>
      </c>
      <c r="AC1884">
        <v>0</v>
      </c>
      <c r="AD1884">
        <v>0</v>
      </c>
      <c r="AE1884">
        <v>0</v>
      </c>
      <c r="AF1884">
        <v>1</v>
      </c>
      <c r="AG1884">
        <v>1</v>
      </c>
      <c r="AH1884">
        <v>1</v>
      </c>
      <c r="AI1884">
        <v>0</v>
      </c>
      <c r="AJ1884">
        <v>0</v>
      </c>
      <c r="AK1884">
        <v>0</v>
      </c>
      <c r="AL1884">
        <v>0</v>
      </c>
      <c r="AM1884">
        <v>0</v>
      </c>
      <c r="AN1884">
        <v>0</v>
      </c>
      <c r="BC1884">
        <v>0</v>
      </c>
      <c r="BD1884">
        <v>8</v>
      </c>
      <c r="BE1884">
        <v>364</v>
      </c>
      <c r="BF1884">
        <v>364</v>
      </c>
      <c r="BG1884">
        <v>444</v>
      </c>
      <c r="BJ1884">
        <v>1</v>
      </c>
      <c r="BL1884" s="2" t="s">
        <v>3930</v>
      </c>
      <c r="BM1884" s="4">
        <v>43283.05972222222</v>
      </c>
      <c r="BN1884" s="4">
        <v>43283.070474537039</v>
      </c>
      <c r="BO1884" s="4">
        <v>43283.070474537039</v>
      </c>
      <c r="BP1884" t="s">
        <v>92</v>
      </c>
      <c r="BQ1884" t="s">
        <v>93</v>
      </c>
      <c r="BR1884" t="s">
        <v>94</v>
      </c>
    </row>
    <row r="1885" spans="1:70" x14ac:dyDescent="0.3">
      <c r="A1885" t="str">
        <f>"201113B0100"</f>
        <v>201113B0100</v>
      </c>
      <c r="B1885" t="s">
        <v>3931</v>
      </c>
      <c r="C1885">
        <v>20</v>
      </c>
      <c r="D1885" t="s">
        <v>88</v>
      </c>
      <c r="E1885">
        <v>190</v>
      </c>
      <c r="F1885" t="s">
        <v>3925</v>
      </c>
      <c r="G1885">
        <v>1113</v>
      </c>
      <c r="H1885">
        <v>1</v>
      </c>
      <c r="I1885" t="s">
        <v>90</v>
      </c>
      <c r="J1885">
        <v>0</v>
      </c>
      <c r="K1885">
        <v>1</v>
      </c>
      <c r="L1885">
        <v>5</v>
      </c>
      <c r="M1885">
        <v>107</v>
      </c>
      <c r="N1885">
        <v>537</v>
      </c>
      <c r="O1885">
        <v>0</v>
      </c>
      <c r="P1885">
        <v>0</v>
      </c>
      <c r="Q1885">
        <v>0</v>
      </c>
      <c r="R1885">
        <v>207</v>
      </c>
      <c r="S1885">
        <v>239</v>
      </c>
      <c r="T1885">
        <v>20</v>
      </c>
      <c r="U1885">
        <v>1</v>
      </c>
      <c r="V1885">
        <v>1</v>
      </c>
      <c r="X1885">
        <v>1</v>
      </c>
      <c r="Y1885">
        <v>44</v>
      </c>
      <c r="Z1885">
        <v>1</v>
      </c>
      <c r="AC1885">
        <v>1</v>
      </c>
      <c r="AD1885">
        <v>0</v>
      </c>
      <c r="AE1885">
        <v>0</v>
      </c>
      <c r="AF1885">
        <v>0</v>
      </c>
      <c r="AG1885">
        <v>0</v>
      </c>
      <c r="AH1885">
        <v>4</v>
      </c>
      <c r="AI1885">
        <v>0</v>
      </c>
      <c r="AJ1885">
        <v>0</v>
      </c>
      <c r="AK1885">
        <v>1</v>
      </c>
      <c r="AL1885">
        <v>0</v>
      </c>
      <c r="AM1885">
        <v>0</v>
      </c>
      <c r="AN1885">
        <v>0</v>
      </c>
      <c r="BC1885">
        <v>0</v>
      </c>
      <c r="BD1885">
        <v>17</v>
      </c>
      <c r="BE1885">
        <v>537</v>
      </c>
      <c r="BF1885">
        <v>537</v>
      </c>
      <c r="BG1885">
        <v>622</v>
      </c>
      <c r="BJ1885">
        <v>1</v>
      </c>
      <c r="BL1885" t="s">
        <v>3932</v>
      </c>
      <c r="BM1885" s="4">
        <v>43283.115972222222</v>
      </c>
      <c r="BN1885" s="4">
        <v>43283.123564814814</v>
      </c>
      <c r="BO1885" s="4">
        <v>43283.123564814814</v>
      </c>
      <c r="BP1885" t="s">
        <v>92</v>
      </c>
      <c r="BQ1885" t="s">
        <v>93</v>
      </c>
      <c r="BR1885" t="s">
        <v>94</v>
      </c>
    </row>
    <row r="1886" spans="1:70" x14ac:dyDescent="0.3">
      <c r="A1886" t="str">
        <f>"201113C0100"</f>
        <v>201113C0100</v>
      </c>
      <c r="B1886" t="s">
        <v>3933</v>
      </c>
      <c r="C1886">
        <v>20</v>
      </c>
      <c r="D1886" t="s">
        <v>88</v>
      </c>
      <c r="E1886">
        <v>190</v>
      </c>
      <c r="F1886" t="s">
        <v>3925</v>
      </c>
      <c r="G1886">
        <v>1113</v>
      </c>
      <c r="H1886">
        <v>1</v>
      </c>
      <c r="I1886" t="s">
        <v>98</v>
      </c>
      <c r="J1886">
        <v>0</v>
      </c>
      <c r="K1886">
        <v>1</v>
      </c>
      <c r="L1886">
        <v>5</v>
      </c>
      <c r="M1886">
        <v>131</v>
      </c>
      <c r="N1886">
        <v>512</v>
      </c>
      <c r="O1886">
        <v>0</v>
      </c>
      <c r="P1886">
        <v>512</v>
      </c>
      <c r="Q1886">
        <v>1</v>
      </c>
      <c r="R1886">
        <v>182</v>
      </c>
      <c r="S1886">
        <v>231</v>
      </c>
      <c r="T1886">
        <v>24</v>
      </c>
      <c r="U1886">
        <v>2</v>
      </c>
      <c r="V1886">
        <v>1</v>
      </c>
      <c r="X1886">
        <v>2</v>
      </c>
      <c r="Y1886">
        <v>45</v>
      </c>
      <c r="Z1886">
        <v>2</v>
      </c>
      <c r="AC1886">
        <v>0</v>
      </c>
      <c r="AD1886">
        <v>1</v>
      </c>
      <c r="AE1886">
        <v>0</v>
      </c>
      <c r="AF1886">
        <v>0</v>
      </c>
      <c r="AG1886">
        <v>0</v>
      </c>
      <c r="AH1886">
        <v>3</v>
      </c>
      <c r="AI1886">
        <v>1</v>
      </c>
      <c r="AJ1886">
        <v>0</v>
      </c>
      <c r="AK1886">
        <v>0</v>
      </c>
      <c r="AL1886">
        <v>0</v>
      </c>
      <c r="AM1886">
        <v>0</v>
      </c>
      <c r="AN1886">
        <v>0</v>
      </c>
      <c r="BC1886">
        <v>0</v>
      </c>
      <c r="BD1886">
        <v>16</v>
      </c>
      <c r="BE1886">
        <v>511</v>
      </c>
      <c r="BF1886">
        <v>511</v>
      </c>
      <c r="BG1886">
        <v>621</v>
      </c>
      <c r="BJ1886">
        <v>1</v>
      </c>
      <c r="BL1886" t="s">
        <v>3934</v>
      </c>
      <c r="BM1886" s="4">
        <v>43283.147916666669</v>
      </c>
      <c r="BN1886" s="4">
        <v>43283.158043981479</v>
      </c>
      <c r="BO1886" s="4">
        <v>43283.158043981479</v>
      </c>
      <c r="BP1886" t="s">
        <v>92</v>
      </c>
      <c r="BQ1886" t="s">
        <v>93</v>
      </c>
      <c r="BR1886" t="s">
        <v>94</v>
      </c>
    </row>
    <row r="1887" spans="1:70" x14ac:dyDescent="0.3">
      <c r="A1887" t="str">
        <f>"201114B0100"</f>
        <v>201114B0100</v>
      </c>
      <c r="B1887" t="s">
        <v>3935</v>
      </c>
      <c r="C1887">
        <v>20</v>
      </c>
      <c r="D1887" t="s">
        <v>88</v>
      </c>
      <c r="E1887">
        <v>190</v>
      </c>
      <c r="F1887" t="s">
        <v>3925</v>
      </c>
      <c r="G1887">
        <v>1114</v>
      </c>
      <c r="H1887">
        <v>1</v>
      </c>
      <c r="I1887" t="s">
        <v>90</v>
      </c>
      <c r="J1887">
        <v>0</v>
      </c>
      <c r="K1887">
        <v>1</v>
      </c>
      <c r="L1887">
        <v>5</v>
      </c>
      <c r="M1887">
        <v>128</v>
      </c>
      <c r="N1887">
        <v>510</v>
      </c>
      <c r="O1887">
        <v>1</v>
      </c>
      <c r="P1887">
        <v>510</v>
      </c>
      <c r="Q1887">
        <v>2</v>
      </c>
      <c r="R1887">
        <v>200</v>
      </c>
      <c r="S1887">
        <v>216</v>
      </c>
      <c r="T1887">
        <v>18</v>
      </c>
      <c r="U1887">
        <v>1</v>
      </c>
      <c r="V1887">
        <v>1</v>
      </c>
      <c r="X1887">
        <v>3</v>
      </c>
      <c r="Y1887">
        <v>42</v>
      </c>
      <c r="Z1887">
        <v>2</v>
      </c>
      <c r="AC1887">
        <v>0</v>
      </c>
      <c r="AD1887">
        <v>0</v>
      </c>
      <c r="AE1887">
        <v>0</v>
      </c>
      <c r="AF1887">
        <v>0</v>
      </c>
      <c r="AG1887">
        <v>0</v>
      </c>
      <c r="AH1887">
        <v>1</v>
      </c>
      <c r="AI1887">
        <v>0</v>
      </c>
      <c r="AJ1887">
        <v>0</v>
      </c>
      <c r="AK1887">
        <v>0</v>
      </c>
      <c r="AL1887">
        <v>0</v>
      </c>
      <c r="AM1887">
        <v>0</v>
      </c>
      <c r="AN1887">
        <v>0</v>
      </c>
      <c r="BC1887">
        <v>0</v>
      </c>
      <c r="BD1887">
        <v>21</v>
      </c>
      <c r="BE1887">
        <v>507</v>
      </c>
      <c r="BF1887">
        <v>507</v>
      </c>
      <c r="BG1887">
        <v>615</v>
      </c>
      <c r="BJ1887">
        <v>1</v>
      </c>
      <c r="BL1887" t="s">
        <v>3936</v>
      </c>
      <c r="BM1887" s="4">
        <v>43283.211111111108</v>
      </c>
      <c r="BN1887" s="4">
        <v>43283.230937499997</v>
      </c>
      <c r="BO1887" s="4">
        <v>43283.230937499997</v>
      </c>
      <c r="BP1887" t="s">
        <v>92</v>
      </c>
      <c r="BQ1887" t="s">
        <v>93</v>
      </c>
      <c r="BR1887" t="s">
        <v>94</v>
      </c>
    </row>
    <row r="1888" spans="1:70" x14ac:dyDescent="0.3">
      <c r="A1888" t="str">
        <f>"201114C0100"</f>
        <v>201114C0100</v>
      </c>
      <c r="B1888" t="s">
        <v>3937</v>
      </c>
      <c r="C1888">
        <v>20</v>
      </c>
      <c r="D1888" t="s">
        <v>88</v>
      </c>
      <c r="E1888">
        <v>190</v>
      </c>
      <c r="F1888" t="s">
        <v>3925</v>
      </c>
      <c r="G1888">
        <v>1114</v>
      </c>
      <c r="H1888">
        <v>1</v>
      </c>
      <c r="I1888" t="s">
        <v>98</v>
      </c>
      <c r="J1888">
        <v>0</v>
      </c>
      <c r="K1888">
        <v>1</v>
      </c>
      <c r="L1888">
        <v>5</v>
      </c>
      <c r="M1888">
        <v>115</v>
      </c>
      <c r="N1888">
        <v>521</v>
      </c>
      <c r="O1888">
        <v>2</v>
      </c>
      <c r="P1888">
        <v>521</v>
      </c>
      <c r="Q1888">
        <v>1</v>
      </c>
      <c r="R1888">
        <v>216</v>
      </c>
      <c r="S1888">
        <v>230</v>
      </c>
      <c r="T1888">
        <v>20</v>
      </c>
      <c r="U1888">
        <v>1</v>
      </c>
      <c r="V1888">
        <v>0</v>
      </c>
      <c r="X1888">
        <v>1</v>
      </c>
      <c r="Y1888">
        <v>32</v>
      </c>
      <c r="Z1888">
        <v>0</v>
      </c>
      <c r="AC1888">
        <v>0</v>
      </c>
      <c r="AD1888">
        <v>0</v>
      </c>
      <c r="AE1888">
        <v>0</v>
      </c>
      <c r="AF1888">
        <v>1</v>
      </c>
      <c r="AG1888">
        <v>0</v>
      </c>
      <c r="AH1888">
        <v>3</v>
      </c>
      <c r="AI1888">
        <v>0</v>
      </c>
      <c r="AJ1888">
        <v>0</v>
      </c>
      <c r="AK1888">
        <v>0</v>
      </c>
      <c r="AL1888">
        <v>0</v>
      </c>
      <c r="AM1888">
        <v>0</v>
      </c>
      <c r="AN1888">
        <v>0</v>
      </c>
      <c r="BC1888">
        <v>0</v>
      </c>
      <c r="BD1888">
        <v>16</v>
      </c>
      <c r="BE1888">
        <v>521</v>
      </c>
      <c r="BF1888">
        <v>521</v>
      </c>
      <c r="BG1888">
        <v>615</v>
      </c>
      <c r="BJ1888">
        <v>1</v>
      </c>
      <c r="BL1888" t="s">
        <v>3938</v>
      </c>
      <c r="BM1888" s="4">
        <v>43283.213194444441</v>
      </c>
      <c r="BN1888" s="4">
        <v>43283.239062499997</v>
      </c>
      <c r="BO1888" s="4">
        <v>43283.239062499997</v>
      </c>
      <c r="BP1888" t="s">
        <v>92</v>
      </c>
      <c r="BQ1888" t="s">
        <v>93</v>
      </c>
      <c r="BR1888" t="s">
        <v>94</v>
      </c>
    </row>
    <row r="1889" spans="1:70" x14ac:dyDescent="0.3">
      <c r="A1889" t="str">
        <f>"201115B0100"</f>
        <v>201115B0100</v>
      </c>
      <c r="B1889" t="s">
        <v>3939</v>
      </c>
      <c r="C1889">
        <v>20</v>
      </c>
      <c r="D1889" t="s">
        <v>88</v>
      </c>
      <c r="E1889">
        <v>190</v>
      </c>
      <c r="F1889" t="s">
        <v>3925</v>
      </c>
      <c r="G1889">
        <v>1115</v>
      </c>
      <c r="H1889">
        <v>1</v>
      </c>
      <c r="I1889" t="s">
        <v>90</v>
      </c>
      <c r="J1889">
        <v>0</v>
      </c>
      <c r="K1889">
        <v>2</v>
      </c>
      <c r="L1889">
        <v>5</v>
      </c>
      <c r="M1889">
        <v>122</v>
      </c>
      <c r="N1889">
        <v>286</v>
      </c>
      <c r="O1889">
        <v>10</v>
      </c>
      <c r="P1889">
        <v>286</v>
      </c>
      <c r="Q1889">
        <v>0</v>
      </c>
      <c r="R1889">
        <v>119</v>
      </c>
      <c r="S1889">
        <v>110</v>
      </c>
      <c r="T1889">
        <v>11</v>
      </c>
      <c r="U1889">
        <v>3</v>
      </c>
      <c r="V1889">
        <v>0</v>
      </c>
      <c r="X1889">
        <v>0</v>
      </c>
      <c r="Y1889">
        <v>25</v>
      </c>
      <c r="Z1889">
        <v>2</v>
      </c>
      <c r="AC1889">
        <v>0</v>
      </c>
      <c r="AD1889">
        <v>0</v>
      </c>
      <c r="AE1889">
        <v>0</v>
      </c>
      <c r="AF1889">
        <v>0</v>
      </c>
      <c r="AG1889">
        <v>2</v>
      </c>
      <c r="AH1889">
        <v>2</v>
      </c>
      <c r="AI1889">
        <v>0</v>
      </c>
      <c r="AJ1889">
        <v>0</v>
      </c>
      <c r="AK1889">
        <v>0</v>
      </c>
      <c r="AL1889">
        <v>0</v>
      </c>
      <c r="AM1889">
        <v>0</v>
      </c>
      <c r="AN1889">
        <v>1</v>
      </c>
      <c r="BC1889">
        <v>0</v>
      </c>
      <c r="BD1889">
        <v>11</v>
      </c>
      <c r="BE1889">
        <v>286</v>
      </c>
      <c r="BF1889">
        <v>286</v>
      </c>
      <c r="BG1889">
        <v>386</v>
      </c>
      <c r="BJ1889">
        <v>1</v>
      </c>
      <c r="BL1889" t="s">
        <v>3940</v>
      </c>
      <c r="BM1889" s="4">
        <v>43283.202777777777</v>
      </c>
      <c r="BN1889" s="4">
        <v>43283.217974537038</v>
      </c>
      <c r="BO1889" s="4">
        <v>43283.217974537038</v>
      </c>
      <c r="BP1889" t="s">
        <v>92</v>
      </c>
      <c r="BQ1889" t="s">
        <v>93</v>
      </c>
      <c r="BR1889" t="s">
        <v>94</v>
      </c>
    </row>
    <row r="1890" spans="1:70" x14ac:dyDescent="0.3">
      <c r="A1890" t="str">
        <f>"201115C0100"</f>
        <v>201115C0100</v>
      </c>
      <c r="B1890" t="s">
        <v>3941</v>
      </c>
      <c r="C1890">
        <v>20</v>
      </c>
      <c r="D1890" t="s">
        <v>88</v>
      </c>
      <c r="E1890">
        <v>190</v>
      </c>
      <c r="F1890" t="s">
        <v>3925</v>
      </c>
      <c r="G1890">
        <v>1115</v>
      </c>
      <c r="H1890">
        <v>1</v>
      </c>
      <c r="I1890" t="s">
        <v>98</v>
      </c>
      <c r="J1890">
        <v>0</v>
      </c>
      <c r="K1890">
        <v>2</v>
      </c>
      <c r="L1890">
        <v>5</v>
      </c>
      <c r="M1890">
        <v>103</v>
      </c>
      <c r="N1890">
        <v>304</v>
      </c>
      <c r="O1890">
        <v>1</v>
      </c>
      <c r="P1890">
        <v>304</v>
      </c>
      <c r="Q1890">
        <v>0</v>
      </c>
      <c r="R1890">
        <v>119</v>
      </c>
      <c r="S1890">
        <v>119</v>
      </c>
      <c r="T1890">
        <v>11</v>
      </c>
      <c r="U1890">
        <v>1</v>
      </c>
      <c r="V1890">
        <v>0</v>
      </c>
      <c r="X1890">
        <v>0</v>
      </c>
      <c r="Y1890">
        <v>50</v>
      </c>
      <c r="Z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0</v>
      </c>
      <c r="AI1890">
        <v>0</v>
      </c>
      <c r="AJ1890">
        <v>0</v>
      </c>
      <c r="AK1890">
        <v>0</v>
      </c>
      <c r="AL1890">
        <v>0</v>
      </c>
      <c r="AM1890">
        <v>0</v>
      </c>
      <c r="AN1890">
        <v>0</v>
      </c>
      <c r="BC1890">
        <v>0</v>
      </c>
      <c r="BD1890">
        <v>4</v>
      </c>
      <c r="BE1890" t="s">
        <v>105</v>
      </c>
      <c r="BF1890">
        <v>304</v>
      </c>
      <c r="BG1890">
        <v>386</v>
      </c>
      <c r="BJ1890">
        <v>1</v>
      </c>
      <c r="BL1890" t="s">
        <v>3942</v>
      </c>
      <c r="BM1890" s="4">
        <v>43283.198611111111</v>
      </c>
      <c r="BN1890" s="4">
        <v>43283.213773148149</v>
      </c>
      <c r="BO1890" s="4">
        <v>43283.213773148149</v>
      </c>
      <c r="BP1890" t="s">
        <v>92</v>
      </c>
      <c r="BQ1890" t="s">
        <v>93</v>
      </c>
      <c r="BR1890" t="s">
        <v>94</v>
      </c>
    </row>
    <row r="1891" spans="1:70" x14ac:dyDescent="0.3">
      <c r="A1891" t="str">
        <f>"201115E0100"</f>
        <v>201115E0100</v>
      </c>
      <c r="B1891" s="2" t="s">
        <v>3943</v>
      </c>
      <c r="C1891">
        <v>20</v>
      </c>
      <c r="D1891" t="s">
        <v>88</v>
      </c>
      <c r="E1891">
        <v>190</v>
      </c>
      <c r="F1891" t="s">
        <v>3925</v>
      </c>
      <c r="G1891">
        <v>1115</v>
      </c>
      <c r="H1891">
        <v>1</v>
      </c>
      <c r="I1891" t="s">
        <v>156</v>
      </c>
      <c r="J1891">
        <v>0</v>
      </c>
      <c r="K1891">
        <v>2</v>
      </c>
      <c r="L1891">
        <v>5</v>
      </c>
      <c r="M1891">
        <v>216</v>
      </c>
      <c r="N1891">
        <v>388</v>
      </c>
      <c r="O1891">
        <v>13</v>
      </c>
      <c r="P1891">
        <v>388</v>
      </c>
      <c r="Q1891">
        <v>1</v>
      </c>
      <c r="R1891">
        <v>78</v>
      </c>
      <c r="S1891">
        <v>193</v>
      </c>
      <c r="T1891">
        <v>4</v>
      </c>
      <c r="U1891">
        <v>3</v>
      </c>
      <c r="V1891">
        <v>1</v>
      </c>
      <c r="X1891">
        <v>5</v>
      </c>
      <c r="Y1891">
        <v>79</v>
      </c>
      <c r="Z1891">
        <v>1</v>
      </c>
      <c r="AC1891">
        <v>1</v>
      </c>
      <c r="AD1891">
        <v>1</v>
      </c>
      <c r="AE1891">
        <v>0</v>
      </c>
      <c r="AF1891">
        <v>0</v>
      </c>
      <c r="AG1891">
        <v>0</v>
      </c>
      <c r="AH1891">
        <v>5</v>
      </c>
      <c r="AI1891">
        <v>0</v>
      </c>
      <c r="AJ1891">
        <v>0</v>
      </c>
      <c r="AK1891">
        <v>3</v>
      </c>
      <c r="AL1891">
        <v>0</v>
      </c>
      <c r="AM1891">
        <v>0</v>
      </c>
      <c r="AN1891">
        <v>0</v>
      </c>
      <c r="BC1891">
        <v>0</v>
      </c>
      <c r="BD1891">
        <v>13</v>
      </c>
      <c r="BE1891">
        <v>388</v>
      </c>
      <c r="BF1891">
        <v>388</v>
      </c>
      <c r="BG1891">
        <v>582</v>
      </c>
      <c r="BJ1891">
        <v>1</v>
      </c>
      <c r="BL1891" t="s">
        <v>3944</v>
      </c>
      <c r="BM1891" s="4">
        <v>43283.206250000003</v>
      </c>
      <c r="BN1891" s="4">
        <v>43283.230891203704</v>
      </c>
      <c r="BO1891" s="4">
        <v>43283.230891203704</v>
      </c>
      <c r="BP1891" t="s">
        <v>92</v>
      </c>
      <c r="BQ1891" t="s">
        <v>93</v>
      </c>
      <c r="BR1891" t="s">
        <v>94</v>
      </c>
    </row>
    <row r="1892" spans="1:70" x14ac:dyDescent="0.3">
      <c r="A1892" t="str">
        <f>"201115E0200"</f>
        <v>201115E0200</v>
      </c>
      <c r="B1892" s="2" t="s">
        <v>3945</v>
      </c>
      <c r="C1892">
        <v>20</v>
      </c>
      <c r="D1892" t="s">
        <v>88</v>
      </c>
      <c r="E1892">
        <v>190</v>
      </c>
      <c r="F1892" t="s">
        <v>3925</v>
      </c>
      <c r="G1892">
        <v>1115</v>
      </c>
      <c r="H1892">
        <v>2</v>
      </c>
      <c r="I1892" t="s">
        <v>156</v>
      </c>
      <c r="J1892">
        <v>0</v>
      </c>
      <c r="K1892">
        <v>2</v>
      </c>
      <c r="L1892">
        <v>5</v>
      </c>
      <c r="M1892">
        <v>102</v>
      </c>
      <c r="N1892">
        <v>200</v>
      </c>
      <c r="O1892">
        <v>0</v>
      </c>
      <c r="P1892">
        <v>200</v>
      </c>
      <c r="Q1892">
        <v>2</v>
      </c>
      <c r="R1892">
        <v>42</v>
      </c>
      <c r="S1892">
        <v>73</v>
      </c>
      <c r="T1892">
        <v>3</v>
      </c>
      <c r="U1892">
        <v>1</v>
      </c>
      <c r="V1892">
        <v>3</v>
      </c>
      <c r="X1892">
        <v>1</v>
      </c>
      <c r="Y1892">
        <v>59</v>
      </c>
      <c r="Z1892">
        <v>1</v>
      </c>
      <c r="AC1892">
        <v>0</v>
      </c>
      <c r="AD1892">
        <v>0</v>
      </c>
      <c r="AE1892">
        <v>0</v>
      </c>
      <c r="AF1892">
        <v>1</v>
      </c>
      <c r="AG1892">
        <v>2</v>
      </c>
      <c r="AH1892">
        <v>3</v>
      </c>
      <c r="AI1892">
        <v>0</v>
      </c>
      <c r="AJ1892">
        <v>0</v>
      </c>
      <c r="AK1892">
        <v>0</v>
      </c>
      <c r="AL1892">
        <v>1</v>
      </c>
      <c r="AM1892">
        <v>0</v>
      </c>
      <c r="AN1892">
        <v>1</v>
      </c>
      <c r="BC1892">
        <v>0</v>
      </c>
      <c r="BD1892">
        <v>7</v>
      </c>
      <c r="BE1892">
        <v>200</v>
      </c>
      <c r="BF1892">
        <v>200</v>
      </c>
      <c r="BG1892">
        <v>280</v>
      </c>
      <c r="BJ1892">
        <v>1</v>
      </c>
      <c r="BL1892" t="s">
        <v>3946</v>
      </c>
      <c r="BM1892" s="4">
        <v>43283.162499999999</v>
      </c>
      <c r="BN1892" s="4">
        <v>43283.172835648147</v>
      </c>
      <c r="BO1892" s="4">
        <v>43283.172835648147</v>
      </c>
      <c r="BP1892" t="s">
        <v>92</v>
      </c>
      <c r="BQ1892" t="s">
        <v>93</v>
      </c>
      <c r="BR1892" t="s">
        <v>94</v>
      </c>
    </row>
    <row r="1893" spans="1:70" x14ac:dyDescent="0.3">
      <c r="A1893" t="str">
        <f>"201116B0100"</f>
        <v>201116B0100</v>
      </c>
      <c r="B1893" t="s">
        <v>3947</v>
      </c>
      <c r="C1893">
        <v>20</v>
      </c>
      <c r="D1893" t="s">
        <v>88</v>
      </c>
      <c r="E1893">
        <v>190</v>
      </c>
      <c r="F1893" t="s">
        <v>3925</v>
      </c>
      <c r="G1893">
        <v>1116</v>
      </c>
      <c r="H1893">
        <v>1</v>
      </c>
      <c r="I1893" t="s">
        <v>90</v>
      </c>
      <c r="J1893">
        <v>0</v>
      </c>
      <c r="K1893">
        <v>2</v>
      </c>
      <c r="L1893">
        <v>5</v>
      </c>
      <c r="M1893">
        <v>107</v>
      </c>
      <c r="N1893">
        <v>261</v>
      </c>
      <c r="O1893">
        <v>0</v>
      </c>
      <c r="P1893">
        <v>261</v>
      </c>
      <c r="Q1893">
        <v>2</v>
      </c>
      <c r="R1893">
        <v>127</v>
      </c>
      <c r="S1893">
        <v>95</v>
      </c>
      <c r="T1893">
        <v>0</v>
      </c>
      <c r="U1893">
        <v>1</v>
      </c>
      <c r="V1893">
        <v>1</v>
      </c>
      <c r="X1893">
        <v>1</v>
      </c>
      <c r="Y1893">
        <v>18</v>
      </c>
      <c r="Z1893">
        <v>0</v>
      </c>
      <c r="AC1893">
        <v>0</v>
      </c>
      <c r="AD1893">
        <v>1</v>
      </c>
      <c r="AE1893">
        <v>0</v>
      </c>
      <c r="AF1893">
        <v>0</v>
      </c>
      <c r="AG1893">
        <v>5</v>
      </c>
      <c r="AH1893">
        <v>1</v>
      </c>
      <c r="AI1893">
        <v>0</v>
      </c>
      <c r="AJ1893">
        <v>0</v>
      </c>
      <c r="AK1893">
        <v>0</v>
      </c>
      <c r="AL1893">
        <v>0</v>
      </c>
      <c r="AM1893">
        <v>0</v>
      </c>
      <c r="AN1893">
        <v>0</v>
      </c>
      <c r="BC1893">
        <v>0</v>
      </c>
      <c r="BD1893">
        <v>9</v>
      </c>
      <c r="BE1893" t="s">
        <v>105</v>
      </c>
      <c r="BF1893">
        <v>261</v>
      </c>
      <c r="BG1893">
        <v>346</v>
      </c>
      <c r="BJ1893">
        <v>1</v>
      </c>
      <c r="BL1893" t="s">
        <v>3948</v>
      </c>
      <c r="BM1893" s="4">
        <v>43283.190972222219</v>
      </c>
      <c r="BN1893" s="4">
        <v>43283.210011574076</v>
      </c>
      <c r="BO1893" s="4">
        <v>43283.210011574076</v>
      </c>
      <c r="BP1893" t="s">
        <v>92</v>
      </c>
      <c r="BQ1893" t="s">
        <v>93</v>
      </c>
      <c r="BR1893" t="s">
        <v>94</v>
      </c>
    </row>
    <row r="1894" spans="1:70" x14ac:dyDescent="0.3">
      <c r="A1894" t="str">
        <f>"201116E0100"</f>
        <v>201116E0100</v>
      </c>
      <c r="B1894" s="2" t="s">
        <v>3949</v>
      </c>
      <c r="C1894">
        <v>20</v>
      </c>
      <c r="D1894" t="s">
        <v>88</v>
      </c>
      <c r="E1894">
        <v>190</v>
      </c>
      <c r="F1894" t="s">
        <v>3925</v>
      </c>
      <c r="G1894">
        <v>1116</v>
      </c>
      <c r="H1894">
        <v>1</v>
      </c>
      <c r="I1894" t="s">
        <v>156</v>
      </c>
      <c r="J1894">
        <v>0</v>
      </c>
      <c r="K1894">
        <v>2</v>
      </c>
      <c r="L1894">
        <v>5</v>
      </c>
      <c r="BG1894">
        <v>222</v>
      </c>
      <c r="BI1894" t="s">
        <v>122</v>
      </c>
      <c r="BJ1894">
        <v>0</v>
      </c>
      <c r="BL1894" t="s">
        <v>3950</v>
      </c>
      <c r="BM1894" s="4">
        <v>43283.259027777778</v>
      </c>
      <c r="BN1894" s="4">
        <v>43283.277592592596</v>
      </c>
      <c r="BO1894" s="4">
        <v>43283.277592592596</v>
      </c>
      <c r="BP1894" t="s">
        <v>92</v>
      </c>
      <c r="BQ1894" t="s">
        <v>93</v>
      </c>
      <c r="BR1894" t="s">
        <v>94</v>
      </c>
    </row>
    <row r="1895" spans="1:70" x14ac:dyDescent="0.3">
      <c r="A1895" t="str">
        <f>"201139B0100"</f>
        <v>201139B0100</v>
      </c>
      <c r="B1895" t="s">
        <v>3951</v>
      </c>
      <c r="C1895">
        <v>20</v>
      </c>
      <c r="D1895" t="s">
        <v>88</v>
      </c>
      <c r="E1895">
        <v>199</v>
      </c>
      <c r="F1895" t="s">
        <v>3952</v>
      </c>
      <c r="G1895">
        <v>1139</v>
      </c>
      <c r="H1895">
        <v>1</v>
      </c>
      <c r="I1895" t="s">
        <v>90</v>
      </c>
      <c r="J1895">
        <v>0</v>
      </c>
      <c r="K1895">
        <v>1</v>
      </c>
      <c r="L1895">
        <v>5</v>
      </c>
      <c r="M1895">
        <v>123</v>
      </c>
      <c r="N1895">
        <v>374</v>
      </c>
      <c r="O1895">
        <v>1</v>
      </c>
      <c r="P1895">
        <v>374</v>
      </c>
      <c r="Q1895">
        <v>0</v>
      </c>
      <c r="R1895">
        <v>41</v>
      </c>
      <c r="S1895">
        <v>202</v>
      </c>
      <c r="T1895">
        <v>0</v>
      </c>
      <c r="U1895">
        <v>68</v>
      </c>
      <c r="V1895">
        <v>0</v>
      </c>
      <c r="W1895">
        <v>0</v>
      </c>
      <c r="X1895">
        <v>3</v>
      </c>
      <c r="Y1895">
        <v>43</v>
      </c>
      <c r="Z1895">
        <v>0</v>
      </c>
      <c r="AC1895">
        <v>1</v>
      </c>
      <c r="AD1895">
        <v>1</v>
      </c>
      <c r="AE1895">
        <v>0</v>
      </c>
      <c r="AF1895">
        <v>0</v>
      </c>
      <c r="AK1895">
        <v>1</v>
      </c>
      <c r="AL1895">
        <v>0</v>
      </c>
      <c r="AM1895">
        <v>0</v>
      </c>
      <c r="AN1895">
        <v>0</v>
      </c>
      <c r="AS1895">
        <v>0</v>
      </c>
      <c r="AT1895">
        <v>0</v>
      </c>
      <c r="AU1895">
        <v>0</v>
      </c>
      <c r="AV1895">
        <v>0</v>
      </c>
      <c r="BC1895">
        <v>0</v>
      </c>
      <c r="BD1895">
        <v>14</v>
      </c>
      <c r="BE1895">
        <v>374</v>
      </c>
      <c r="BF1895">
        <v>374</v>
      </c>
      <c r="BG1895">
        <v>475</v>
      </c>
      <c r="BJ1895">
        <v>1</v>
      </c>
      <c r="BL1895" t="s">
        <v>3953</v>
      </c>
      <c r="BM1895" s="4">
        <v>43283.201898148145</v>
      </c>
      <c r="BN1895" s="4">
        <v>43283.217094907406</v>
      </c>
      <c r="BO1895" s="4">
        <v>43283.217094907406</v>
      </c>
      <c r="BP1895" t="s">
        <v>92</v>
      </c>
      <c r="BQ1895" t="s">
        <v>93</v>
      </c>
      <c r="BR1895" t="s">
        <v>94</v>
      </c>
    </row>
    <row r="1896" spans="1:70" x14ac:dyDescent="0.3">
      <c r="A1896" t="str">
        <f>"201139C0100"</f>
        <v>201139C0100</v>
      </c>
      <c r="B1896" t="s">
        <v>3954</v>
      </c>
      <c r="C1896">
        <v>20</v>
      </c>
      <c r="D1896" t="s">
        <v>88</v>
      </c>
      <c r="E1896">
        <v>199</v>
      </c>
      <c r="F1896" t="s">
        <v>3952</v>
      </c>
      <c r="G1896">
        <v>1139</v>
      </c>
      <c r="H1896">
        <v>1</v>
      </c>
      <c r="I1896" t="s">
        <v>98</v>
      </c>
      <c r="J1896">
        <v>0</v>
      </c>
      <c r="K1896">
        <v>1</v>
      </c>
      <c r="L1896">
        <v>5</v>
      </c>
      <c r="M1896">
        <v>129</v>
      </c>
      <c r="N1896">
        <v>368</v>
      </c>
      <c r="O1896">
        <v>0</v>
      </c>
      <c r="P1896">
        <v>368</v>
      </c>
      <c r="Q1896">
        <v>1</v>
      </c>
      <c r="R1896">
        <v>43</v>
      </c>
      <c r="S1896">
        <v>215</v>
      </c>
      <c r="T1896" t="s">
        <v>105</v>
      </c>
      <c r="U1896">
        <v>54</v>
      </c>
      <c r="V1896">
        <v>2</v>
      </c>
      <c r="W1896">
        <v>2</v>
      </c>
      <c r="X1896" t="s">
        <v>105</v>
      </c>
      <c r="Y1896">
        <v>40</v>
      </c>
      <c r="Z1896" t="s">
        <v>105</v>
      </c>
      <c r="AC1896">
        <v>1</v>
      </c>
      <c r="AD1896" t="s">
        <v>105</v>
      </c>
      <c r="AE1896" t="s">
        <v>105</v>
      </c>
      <c r="AF1896" t="s">
        <v>105</v>
      </c>
      <c r="AK1896" t="s">
        <v>105</v>
      </c>
      <c r="AL1896">
        <v>2</v>
      </c>
      <c r="AM1896" t="s">
        <v>105</v>
      </c>
      <c r="AN1896">
        <v>2</v>
      </c>
      <c r="AS1896" t="s">
        <v>105</v>
      </c>
      <c r="AT1896" t="s">
        <v>105</v>
      </c>
      <c r="AU1896">
        <v>1</v>
      </c>
      <c r="AV1896" t="s">
        <v>105</v>
      </c>
      <c r="BC1896" t="s">
        <v>105</v>
      </c>
      <c r="BD1896">
        <v>5</v>
      </c>
      <c r="BE1896">
        <v>368</v>
      </c>
      <c r="BF1896">
        <v>368</v>
      </c>
      <c r="BG1896">
        <v>475</v>
      </c>
      <c r="BI1896" t="s">
        <v>106</v>
      </c>
      <c r="BJ1896">
        <v>1</v>
      </c>
      <c r="BL1896" t="s">
        <v>3955</v>
      </c>
      <c r="BM1896" s="4">
        <v>43283.20758101852</v>
      </c>
      <c r="BN1896" s="4">
        <v>43283.225185185183</v>
      </c>
      <c r="BO1896" s="4">
        <v>43283.225185185183</v>
      </c>
      <c r="BP1896" t="s">
        <v>92</v>
      </c>
      <c r="BQ1896" t="s">
        <v>93</v>
      </c>
      <c r="BR1896" t="s">
        <v>94</v>
      </c>
    </row>
    <row r="1897" spans="1:70" x14ac:dyDescent="0.3">
      <c r="A1897" t="str">
        <f>"201140B0100"</f>
        <v>201140B0100</v>
      </c>
      <c r="B1897" t="s">
        <v>3956</v>
      </c>
      <c r="C1897">
        <v>20</v>
      </c>
      <c r="D1897" t="s">
        <v>88</v>
      </c>
      <c r="E1897">
        <v>199</v>
      </c>
      <c r="F1897" t="s">
        <v>3952</v>
      </c>
      <c r="G1897">
        <v>1140</v>
      </c>
      <c r="H1897">
        <v>1</v>
      </c>
      <c r="I1897" t="s">
        <v>90</v>
      </c>
      <c r="J1897">
        <v>0</v>
      </c>
      <c r="K1897">
        <v>1</v>
      </c>
      <c r="L1897">
        <v>5</v>
      </c>
      <c r="M1897">
        <v>117</v>
      </c>
      <c r="N1897">
        <v>398</v>
      </c>
      <c r="O1897">
        <v>2</v>
      </c>
      <c r="P1897">
        <v>398</v>
      </c>
      <c r="Q1897">
        <v>0</v>
      </c>
      <c r="R1897">
        <v>39</v>
      </c>
      <c r="S1897">
        <v>203</v>
      </c>
      <c r="T1897">
        <v>1</v>
      </c>
      <c r="U1897">
        <v>81</v>
      </c>
      <c r="V1897">
        <v>0</v>
      </c>
      <c r="W1897">
        <v>1</v>
      </c>
      <c r="X1897">
        <v>0</v>
      </c>
      <c r="Y1897">
        <v>49</v>
      </c>
      <c r="Z1897">
        <v>1</v>
      </c>
      <c r="AC1897">
        <v>0</v>
      </c>
      <c r="AD1897">
        <v>0</v>
      </c>
      <c r="AE1897">
        <v>0</v>
      </c>
      <c r="AF1897">
        <v>0</v>
      </c>
      <c r="AK1897">
        <v>4</v>
      </c>
      <c r="AL1897">
        <v>3</v>
      </c>
      <c r="AM1897">
        <v>0</v>
      </c>
      <c r="AN1897">
        <v>0</v>
      </c>
      <c r="AS1897">
        <v>1</v>
      </c>
      <c r="AT1897">
        <v>0</v>
      </c>
      <c r="AU1897">
        <v>0</v>
      </c>
      <c r="AV1897">
        <v>0</v>
      </c>
      <c r="BC1897">
        <v>0</v>
      </c>
      <c r="BD1897">
        <v>15</v>
      </c>
      <c r="BE1897">
        <v>398</v>
      </c>
      <c r="BF1897">
        <v>398</v>
      </c>
      <c r="BG1897">
        <v>493</v>
      </c>
      <c r="BJ1897">
        <v>1</v>
      </c>
      <c r="BL1897" t="s">
        <v>3957</v>
      </c>
      <c r="BM1897" s="4">
        <v>43283.200821759259</v>
      </c>
      <c r="BN1897" s="4">
        <v>43283.216944444444</v>
      </c>
      <c r="BO1897" s="4">
        <v>43283.216944444444</v>
      </c>
      <c r="BP1897" t="s">
        <v>92</v>
      </c>
      <c r="BQ1897" t="s">
        <v>93</v>
      </c>
      <c r="BR1897" t="s">
        <v>94</v>
      </c>
    </row>
    <row r="1898" spans="1:70" x14ac:dyDescent="0.3">
      <c r="A1898" t="str">
        <f>"201140C0100"</f>
        <v>201140C0100</v>
      </c>
      <c r="B1898" t="s">
        <v>3958</v>
      </c>
      <c r="C1898">
        <v>20</v>
      </c>
      <c r="D1898" t="s">
        <v>88</v>
      </c>
      <c r="E1898">
        <v>199</v>
      </c>
      <c r="F1898" t="s">
        <v>3952</v>
      </c>
      <c r="G1898">
        <v>1140</v>
      </c>
      <c r="H1898">
        <v>1</v>
      </c>
      <c r="I1898" t="s">
        <v>98</v>
      </c>
      <c r="J1898">
        <v>0</v>
      </c>
      <c r="K1898">
        <v>1</v>
      </c>
      <c r="L1898">
        <v>5</v>
      </c>
      <c r="M1898">
        <v>127</v>
      </c>
      <c r="N1898">
        <v>388</v>
      </c>
      <c r="O1898">
        <v>2</v>
      </c>
      <c r="P1898">
        <v>388</v>
      </c>
      <c r="Q1898">
        <v>0</v>
      </c>
      <c r="R1898">
        <v>32</v>
      </c>
      <c r="S1898">
        <v>215</v>
      </c>
      <c r="T1898">
        <v>4</v>
      </c>
      <c r="U1898">
        <v>89</v>
      </c>
      <c r="V1898">
        <v>0</v>
      </c>
      <c r="W1898">
        <v>0</v>
      </c>
      <c r="X1898">
        <v>0</v>
      </c>
      <c r="Y1898">
        <v>28</v>
      </c>
      <c r="Z1898">
        <v>2</v>
      </c>
      <c r="AC1898">
        <v>1</v>
      </c>
      <c r="AD1898">
        <v>1</v>
      </c>
      <c r="AE1898">
        <v>0</v>
      </c>
      <c r="AF1898">
        <v>0</v>
      </c>
      <c r="AK1898">
        <v>3</v>
      </c>
      <c r="AL1898">
        <v>2</v>
      </c>
      <c r="AM1898">
        <v>0</v>
      </c>
      <c r="AN1898">
        <v>0</v>
      </c>
      <c r="AS1898">
        <v>1</v>
      </c>
      <c r="AT1898">
        <v>1</v>
      </c>
      <c r="AU1898">
        <v>0</v>
      </c>
      <c r="AV1898">
        <v>0</v>
      </c>
      <c r="BC1898">
        <v>0</v>
      </c>
      <c r="BD1898">
        <v>9</v>
      </c>
      <c r="BE1898">
        <v>388</v>
      </c>
      <c r="BF1898">
        <v>388</v>
      </c>
      <c r="BG1898">
        <v>493</v>
      </c>
      <c r="BJ1898">
        <v>1</v>
      </c>
      <c r="BL1898" t="s">
        <v>3959</v>
      </c>
      <c r="BM1898" s="4">
        <v>43283.185381944444</v>
      </c>
      <c r="BN1898" s="4">
        <v>43283.201655092591</v>
      </c>
      <c r="BO1898" s="4">
        <v>43283.201655092591</v>
      </c>
      <c r="BP1898" t="s">
        <v>92</v>
      </c>
      <c r="BQ1898" t="s">
        <v>93</v>
      </c>
      <c r="BR1898" t="s">
        <v>94</v>
      </c>
    </row>
    <row r="1899" spans="1:70" x14ac:dyDescent="0.3">
      <c r="A1899" t="str">
        <f>"201141B0100"</f>
        <v>201141B0100</v>
      </c>
      <c r="B1899" t="s">
        <v>3960</v>
      </c>
      <c r="C1899">
        <v>20</v>
      </c>
      <c r="D1899" t="s">
        <v>88</v>
      </c>
      <c r="E1899">
        <v>199</v>
      </c>
      <c r="F1899" t="s">
        <v>3952</v>
      </c>
      <c r="G1899">
        <v>1141</v>
      </c>
      <c r="H1899">
        <v>1</v>
      </c>
      <c r="I1899" t="s">
        <v>90</v>
      </c>
      <c r="J1899">
        <v>0</v>
      </c>
      <c r="K1899">
        <v>1</v>
      </c>
      <c r="L1899">
        <v>5</v>
      </c>
      <c r="M1899">
        <v>141</v>
      </c>
      <c r="N1899">
        <v>469</v>
      </c>
      <c r="O1899">
        <v>2</v>
      </c>
      <c r="P1899">
        <v>469</v>
      </c>
      <c r="Q1899">
        <v>0</v>
      </c>
      <c r="R1899">
        <v>35</v>
      </c>
      <c r="S1899">
        <v>287</v>
      </c>
      <c r="T1899">
        <v>0</v>
      </c>
      <c r="U1899">
        <v>81</v>
      </c>
      <c r="V1899">
        <v>1</v>
      </c>
      <c r="W1899">
        <v>2</v>
      </c>
      <c r="X1899">
        <v>0</v>
      </c>
      <c r="Y1899">
        <v>45</v>
      </c>
      <c r="Z1899">
        <v>1</v>
      </c>
      <c r="AC1899">
        <v>1</v>
      </c>
      <c r="AD1899">
        <v>1</v>
      </c>
      <c r="AE1899">
        <v>0</v>
      </c>
      <c r="AF1899">
        <v>0</v>
      </c>
      <c r="AK1899">
        <v>2</v>
      </c>
      <c r="AL1899">
        <v>1</v>
      </c>
      <c r="AM1899">
        <v>0</v>
      </c>
      <c r="AN1899">
        <v>0</v>
      </c>
      <c r="AS1899">
        <v>0</v>
      </c>
      <c r="AT1899">
        <v>0</v>
      </c>
      <c r="AU1899">
        <v>0</v>
      </c>
      <c r="AV1899">
        <v>0</v>
      </c>
      <c r="BC1899">
        <v>0</v>
      </c>
      <c r="BD1899">
        <v>12</v>
      </c>
      <c r="BE1899">
        <v>469</v>
      </c>
      <c r="BF1899">
        <v>469</v>
      </c>
      <c r="BG1899">
        <v>588</v>
      </c>
      <c r="BJ1899">
        <v>1</v>
      </c>
      <c r="BL1899" t="s">
        <v>3961</v>
      </c>
      <c r="BM1899" s="4">
        <v>43283.139317129629</v>
      </c>
      <c r="BN1899" s="4">
        <v>43283.14303240741</v>
      </c>
      <c r="BO1899" s="4">
        <v>43283.14303240741</v>
      </c>
      <c r="BP1899" t="s">
        <v>92</v>
      </c>
      <c r="BQ1899" t="s">
        <v>93</v>
      </c>
      <c r="BR1899" t="s">
        <v>94</v>
      </c>
    </row>
    <row r="1900" spans="1:70" x14ac:dyDescent="0.3">
      <c r="A1900" t="str">
        <f>"201141C0100"</f>
        <v>201141C0100</v>
      </c>
      <c r="B1900" t="s">
        <v>3962</v>
      </c>
      <c r="C1900">
        <v>20</v>
      </c>
      <c r="D1900" t="s">
        <v>88</v>
      </c>
      <c r="E1900">
        <v>199</v>
      </c>
      <c r="F1900" t="s">
        <v>3952</v>
      </c>
      <c r="G1900">
        <v>1141</v>
      </c>
      <c r="H1900">
        <v>1</v>
      </c>
      <c r="I1900" t="s">
        <v>98</v>
      </c>
      <c r="J1900">
        <v>0</v>
      </c>
      <c r="K1900">
        <v>1</v>
      </c>
      <c r="L1900">
        <v>5</v>
      </c>
      <c r="M1900">
        <v>138</v>
      </c>
      <c r="N1900">
        <v>471</v>
      </c>
      <c r="O1900">
        <v>3</v>
      </c>
      <c r="P1900">
        <v>471</v>
      </c>
      <c r="Q1900">
        <v>2</v>
      </c>
      <c r="R1900">
        <v>23</v>
      </c>
      <c r="S1900">
        <v>248</v>
      </c>
      <c r="T1900">
        <v>1</v>
      </c>
      <c r="U1900">
        <v>98</v>
      </c>
      <c r="V1900">
        <v>0</v>
      </c>
      <c r="W1900">
        <v>0</v>
      </c>
      <c r="X1900">
        <v>0</v>
      </c>
      <c r="Y1900">
        <v>75</v>
      </c>
      <c r="Z1900">
        <v>0</v>
      </c>
      <c r="AC1900">
        <v>0</v>
      </c>
      <c r="AD1900">
        <v>0</v>
      </c>
      <c r="AE1900">
        <v>0</v>
      </c>
      <c r="AF1900">
        <v>0</v>
      </c>
      <c r="AK1900">
        <v>1</v>
      </c>
      <c r="AL1900">
        <v>4</v>
      </c>
      <c r="AM1900">
        <v>0</v>
      </c>
      <c r="AN1900">
        <v>0</v>
      </c>
      <c r="AS1900">
        <v>1</v>
      </c>
      <c r="AT1900">
        <v>0</v>
      </c>
      <c r="AU1900">
        <v>0</v>
      </c>
      <c r="AV1900">
        <v>0</v>
      </c>
      <c r="BC1900">
        <v>0</v>
      </c>
      <c r="BD1900">
        <v>18</v>
      </c>
      <c r="BE1900">
        <v>471</v>
      </c>
      <c r="BF1900">
        <v>471</v>
      </c>
      <c r="BG1900">
        <v>587</v>
      </c>
      <c r="BJ1900">
        <v>1</v>
      </c>
      <c r="BL1900" t="s">
        <v>3963</v>
      </c>
      <c r="BM1900" s="4">
        <v>43283.120682870373</v>
      </c>
      <c r="BN1900" s="4">
        <v>43283.140520833331</v>
      </c>
      <c r="BO1900" s="4">
        <v>43283.140520833331</v>
      </c>
      <c r="BP1900" t="s">
        <v>92</v>
      </c>
      <c r="BQ1900" t="s">
        <v>93</v>
      </c>
      <c r="BR1900" t="s">
        <v>94</v>
      </c>
    </row>
    <row r="1901" spans="1:70" x14ac:dyDescent="0.3">
      <c r="A1901" t="str">
        <f>"201142B0100"</f>
        <v>201142B0100</v>
      </c>
      <c r="B1901" t="s">
        <v>3964</v>
      </c>
      <c r="C1901">
        <v>20</v>
      </c>
      <c r="D1901" t="s">
        <v>88</v>
      </c>
      <c r="E1901">
        <v>199</v>
      </c>
      <c r="F1901" t="s">
        <v>3952</v>
      </c>
      <c r="G1901">
        <v>1142</v>
      </c>
      <c r="H1901">
        <v>1</v>
      </c>
      <c r="I1901" t="s">
        <v>90</v>
      </c>
      <c r="J1901">
        <v>0</v>
      </c>
      <c r="K1901">
        <v>1</v>
      </c>
      <c r="L1901">
        <v>5</v>
      </c>
      <c r="M1901">
        <v>104</v>
      </c>
      <c r="N1901">
        <v>341</v>
      </c>
      <c r="O1901">
        <v>2</v>
      </c>
      <c r="P1901">
        <v>341</v>
      </c>
      <c r="Q1901">
        <v>1</v>
      </c>
      <c r="R1901">
        <v>12</v>
      </c>
      <c r="S1901">
        <v>225</v>
      </c>
      <c r="T1901">
        <v>0</v>
      </c>
      <c r="U1901">
        <v>44</v>
      </c>
      <c r="V1901">
        <v>1</v>
      </c>
      <c r="W1901">
        <v>0</v>
      </c>
      <c r="X1901">
        <v>0</v>
      </c>
      <c r="Y1901">
        <v>51</v>
      </c>
      <c r="Z1901">
        <v>0</v>
      </c>
      <c r="AC1901">
        <v>0</v>
      </c>
      <c r="AD1901">
        <v>0</v>
      </c>
      <c r="AE1901">
        <v>1</v>
      </c>
      <c r="AF1901">
        <v>0</v>
      </c>
      <c r="AK1901">
        <v>3</v>
      </c>
      <c r="AL1901">
        <v>0</v>
      </c>
      <c r="AM1901">
        <v>0</v>
      </c>
      <c r="AN1901">
        <v>0</v>
      </c>
      <c r="AS1901">
        <v>0</v>
      </c>
      <c r="AT1901">
        <v>0</v>
      </c>
      <c r="AU1901">
        <v>0</v>
      </c>
      <c r="AV1901">
        <v>0</v>
      </c>
      <c r="BC1901">
        <v>0</v>
      </c>
      <c r="BD1901">
        <v>3</v>
      </c>
      <c r="BE1901">
        <v>341</v>
      </c>
      <c r="BF1901">
        <v>341</v>
      </c>
      <c r="BG1901">
        <v>423</v>
      </c>
      <c r="BJ1901">
        <v>1</v>
      </c>
      <c r="BL1901" t="s">
        <v>3965</v>
      </c>
      <c r="BM1901" s="4">
        <v>43283.13554398148</v>
      </c>
      <c r="BN1901" s="4">
        <v>43283.174097222225</v>
      </c>
      <c r="BO1901" s="4">
        <v>43283.174097222225</v>
      </c>
      <c r="BP1901" t="s">
        <v>92</v>
      </c>
      <c r="BQ1901" t="s">
        <v>93</v>
      </c>
      <c r="BR1901" t="s">
        <v>94</v>
      </c>
    </row>
    <row r="1902" spans="1:70" x14ac:dyDescent="0.3">
      <c r="A1902" t="str">
        <f>"201142E0100"</f>
        <v>201142E0100</v>
      </c>
      <c r="B1902" s="2" t="s">
        <v>3966</v>
      </c>
      <c r="C1902">
        <v>20</v>
      </c>
      <c r="D1902" t="s">
        <v>88</v>
      </c>
      <c r="E1902">
        <v>199</v>
      </c>
      <c r="F1902" t="s">
        <v>3952</v>
      </c>
      <c r="G1902">
        <v>1142</v>
      </c>
      <c r="H1902">
        <v>1</v>
      </c>
      <c r="I1902" t="s">
        <v>156</v>
      </c>
      <c r="J1902">
        <v>0</v>
      </c>
      <c r="K1902">
        <v>2</v>
      </c>
      <c r="L1902">
        <v>5</v>
      </c>
      <c r="M1902">
        <v>137</v>
      </c>
      <c r="N1902">
        <v>431</v>
      </c>
      <c r="O1902">
        <v>0</v>
      </c>
      <c r="P1902">
        <v>431</v>
      </c>
      <c r="Q1902">
        <v>1</v>
      </c>
      <c r="R1902">
        <v>57</v>
      </c>
      <c r="S1902">
        <v>187</v>
      </c>
      <c r="T1902">
        <v>0</v>
      </c>
      <c r="U1902">
        <v>18</v>
      </c>
      <c r="V1902">
        <v>6</v>
      </c>
      <c r="W1902">
        <v>0</v>
      </c>
      <c r="X1902">
        <v>0</v>
      </c>
      <c r="Y1902">
        <v>156</v>
      </c>
      <c r="Z1902">
        <v>0</v>
      </c>
      <c r="AC1902">
        <v>0</v>
      </c>
      <c r="AD1902">
        <v>0</v>
      </c>
      <c r="AE1902">
        <v>0</v>
      </c>
      <c r="AF1902">
        <v>0</v>
      </c>
      <c r="AK1902">
        <v>0</v>
      </c>
      <c r="AL1902">
        <v>1</v>
      </c>
      <c r="AM1902">
        <v>0</v>
      </c>
      <c r="AN1902">
        <v>0</v>
      </c>
      <c r="AS1902">
        <v>0</v>
      </c>
      <c r="AT1902">
        <v>0</v>
      </c>
      <c r="AU1902">
        <v>0</v>
      </c>
      <c r="AV1902">
        <v>0</v>
      </c>
      <c r="BC1902">
        <v>0</v>
      </c>
      <c r="BD1902">
        <v>5</v>
      </c>
      <c r="BE1902">
        <v>431</v>
      </c>
      <c r="BF1902">
        <v>431</v>
      </c>
      <c r="BG1902">
        <v>546</v>
      </c>
      <c r="BJ1902">
        <v>1</v>
      </c>
      <c r="BL1902" t="s">
        <v>3967</v>
      </c>
      <c r="BM1902" s="4">
        <v>43283.244143518517</v>
      </c>
      <c r="BN1902" s="4">
        <v>43283.266851851855</v>
      </c>
      <c r="BO1902" s="4">
        <v>43283.266851851855</v>
      </c>
      <c r="BP1902" t="s">
        <v>92</v>
      </c>
      <c r="BQ1902" t="s">
        <v>93</v>
      </c>
      <c r="BR1902" t="s">
        <v>94</v>
      </c>
    </row>
    <row r="1903" spans="1:70" x14ac:dyDescent="0.3">
      <c r="A1903" t="str">
        <f>"201142E0101"</f>
        <v>201142E0101</v>
      </c>
      <c r="B1903" s="2" t="s">
        <v>3968</v>
      </c>
      <c r="C1903">
        <v>20</v>
      </c>
      <c r="D1903" t="s">
        <v>88</v>
      </c>
      <c r="E1903">
        <v>199</v>
      </c>
      <c r="F1903" t="s">
        <v>3952</v>
      </c>
      <c r="G1903">
        <v>1142</v>
      </c>
      <c r="H1903">
        <v>1</v>
      </c>
      <c r="I1903" t="s">
        <v>156</v>
      </c>
      <c r="J1903">
        <v>1</v>
      </c>
      <c r="K1903">
        <v>2</v>
      </c>
      <c r="L1903">
        <v>5</v>
      </c>
      <c r="M1903">
        <v>119</v>
      </c>
      <c r="N1903">
        <v>449</v>
      </c>
      <c r="O1903">
        <v>0</v>
      </c>
      <c r="P1903">
        <v>449</v>
      </c>
      <c r="Q1903">
        <v>0</v>
      </c>
      <c r="R1903">
        <v>54</v>
      </c>
      <c r="S1903">
        <v>227</v>
      </c>
      <c r="T1903">
        <v>0</v>
      </c>
      <c r="U1903">
        <v>23</v>
      </c>
      <c r="V1903">
        <v>0</v>
      </c>
      <c r="W1903">
        <v>0</v>
      </c>
      <c r="X1903">
        <v>0</v>
      </c>
      <c r="Y1903">
        <v>142</v>
      </c>
      <c r="Z1903">
        <v>1</v>
      </c>
      <c r="AC1903">
        <v>0</v>
      </c>
      <c r="AD1903">
        <v>0</v>
      </c>
      <c r="AE1903">
        <v>0</v>
      </c>
      <c r="AF1903">
        <v>0</v>
      </c>
      <c r="AK1903">
        <v>0</v>
      </c>
      <c r="AL1903">
        <v>0</v>
      </c>
      <c r="AM1903">
        <v>0</v>
      </c>
      <c r="AN1903">
        <v>0</v>
      </c>
      <c r="AS1903">
        <v>0</v>
      </c>
      <c r="AT1903">
        <v>0</v>
      </c>
      <c r="AU1903">
        <v>0</v>
      </c>
      <c r="AV1903">
        <v>0</v>
      </c>
      <c r="BC1903">
        <v>0</v>
      </c>
      <c r="BD1903">
        <v>2</v>
      </c>
      <c r="BE1903">
        <v>449</v>
      </c>
      <c r="BF1903">
        <v>449</v>
      </c>
      <c r="BG1903">
        <v>546</v>
      </c>
      <c r="BJ1903">
        <v>1</v>
      </c>
      <c r="BL1903" t="s">
        <v>3969</v>
      </c>
      <c r="BM1903" s="4">
        <v>43283.247152777774</v>
      </c>
      <c r="BN1903" s="4">
        <v>43283.270381944443</v>
      </c>
      <c r="BO1903" s="4">
        <v>43283.270381944443</v>
      </c>
      <c r="BP1903" t="s">
        <v>92</v>
      </c>
      <c r="BQ1903" t="s">
        <v>93</v>
      </c>
      <c r="BR1903" t="s">
        <v>94</v>
      </c>
    </row>
    <row r="1904" spans="1:70" x14ac:dyDescent="0.3">
      <c r="A1904" t="str">
        <f>"201143B0100"</f>
        <v>201143B0100</v>
      </c>
      <c r="B1904" t="s">
        <v>3970</v>
      </c>
      <c r="C1904">
        <v>20</v>
      </c>
      <c r="D1904" t="s">
        <v>88</v>
      </c>
      <c r="E1904">
        <v>199</v>
      </c>
      <c r="F1904" t="s">
        <v>3952</v>
      </c>
      <c r="G1904">
        <v>1143</v>
      </c>
      <c r="H1904">
        <v>1</v>
      </c>
      <c r="I1904" t="s">
        <v>90</v>
      </c>
      <c r="J1904">
        <v>0</v>
      </c>
      <c r="K1904">
        <v>2</v>
      </c>
      <c r="L1904">
        <v>5</v>
      </c>
      <c r="M1904">
        <v>74</v>
      </c>
      <c r="N1904">
        <v>166</v>
      </c>
      <c r="O1904">
        <v>0</v>
      </c>
      <c r="P1904">
        <v>166</v>
      </c>
      <c r="Q1904">
        <v>2</v>
      </c>
      <c r="R1904">
        <v>14</v>
      </c>
      <c r="S1904">
        <v>10</v>
      </c>
      <c r="T1904">
        <v>1</v>
      </c>
      <c r="U1904">
        <v>7</v>
      </c>
      <c r="V1904">
        <v>1</v>
      </c>
      <c r="W1904">
        <v>1</v>
      </c>
      <c r="X1904">
        <v>1</v>
      </c>
      <c r="Y1904">
        <v>32</v>
      </c>
      <c r="Z1904">
        <v>2</v>
      </c>
      <c r="AC1904">
        <v>0</v>
      </c>
      <c r="AD1904">
        <v>0</v>
      </c>
      <c r="AE1904">
        <v>0</v>
      </c>
      <c r="AF1904">
        <v>0</v>
      </c>
      <c r="AK1904">
        <v>0</v>
      </c>
      <c r="AL1904">
        <v>0</v>
      </c>
      <c r="AM1904">
        <v>0</v>
      </c>
      <c r="AN1904">
        <v>0</v>
      </c>
      <c r="AS1904">
        <v>1</v>
      </c>
      <c r="AT1904">
        <v>3</v>
      </c>
      <c r="AU1904">
        <v>0</v>
      </c>
      <c r="AV1904">
        <v>0</v>
      </c>
      <c r="BC1904">
        <v>0</v>
      </c>
      <c r="BD1904">
        <v>11</v>
      </c>
      <c r="BE1904">
        <v>166</v>
      </c>
      <c r="BF1904">
        <v>86</v>
      </c>
      <c r="BG1904">
        <v>218</v>
      </c>
      <c r="BJ1904">
        <v>1</v>
      </c>
      <c r="BL1904" t="s">
        <v>3971</v>
      </c>
      <c r="BM1904" s="4">
        <v>43283.214803240742</v>
      </c>
      <c r="BN1904" s="4">
        <v>43283.235034722224</v>
      </c>
      <c r="BO1904" s="4">
        <v>43283.235034722224</v>
      </c>
      <c r="BP1904" t="s">
        <v>92</v>
      </c>
      <c r="BQ1904" t="s">
        <v>93</v>
      </c>
      <c r="BR1904" t="s">
        <v>94</v>
      </c>
    </row>
    <row r="1905" spans="1:70" x14ac:dyDescent="0.3">
      <c r="A1905" t="str">
        <f>"201143E0100"</f>
        <v>201143E0100</v>
      </c>
      <c r="B1905" s="2" t="s">
        <v>3972</v>
      </c>
      <c r="C1905">
        <v>20</v>
      </c>
      <c r="D1905" t="s">
        <v>88</v>
      </c>
      <c r="E1905">
        <v>199</v>
      </c>
      <c r="F1905" t="s">
        <v>3952</v>
      </c>
      <c r="G1905">
        <v>1143</v>
      </c>
      <c r="H1905">
        <v>1</v>
      </c>
      <c r="I1905" t="s">
        <v>156</v>
      </c>
      <c r="J1905">
        <v>0</v>
      </c>
      <c r="K1905">
        <v>2</v>
      </c>
      <c r="L1905">
        <v>5</v>
      </c>
      <c r="M1905">
        <v>83</v>
      </c>
      <c r="N1905">
        <v>185</v>
      </c>
      <c r="O1905">
        <v>0</v>
      </c>
      <c r="P1905">
        <v>185</v>
      </c>
      <c r="Q1905">
        <v>4</v>
      </c>
      <c r="R1905">
        <v>34</v>
      </c>
      <c r="S1905">
        <v>94</v>
      </c>
      <c r="T1905">
        <v>4</v>
      </c>
      <c r="U1905">
        <v>8</v>
      </c>
      <c r="V1905">
        <v>6</v>
      </c>
      <c r="W1905">
        <v>0</v>
      </c>
      <c r="X1905">
        <v>0</v>
      </c>
      <c r="Y1905">
        <v>19</v>
      </c>
      <c r="Z1905">
        <v>2</v>
      </c>
      <c r="AC1905">
        <v>0</v>
      </c>
      <c r="AD1905">
        <v>2</v>
      </c>
      <c r="AE1905">
        <v>0</v>
      </c>
      <c r="AF1905">
        <v>0</v>
      </c>
      <c r="AK1905">
        <v>1</v>
      </c>
      <c r="AL1905">
        <v>0</v>
      </c>
      <c r="AM1905">
        <v>0</v>
      </c>
      <c r="AN1905">
        <v>1</v>
      </c>
      <c r="AS1905">
        <v>3</v>
      </c>
      <c r="AT1905">
        <v>0</v>
      </c>
      <c r="AU1905">
        <v>0</v>
      </c>
      <c r="AV1905">
        <v>0</v>
      </c>
      <c r="BC1905">
        <v>0</v>
      </c>
      <c r="BD1905">
        <v>7</v>
      </c>
      <c r="BE1905">
        <v>185</v>
      </c>
      <c r="BF1905">
        <v>185</v>
      </c>
      <c r="BG1905">
        <v>246</v>
      </c>
      <c r="BJ1905">
        <v>1</v>
      </c>
      <c r="BL1905" t="s">
        <v>3973</v>
      </c>
      <c r="BM1905" s="4">
        <v>43283.137106481481</v>
      </c>
      <c r="BN1905" s="4">
        <v>43283.147187499999</v>
      </c>
      <c r="BO1905" s="4">
        <v>43283.147187499999</v>
      </c>
      <c r="BP1905" t="s">
        <v>92</v>
      </c>
      <c r="BQ1905" t="s">
        <v>93</v>
      </c>
      <c r="BR1905" t="s">
        <v>94</v>
      </c>
    </row>
    <row r="1906" spans="1:70" x14ac:dyDescent="0.3">
      <c r="A1906" t="str">
        <f>"201143E0200"</f>
        <v>201143E0200</v>
      </c>
      <c r="B1906" s="2" t="s">
        <v>3974</v>
      </c>
      <c r="C1906">
        <v>20</v>
      </c>
      <c r="D1906" t="s">
        <v>88</v>
      </c>
      <c r="E1906">
        <v>199</v>
      </c>
      <c r="F1906" t="s">
        <v>3952</v>
      </c>
      <c r="G1906">
        <v>1143</v>
      </c>
      <c r="H1906">
        <v>2</v>
      </c>
      <c r="I1906" t="s">
        <v>156</v>
      </c>
      <c r="J1906">
        <v>0</v>
      </c>
      <c r="K1906">
        <v>2</v>
      </c>
      <c r="L1906">
        <v>5</v>
      </c>
      <c r="M1906">
        <v>45</v>
      </c>
      <c r="N1906">
        <v>77</v>
      </c>
      <c r="O1906">
        <v>4</v>
      </c>
      <c r="P1906">
        <v>75</v>
      </c>
      <c r="Q1906">
        <v>2</v>
      </c>
      <c r="R1906">
        <v>23</v>
      </c>
      <c r="S1906">
        <v>23</v>
      </c>
      <c r="T1906">
        <v>2</v>
      </c>
      <c r="U1906">
        <v>3</v>
      </c>
      <c r="V1906">
        <v>0</v>
      </c>
      <c r="W1906">
        <v>0</v>
      </c>
      <c r="X1906">
        <v>0</v>
      </c>
      <c r="Y1906">
        <v>14</v>
      </c>
      <c r="Z1906">
        <v>2</v>
      </c>
      <c r="AC1906">
        <v>0</v>
      </c>
      <c r="AD1906">
        <v>0</v>
      </c>
      <c r="AE1906">
        <v>0</v>
      </c>
      <c r="AF1906">
        <v>0</v>
      </c>
      <c r="AK1906">
        <v>1</v>
      </c>
      <c r="AL1906">
        <v>0</v>
      </c>
      <c r="AM1906">
        <v>0</v>
      </c>
      <c r="AN1906">
        <v>0</v>
      </c>
      <c r="AS1906">
        <v>0</v>
      </c>
      <c r="AT1906">
        <v>3</v>
      </c>
      <c r="AU1906">
        <v>0</v>
      </c>
      <c r="AV1906">
        <v>0</v>
      </c>
      <c r="BC1906">
        <v>0</v>
      </c>
      <c r="BD1906">
        <v>2</v>
      </c>
      <c r="BE1906">
        <v>75</v>
      </c>
      <c r="BF1906">
        <v>75</v>
      </c>
      <c r="BG1906">
        <v>98</v>
      </c>
      <c r="BJ1906">
        <v>1</v>
      </c>
      <c r="BL1906" t="s">
        <v>3975</v>
      </c>
      <c r="BM1906" s="4">
        <v>43283.119131944448</v>
      </c>
      <c r="BN1906" s="4">
        <v>43283.123553240737</v>
      </c>
      <c r="BO1906" s="4">
        <v>43283.123553240737</v>
      </c>
      <c r="BP1906" t="s">
        <v>92</v>
      </c>
      <c r="BQ1906" t="s">
        <v>93</v>
      </c>
      <c r="BR1906" t="s">
        <v>94</v>
      </c>
    </row>
    <row r="1907" spans="1:70" x14ac:dyDescent="0.3">
      <c r="A1907" t="str">
        <f>"201144B0100"</f>
        <v>201144B0100</v>
      </c>
      <c r="B1907" t="s">
        <v>3976</v>
      </c>
      <c r="C1907">
        <v>20</v>
      </c>
      <c r="D1907" t="s">
        <v>88</v>
      </c>
      <c r="E1907">
        <v>199</v>
      </c>
      <c r="F1907" t="s">
        <v>3952</v>
      </c>
      <c r="G1907">
        <v>1144</v>
      </c>
      <c r="H1907">
        <v>1</v>
      </c>
      <c r="I1907" t="s">
        <v>90</v>
      </c>
      <c r="J1907">
        <v>0</v>
      </c>
      <c r="K1907">
        <v>2</v>
      </c>
      <c r="L1907">
        <v>5</v>
      </c>
      <c r="M1907" t="s">
        <v>127</v>
      </c>
      <c r="N1907">
        <v>268</v>
      </c>
      <c r="O1907">
        <v>0</v>
      </c>
      <c r="P1907" t="s">
        <v>127</v>
      </c>
      <c r="Q1907">
        <v>5</v>
      </c>
      <c r="R1907">
        <v>12</v>
      </c>
      <c r="S1907">
        <v>154</v>
      </c>
      <c r="T1907">
        <v>8</v>
      </c>
      <c r="U1907">
        <v>23</v>
      </c>
      <c r="V1907">
        <v>6</v>
      </c>
      <c r="W1907">
        <v>3</v>
      </c>
      <c r="X1907">
        <v>1</v>
      </c>
      <c r="Y1907">
        <v>39</v>
      </c>
      <c r="Z1907">
        <v>4</v>
      </c>
      <c r="AC1907" t="s">
        <v>105</v>
      </c>
      <c r="AD1907">
        <v>2</v>
      </c>
      <c r="AE1907" t="s">
        <v>105</v>
      </c>
      <c r="AF1907" t="s">
        <v>105</v>
      </c>
      <c r="AK1907">
        <v>2</v>
      </c>
      <c r="AL1907" t="s">
        <v>105</v>
      </c>
      <c r="AM1907" t="s">
        <v>105</v>
      </c>
      <c r="AN1907" t="s">
        <v>105</v>
      </c>
      <c r="AS1907" t="s">
        <v>105</v>
      </c>
      <c r="AT1907" t="s">
        <v>105</v>
      </c>
      <c r="AU1907" t="s">
        <v>105</v>
      </c>
      <c r="AV1907" t="s">
        <v>105</v>
      </c>
      <c r="BC1907" t="s">
        <v>105</v>
      </c>
      <c r="BD1907">
        <v>9</v>
      </c>
      <c r="BE1907" t="s">
        <v>105</v>
      </c>
      <c r="BF1907">
        <v>268</v>
      </c>
      <c r="BG1907">
        <v>378</v>
      </c>
      <c r="BI1907" t="s">
        <v>106</v>
      </c>
      <c r="BJ1907">
        <v>1</v>
      </c>
      <c r="BL1907" t="s">
        <v>3977</v>
      </c>
      <c r="BM1907" s="4">
        <v>43283.276053240741</v>
      </c>
      <c r="BN1907" s="4">
        <v>43283.319826388892</v>
      </c>
      <c r="BO1907" s="4">
        <v>43283.319826388892</v>
      </c>
      <c r="BP1907" t="s">
        <v>92</v>
      </c>
      <c r="BQ1907" t="s">
        <v>93</v>
      </c>
      <c r="BR1907" t="s">
        <v>94</v>
      </c>
    </row>
    <row r="1908" spans="1:70" x14ac:dyDescent="0.3">
      <c r="A1908" t="str">
        <f>"201144E0100"</f>
        <v>201144E0100</v>
      </c>
      <c r="B1908" s="2" t="s">
        <v>3978</v>
      </c>
      <c r="C1908">
        <v>20</v>
      </c>
      <c r="D1908" t="s">
        <v>88</v>
      </c>
      <c r="E1908">
        <v>199</v>
      </c>
      <c r="F1908" t="s">
        <v>3952</v>
      </c>
      <c r="G1908">
        <v>1144</v>
      </c>
      <c r="H1908">
        <v>1</v>
      </c>
      <c r="I1908" t="s">
        <v>156</v>
      </c>
      <c r="J1908">
        <v>0</v>
      </c>
      <c r="K1908">
        <v>1</v>
      </c>
      <c r="L1908">
        <v>5</v>
      </c>
      <c r="M1908">
        <v>187</v>
      </c>
      <c r="N1908">
        <v>421</v>
      </c>
      <c r="O1908">
        <v>0</v>
      </c>
      <c r="P1908">
        <v>421</v>
      </c>
      <c r="Q1908">
        <v>7</v>
      </c>
      <c r="R1908">
        <v>79</v>
      </c>
      <c r="S1908">
        <v>185</v>
      </c>
      <c r="T1908">
        <v>5</v>
      </c>
      <c r="U1908">
        <v>45</v>
      </c>
      <c r="V1908">
        <v>5</v>
      </c>
      <c r="W1908">
        <v>0</v>
      </c>
      <c r="X1908">
        <v>11</v>
      </c>
      <c r="Y1908">
        <v>61</v>
      </c>
      <c r="Z1908">
        <v>4</v>
      </c>
      <c r="AC1908">
        <v>0</v>
      </c>
      <c r="AD1908">
        <v>0</v>
      </c>
      <c r="AE1908">
        <v>0</v>
      </c>
      <c r="AF1908">
        <v>1</v>
      </c>
      <c r="AK1908">
        <v>0</v>
      </c>
      <c r="AL1908">
        <v>0</v>
      </c>
      <c r="AM1908">
        <v>0</v>
      </c>
      <c r="AN1908">
        <v>0</v>
      </c>
      <c r="AS1908">
        <v>4</v>
      </c>
      <c r="AT1908">
        <v>0</v>
      </c>
      <c r="AU1908">
        <v>0</v>
      </c>
      <c r="AV1908">
        <v>0</v>
      </c>
      <c r="BC1908">
        <v>0</v>
      </c>
      <c r="BD1908">
        <v>15</v>
      </c>
      <c r="BE1908">
        <v>421</v>
      </c>
      <c r="BF1908">
        <v>422</v>
      </c>
      <c r="BG1908">
        <v>586</v>
      </c>
      <c r="BJ1908">
        <v>1</v>
      </c>
      <c r="BL1908" t="s">
        <v>3979</v>
      </c>
      <c r="BM1908" s="4">
        <v>43283.274895833332</v>
      </c>
      <c r="BN1908" s="4">
        <v>43283.300868055558</v>
      </c>
      <c r="BO1908" s="4">
        <v>43283.300868055558</v>
      </c>
      <c r="BP1908" t="s">
        <v>92</v>
      </c>
      <c r="BQ1908" t="s">
        <v>93</v>
      </c>
      <c r="BR1908" t="s">
        <v>94</v>
      </c>
    </row>
    <row r="1909" spans="1:70" x14ac:dyDescent="0.3">
      <c r="A1909" t="str">
        <f>"201144E0200"</f>
        <v>201144E0200</v>
      </c>
      <c r="B1909" s="2" t="s">
        <v>3980</v>
      </c>
      <c r="C1909">
        <v>20</v>
      </c>
      <c r="D1909" t="s">
        <v>88</v>
      </c>
      <c r="E1909">
        <v>199</v>
      </c>
      <c r="F1909" t="s">
        <v>3952</v>
      </c>
      <c r="G1909">
        <v>1144</v>
      </c>
      <c r="H1909">
        <v>2</v>
      </c>
      <c r="I1909" t="s">
        <v>156</v>
      </c>
      <c r="J1909">
        <v>0</v>
      </c>
      <c r="K1909">
        <v>2</v>
      </c>
      <c r="L1909">
        <v>5</v>
      </c>
      <c r="M1909">
        <v>57</v>
      </c>
      <c r="N1909">
        <v>141</v>
      </c>
      <c r="O1909">
        <v>2</v>
      </c>
      <c r="P1909">
        <v>141</v>
      </c>
      <c r="Q1909">
        <v>3</v>
      </c>
      <c r="R1909">
        <v>4</v>
      </c>
      <c r="S1909">
        <v>110</v>
      </c>
      <c r="T1909">
        <v>0</v>
      </c>
      <c r="U1909">
        <v>4</v>
      </c>
      <c r="V1909">
        <v>0</v>
      </c>
      <c r="W1909">
        <v>1</v>
      </c>
      <c r="X1909">
        <v>0</v>
      </c>
      <c r="Y1909">
        <v>11</v>
      </c>
      <c r="Z1909">
        <v>0</v>
      </c>
      <c r="AC1909">
        <v>1</v>
      </c>
      <c r="AD1909">
        <v>1</v>
      </c>
      <c r="AE1909">
        <v>0</v>
      </c>
      <c r="AF1909">
        <v>0</v>
      </c>
      <c r="AK1909">
        <v>1</v>
      </c>
      <c r="AL1909">
        <v>0</v>
      </c>
      <c r="AM1909">
        <v>1</v>
      </c>
      <c r="AN1909">
        <v>0</v>
      </c>
      <c r="AS1909">
        <v>0</v>
      </c>
      <c r="AT1909">
        <v>0</v>
      </c>
      <c r="AU1909">
        <v>0</v>
      </c>
      <c r="AV1909">
        <v>0</v>
      </c>
      <c r="BC1909">
        <v>0</v>
      </c>
      <c r="BD1909">
        <v>4</v>
      </c>
      <c r="BE1909">
        <v>141</v>
      </c>
      <c r="BF1909">
        <v>141</v>
      </c>
      <c r="BG1909">
        <v>176</v>
      </c>
      <c r="BJ1909">
        <v>1</v>
      </c>
      <c r="BL1909" t="s">
        <v>3981</v>
      </c>
      <c r="BM1909" s="4">
        <v>43283.261030092595</v>
      </c>
      <c r="BN1909" s="4">
        <v>43283.288495370369</v>
      </c>
      <c r="BO1909" s="4">
        <v>43283.288495370369</v>
      </c>
      <c r="BP1909" t="s">
        <v>92</v>
      </c>
      <c r="BQ1909" t="s">
        <v>93</v>
      </c>
      <c r="BR1909" t="s">
        <v>94</v>
      </c>
    </row>
    <row r="1910" spans="1:70" x14ac:dyDescent="0.3">
      <c r="A1910" t="str">
        <f>"201145B0100"</f>
        <v>201145B0100</v>
      </c>
      <c r="B1910" t="s">
        <v>3982</v>
      </c>
      <c r="C1910">
        <v>20</v>
      </c>
      <c r="D1910" t="s">
        <v>88</v>
      </c>
      <c r="E1910">
        <v>199</v>
      </c>
      <c r="F1910" t="s">
        <v>3952</v>
      </c>
      <c r="G1910">
        <v>1145</v>
      </c>
      <c r="H1910">
        <v>1</v>
      </c>
      <c r="I1910" t="s">
        <v>90</v>
      </c>
      <c r="J1910">
        <v>0</v>
      </c>
      <c r="K1910">
        <v>2</v>
      </c>
      <c r="L1910">
        <v>5</v>
      </c>
      <c r="M1910">
        <v>189</v>
      </c>
      <c r="N1910">
        <v>408</v>
      </c>
      <c r="O1910">
        <v>3</v>
      </c>
      <c r="P1910">
        <v>408</v>
      </c>
      <c r="Q1910">
        <v>1</v>
      </c>
      <c r="R1910">
        <v>17</v>
      </c>
      <c r="S1910">
        <v>207</v>
      </c>
      <c r="T1910">
        <v>39</v>
      </c>
      <c r="U1910">
        <v>46</v>
      </c>
      <c r="V1910">
        <v>3</v>
      </c>
      <c r="W1910">
        <v>2</v>
      </c>
      <c r="X1910" t="s">
        <v>105</v>
      </c>
      <c r="Y1910">
        <v>54</v>
      </c>
      <c r="Z1910">
        <v>2</v>
      </c>
      <c r="AC1910" t="s">
        <v>105</v>
      </c>
      <c r="AD1910">
        <v>3</v>
      </c>
      <c r="AE1910" t="s">
        <v>105</v>
      </c>
      <c r="AF1910" t="s">
        <v>105</v>
      </c>
      <c r="AK1910" t="s">
        <v>105</v>
      </c>
      <c r="AL1910" t="s">
        <v>105</v>
      </c>
      <c r="AM1910">
        <v>5</v>
      </c>
      <c r="AN1910" t="s">
        <v>105</v>
      </c>
      <c r="AS1910" t="s">
        <v>105</v>
      </c>
      <c r="AT1910" t="s">
        <v>105</v>
      </c>
      <c r="AU1910" t="s">
        <v>105</v>
      </c>
      <c r="AV1910" t="s">
        <v>105</v>
      </c>
      <c r="BC1910" t="s">
        <v>105</v>
      </c>
      <c r="BD1910">
        <v>29</v>
      </c>
      <c r="BE1910">
        <v>408</v>
      </c>
      <c r="BF1910">
        <v>408</v>
      </c>
      <c r="BG1910">
        <v>575</v>
      </c>
      <c r="BI1910" t="s">
        <v>106</v>
      </c>
      <c r="BJ1910">
        <v>1</v>
      </c>
      <c r="BL1910" t="s">
        <v>3983</v>
      </c>
      <c r="BM1910" s="4">
        <v>43283.218692129631</v>
      </c>
      <c r="BN1910" s="4">
        <v>43283.240439814814</v>
      </c>
      <c r="BO1910" s="4">
        <v>43283.240439814814</v>
      </c>
      <c r="BP1910" t="s">
        <v>92</v>
      </c>
      <c r="BQ1910" t="s">
        <v>93</v>
      </c>
      <c r="BR1910" t="s">
        <v>94</v>
      </c>
    </row>
    <row r="1911" spans="1:70" x14ac:dyDescent="0.3">
      <c r="A1911" t="str">
        <f>"201145E0100"</f>
        <v>201145E0100</v>
      </c>
      <c r="B1911" s="2" t="s">
        <v>3984</v>
      </c>
      <c r="C1911">
        <v>20</v>
      </c>
      <c r="D1911" t="s">
        <v>88</v>
      </c>
      <c r="E1911">
        <v>199</v>
      </c>
      <c r="F1911" t="s">
        <v>3952</v>
      </c>
      <c r="G1911">
        <v>1145</v>
      </c>
      <c r="H1911">
        <v>1</v>
      </c>
      <c r="I1911" t="s">
        <v>156</v>
      </c>
      <c r="J1911">
        <v>0</v>
      </c>
      <c r="K1911">
        <v>2</v>
      </c>
      <c r="L1911">
        <v>5</v>
      </c>
      <c r="M1911">
        <v>105</v>
      </c>
      <c r="N1911">
        <v>254</v>
      </c>
      <c r="O1911">
        <v>2</v>
      </c>
      <c r="P1911">
        <v>254</v>
      </c>
      <c r="Q1911">
        <v>4</v>
      </c>
      <c r="R1911">
        <v>14</v>
      </c>
      <c r="S1911">
        <v>179</v>
      </c>
      <c r="T1911">
        <v>9</v>
      </c>
      <c r="U1911">
        <v>22</v>
      </c>
      <c r="V1911">
        <v>0</v>
      </c>
      <c r="W1911">
        <v>0</v>
      </c>
      <c r="X1911">
        <v>1</v>
      </c>
      <c r="Y1911">
        <v>11</v>
      </c>
      <c r="Z1911">
        <v>3</v>
      </c>
      <c r="AC1911">
        <v>2</v>
      </c>
      <c r="AD1911">
        <v>0</v>
      </c>
      <c r="AE1911">
        <v>0</v>
      </c>
      <c r="AF1911">
        <v>0</v>
      </c>
      <c r="AK1911">
        <v>1</v>
      </c>
      <c r="AL1911">
        <v>0</v>
      </c>
      <c r="AM1911">
        <v>0</v>
      </c>
      <c r="AN1911">
        <v>0</v>
      </c>
      <c r="AS1911">
        <v>0</v>
      </c>
      <c r="AT1911">
        <v>0</v>
      </c>
      <c r="AU1911">
        <v>0</v>
      </c>
      <c r="AV1911">
        <v>0</v>
      </c>
      <c r="BC1911">
        <v>0</v>
      </c>
      <c r="BD1911">
        <v>8</v>
      </c>
      <c r="BE1911">
        <v>254</v>
      </c>
      <c r="BF1911">
        <v>254</v>
      </c>
      <c r="BG1911">
        <v>337</v>
      </c>
      <c r="BJ1911">
        <v>1</v>
      </c>
      <c r="BL1911" t="s">
        <v>3985</v>
      </c>
      <c r="BM1911" s="4">
        <v>43283.226157407407</v>
      </c>
      <c r="BN1911" s="4">
        <v>43283.249560185184</v>
      </c>
      <c r="BO1911" s="4">
        <v>43283.249560185184</v>
      </c>
      <c r="BP1911" t="s">
        <v>92</v>
      </c>
      <c r="BQ1911" t="s">
        <v>93</v>
      </c>
      <c r="BR1911" t="s">
        <v>94</v>
      </c>
    </row>
    <row r="1912" spans="1:70" x14ac:dyDescent="0.3">
      <c r="A1912" t="str">
        <f>"201146B0100"</f>
        <v>201146B0100</v>
      </c>
      <c r="B1912" t="s">
        <v>3986</v>
      </c>
      <c r="C1912">
        <v>20</v>
      </c>
      <c r="D1912" t="s">
        <v>88</v>
      </c>
      <c r="E1912">
        <v>199</v>
      </c>
      <c r="F1912" t="s">
        <v>3952</v>
      </c>
      <c r="G1912">
        <v>1146</v>
      </c>
      <c r="H1912">
        <v>1</v>
      </c>
      <c r="I1912" t="s">
        <v>90</v>
      </c>
      <c r="J1912">
        <v>0</v>
      </c>
      <c r="K1912">
        <v>2</v>
      </c>
      <c r="L1912">
        <v>5</v>
      </c>
      <c r="M1912">
        <v>96</v>
      </c>
      <c r="N1912">
        <v>285</v>
      </c>
      <c r="O1912">
        <v>0</v>
      </c>
      <c r="P1912">
        <v>285</v>
      </c>
      <c r="Q1912">
        <v>1</v>
      </c>
      <c r="R1912">
        <v>32</v>
      </c>
      <c r="S1912">
        <v>213</v>
      </c>
      <c r="T1912">
        <v>2</v>
      </c>
      <c r="U1912">
        <v>12</v>
      </c>
      <c r="V1912">
        <v>0</v>
      </c>
      <c r="W1912">
        <v>0</v>
      </c>
      <c r="X1912">
        <v>0</v>
      </c>
      <c r="Y1912">
        <v>15</v>
      </c>
      <c r="Z1912">
        <v>1</v>
      </c>
      <c r="AC1912">
        <v>0</v>
      </c>
      <c r="AD1912">
        <v>0</v>
      </c>
      <c r="AE1912">
        <v>0</v>
      </c>
      <c r="AF1912">
        <v>0</v>
      </c>
      <c r="AK1912">
        <v>0</v>
      </c>
      <c r="AL1912">
        <v>1</v>
      </c>
      <c r="AM1912">
        <v>0</v>
      </c>
      <c r="AN1912">
        <v>0</v>
      </c>
      <c r="AS1912">
        <v>0</v>
      </c>
      <c r="AT1912">
        <v>0</v>
      </c>
      <c r="AU1912">
        <v>0</v>
      </c>
      <c r="AV1912">
        <v>0</v>
      </c>
      <c r="BC1912">
        <v>0</v>
      </c>
      <c r="BD1912">
        <v>8</v>
      </c>
      <c r="BE1912">
        <v>285</v>
      </c>
      <c r="BF1912">
        <v>285</v>
      </c>
      <c r="BG1912">
        <v>359</v>
      </c>
      <c r="BJ1912">
        <v>1</v>
      </c>
      <c r="BL1912" t="s">
        <v>3987</v>
      </c>
      <c r="BM1912" s="4">
        <v>43283.227083333331</v>
      </c>
      <c r="BN1912" s="4">
        <v>43283.252592592595</v>
      </c>
      <c r="BO1912" s="4">
        <v>43283.252592592595</v>
      </c>
      <c r="BP1912" t="s">
        <v>92</v>
      </c>
      <c r="BQ1912" t="s">
        <v>93</v>
      </c>
      <c r="BR1912" t="s">
        <v>94</v>
      </c>
    </row>
    <row r="1913" spans="1:70" x14ac:dyDescent="0.3">
      <c r="A1913" t="str">
        <f>"201146E0100"</f>
        <v>201146E0100</v>
      </c>
      <c r="B1913" s="2" t="s">
        <v>3988</v>
      </c>
      <c r="C1913">
        <v>20</v>
      </c>
      <c r="D1913" t="s">
        <v>88</v>
      </c>
      <c r="E1913">
        <v>199</v>
      </c>
      <c r="F1913" t="s">
        <v>3952</v>
      </c>
      <c r="G1913">
        <v>1146</v>
      </c>
      <c r="H1913">
        <v>1</v>
      </c>
      <c r="I1913" t="s">
        <v>156</v>
      </c>
      <c r="J1913">
        <v>0</v>
      </c>
      <c r="K1913">
        <v>2</v>
      </c>
      <c r="L1913">
        <v>5</v>
      </c>
      <c r="M1913">
        <v>47</v>
      </c>
      <c r="N1913">
        <v>186</v>
      </c>
      <c r="O1913">
        <v>2</v>
      </c>
      <c r="P1913" t="s">
        <v>105</v>
      </c>
      <c r="Q1913">
        <v>3</v>
      </c>
      <c r="R1913">
        <v>12</v>
      </c>
      <c r="S1913">
        <v>126</v>
      </c>
      <c r="T1913">
        <v>0</v>
      </c>
      <c r="U1913">
        <v>15</v>
      </c>
      <c r="V1913">
        <v>2</v>
      </c>
      <c r="W1913">
        <v>0</v>
      </c>
      <c r="X1913">
        <v>1</v>
      </c>
      <c r="Y1913">
        <v>13</v>
      </c>
      <c r="Z1913">
        <v>2</v>
      </c>
      <c r="AC1913">
        <v>0</v>
      </c>
      <c r="AD1913">
        <v>0</v>
      </c>
      <c r="AE1913">
        <v>0</v>
      </c>
      <c r="AF1913">
        <v>0</v>
      </c>
      <c r="AK1913">
        <v>2</v>
      </c>
      <c r="AL1913">
        <v>0</v>
      </c>
      <c r="AM1913">
        <v>0</v>
      </c>
      <c r="AN1913">
        <v>0</v>
      </c>
      <c r="AS1913">
        <v>0</v>
      </c>
      <c r="AT1913">
        <v>0</v>
      </c>
      <c r="AU1913">
        <v>0</v>
      </c>
      <c r="AV1913">
        <v>0</v>
      </c>
      <c r="BC1913">
        <v>0</v>
      </c>
      <c r="BD1913">
        <v>10</v>
      </c>
      <c r="BE1913">
        <v>186</v>
      </c>
      <c r="BF1913">
        <v>186</v>
      </c>
      <c r="BG1913">
        <v>211</v>
      </c>
      <c r="BJ1913">
        <v>1</v>
      </c>
      <c r="BL1913" t="s">
        <v>3989</v>
      </c>
      <c r="BM1913" s="4">
        <v>43283.222916666666</v>
      </c>
      <c r="BN1913" s="4">
        <v>43283.24391203704</v>
      </c>
      <c r="BO1913" s="4">
        <v>43283.24391203704</v>
      </c>
      <c r="BP1913" t="s">
        <v>92</v>
      </c>
      <c r="BQ1913" t="s">
        <v>93</v>
      </c>
      <c r="BR1913" t="s">
        <v>94</v>
      </c>
    </row>
    <row r="1914" spans="1:70" x14ac:dyDescent="0.3">
      <c r="A1914" t="str">
        <f>"201147B0100"</f>
        <v>201147B0100</v>
      </c>
      <c r="B1914" t="s">
        <v>3990</v>
      </c>
      <c r="C1914">
        <v>20</v>
      </c>
      <c r="D1914" t="s">
        <v>88</v>
      </c>
      <c r="E1914">
        <v>199</v>
      </c>
      <c r="F1914" t="s">
        <v>3952</v>
      </c>
      <c r="G1914">
        <v>1147</v>
      </c>
      <c r="H1914">
        <v>1</v>
      </c>
      <c r="I1914" t="s">
        <v>90</v>
      </c>
      <c r="J1914">
        <v>0</v>
      </c>
      <c r="K1914">
        <v>2</v>
      </c>
      <c r="L1914">
        <v>5</v>
      </c>
      <c r="M1914">
        <v>136</v>
      </c>
      <c r="N1914">
        <v>304</v>
      </c>
      <c r="O1914">
        <v>0</v>
      </c>
      <c r="P1914">
        <v>304</v>
      </c>
      <c r="Q1914">
        <v>0</v>
      </c>
      <c r="R1914">
        <v>39</v>
      </c>
      <c r="S1914">
        <v>202</v>
      </c>
      <c r="T1914">
        <v>2</v>
      </c>
      <c r="U1914">
        <v>37</v>
      </c>
      <c r="V1914">
        <v>1</v>
      </c>
      <c r="W1914">
        <v>0</v>
      </c>
      <c r="X1914">
        <v>2</v>
      </c>
      <c r="Y1914">
        <v>11</v>
      </c>
      <c r="Z1914">
        <v>2</v>
      </c>
      <c r="AC1914">
        <v>0</v>
      </c>
      <c r="AD1914">
        <v>0</v>
      </c>
      <c r="AE1914">
        <v>0</v>
      </c>
      <c r="AF1914">
        <v>0</v>
      </c>
      <c r="AK1914">
        <v>1</v>
      </c>
      <c r="AL1914">
        <v>0</v>
      </c>
      <c r="AM1914">
        <v>0</v>
      </c>
      <c r="AN1914">
        <v>0</v>
      </c>
      <c r="AS1914">
        <v>0</v>
      </c>
      <c r="AT1914">
        <v>0</v>
      </c>
      <c r="AU1914">
        <v>0</v>
      </c>
      <c r="AV1914">
        <v>0</v>
      </c>
      <c r="BC1914">
        <v>0</v>
      </c>
      <c r="BD1914">
        <v>7</v>
      </c>
      <c r="BE1914">
        <v>304</v>
      </c>
      <c r="BF1914">
        <v>304</v>
      </c>
      <c r="BG1914">
        <v>418</v>
      </c>
      <c r="BJ1914">
        <v>1</v>
      </c>
      <c r="BL1914" t="s">
        <v>3991</v>
      </c>
      <c r="BM1914" s="4">
        <v>43283.221412037034</v>
      </c>
      <c r="BN1914" s="4">
        <v>43283.242824074077</v>
      </c>
      <c r="BO1914" s="4">
        <v>43283.242824074077</v>
      </c>
      <c r="BP1914" t="s">
        <v>92</v>
      </c>
      <c r="BQ1914" t="s">
        <v>93</v>
      </c>
      <c r="BR1914" t="s">
        <v>94</v>
      </c>
    </row>
    <row r="1915" spans="1:70" x14ac:dyDescent="0.3">
      <c r="A1915" t="str">
        <f>"201147E0100"</f>
        <v>201147E0100</v>
      </c>
      <c r="B1915" s="2" t="s">
        <v>3992</v>
      </c>
      <c r="C1915">
        <v>20</v>
      </c>
      <c r="D1915" t="s">
        <v>88</v>
      </c>
      <c r="E1915">
        <v>199</v>
      </c>
      <c r="F1915" t="s">
        <v>3952</v>
      </c>
      <c r="G1915">
        <v>1147</v>
      </c>
      <c r="H1915">
        <v>1</v>
      </c>
      <c r="I1915" t="s">
        <v>156</v>
      </c>
      <c r="J1915">
        <v>0</v>
      </c>
      <c r="K1915">
        <v>2</v>
      </c>
      <c r="L1915">
        <v>5</v>
      </c>
      <c r="M1915">
        <v>122</v>
      </c>
      <c r="N1915">
        <v>245</v>
      </c>
      <c r="O1915">
        <v>0</v>
      </c>
      <c r="P1915">
        <v>245</v>
      </c>
      <c r="Q1915">
        <v>3</v>
      </c>
      <c r="R1915">
        <v>61</v>
      </c>
      <c r="S1915">
        <v>84</v>
      </c>
      <c r="T1915">
        <v>3</v>
      </c>
      <c r="U1915">
        <v>29</v>
      </c>
      <c r="V1915">
        <v>0</v>
      </c>
      <c r="W1915">
        <v>2</v>
      </c>
      <c r="X1915">
        <v>4</v>
      </c>
      <c r="Y1915">
        <v>42</v>
      </c>
      <c r="Z1915">
        <v>0</v>
      </c>
      <c r="AC1915">
        <v>0</v>
      </c>
      <c r="AD1915">
        <v>0</v>
      </c>
      <c r="AE1915">
        <v>0</v>
      </c>
      <c r="AF1915">
        <v>0</v>
      </c>
      <c r="AK1915">
        <v>1</v>
      </c>
      <c r="AL1915">
        <v>0</v>
      </c>
      <c r="AM1915">
        <v>0</v>
      </c>
      <c r="AN1915">
        <v>1</v>
      </c>
      <c r="AS1915">
        <v>0</v>
      </c>
      <c r="AT1915">
        <v>0</v>
      </c>
      <c r="AU1915">
        <v>1</v>
      </c>
      <c r="AV1915">
        <v>0</v>
      </c>
      <c r="BC1915">
        <v>0</v>
      </c>
      <c r="BD1915">
        <v>14</v>
      </c>
      <c r="BE1915">
        <v>245</v>
      </c>
      <c r="BF1915">
        <v>245</v>
      </c>
      <c r="BG1915">
        <v>345</v>
      </c>
      <c r="BJ1915">
        <v>1</v>
      </c>
      <c r="BL1915" t="s">
        <v>3993</v>
      </c>
      <c r="BM1915" s="4">
        <v>43283.220173611109</v>
      </c>
      <c r="BN1915" s="4">
        <v>43283.241516203707</v>
      </c>
      <c r="BO1915" s="4">
        <v>43283.241516203707</v>
      </c>
      <c r="BP1915" t="s">
        <v>92</v>
      </c>
      <c r="BQ1915" t="s">
        <v>93</v>
      </c>
      <c r="BR1915" t="s">
        <v>94</v>
      </c>
    </row>
    <row r="1916" spans="1:70" x14ac:dyDescent="0.3">
      <c r="A1916" t="str">
        <f>"201148B0100"</f>
        <v>201148B0100</v>
      </c>
      <c r="B1916" t="s">
        <v>3994</v>
      </c>
      <c r="C1916">
        <v>20</v>
      </c>
      <c r="D1916" t="s">
        <v>88</v>
      </c>
      <c r="E1916">
        <v>199</v>
      </c>
      <c r="F1916" t="s">
        <v>3952</v>
      </c>
      <c r="G1916">
        <v>1148</v>
      </c>
      <c r="H1916">
        <v>1</v>
      </c>
      <c r="I1916" t="s">
        <v>90</v>
      </c>
      <c r="J1916">
        <v>0</v>
      </c>
      <c r="K1916">
        <v>2</v>
      </c>
      <c r="L1916">
        <v>5</v>
      </c>
      <c r="BG1916">
        <v>635</v>
      </c>
      <c r="BI1916" t="s">
        <v>122</v>
      </c>
      <c r="BJ1916">
        <v>0</v>
      </c>
      <c r="BL1916" t="s">
        <v>3995</v>
      </c>
      <c r="BM1916" s="4">
        <v>43283.315601851849</v>
      </c>
      <c r="BN1916" s="4">
        <v>43283.321122685185</v>
      </c>
      <c r="BO1916" s="4">
        <v>43283.321122685185</v>
      </c>
      <c r="BP1916" t="s">
        <v>92</v>
      </c>
      <c r="BQ1916" t="s">
        <v>93</v>
      </c>
      <c r="BR1916" t="s">
        <v>94</v>
      </c>
    </row>
    <row r="1917" spans="1:70" x14ac:dyDescent="0.3">
      <c r="A1917" t="str">
        <f>"201148E0100"</f>
        <v>201148E0100</v>
      </c>
      <c r="B1917" s="2" t="s">
        <v>3996</v>
      </c>
      <c r="C1917">
        <v>20</v>
      </c>
      <c r="D1917" t="s">
        <v>88</v>
      </c>
      <c r="E1917">
        <v>199</v>
      </c>
      <c r="F1917" t="s">
        <v>3952</v>
      </c>
      <c r="G1917">
        <v>1148</v>
      </c>
      <c r="H1917">
        <v>1</v>
      </c>
      <c r="I1917" t="s">
        <v>156</v>
      </c>
      <c r="J1917">
        <v>0</v>
      </c>
      <c r="K1917">
        <v>2</v>
      </c>
      <c r="L1917">
        <v>5</v>
      </c>
      <c r="M1917">
        <v>50</v>
      </c>
      <c r="N1917">
        <v>74</v>
      </c>
      <c r="O1917">
        <v>2</v>
      </c>
      <c r="P1917">
        <v>74</v>
      </c>
      <c r="Q1917">
        <v>0</v>
      </c>
      <c r="R1917">
        <v>1</v>
      </c>
      <c r="S1917">
        <v>55</v>
      </c>
      <c r="T1917">
        <v>0</v>
      </c>
      <c r="U1917">
        <v>13</v>
      </c>
      <c r="V1917">
        <v>0</v>
      </c>
      <c r="W1917">
        <v>0</v>
      </c>
      <c r="X1917">
        <v>0</v>
      </c>
      <c r="Y1917">
        <v>4</v>
      </c>
      <c r="Z1917">
        <v>0</v>
      </c>
      <c r="AC1917">
        <v>0</v>
      </c>
      <c r="AD1917">
        <v>0</v>
      </c>
      <c r="AE1917">
        <v>0</v>
      </c>
      <c r="AF1917">
        <v>0</v>
      </c>
      <c r="AK1917">
        <v>1</v>
      </c>
      <c r="AL1917">
        <v>0</v>
      </c>
      <c r="AM1917">
        <v>0</v>
      </c>
      <c r="AN1917">
        <v>0</v>
      </c>
      <c r="AS1917" t="s">
        <v>105</v>
      </c>
      <c r="AT1917">
        <v>0</v>
      </c>
      <c r="AU1917" t="s">
        <v>105</v>
      </c>
      <c r="AV1917" t="s">
        <v>105</v>
      </c>
      <c r="BC1917">
        <v>0</v>
      </c>
      <c r="BD1917">
        <v>0</v>
      </c>
      <c r="BE1917">
        <v>74</v>
      </c>
      <c r="BF1917">
        <v>74</v>
      </c>
      <c r="BG1917">
        <v>102</v>
      </c>
      <c r="BI1917" t="s">
        <v>106</v>
      </c>
      <c r="BJ1917">
        <v>1</v>
      </c>
      <c r="BL1917" t="s">
        <v>3997</v>
      </c>
      <c r="BM1917" s="4">
        <v>43283.123877314814</v>
      </c>
      <c r="BN1917" s="4">
        <v>43283.128171296295</v>
      </c>
      <c r="BO1917" s="4">
        <v>43283.128171296295</v>
      </c>
      <c r="BP1917" t="s">
        <v>92</v>
      </c>
      <c r="BQ1917" t="s">
        <v>93</v>
      </c>
      <c r="BR1917" t="s">
        <v>94</v>
      </c>
    </row>
    <row r="1918" spans="1:70" x14ac:dyDescent="0.3">
      <c r="A1918" t="str">
        <f>"201149B0100"</f>
        <v>201149B0100</v>
      </c>
      <c r="B1918" t="s">
        <v>3998</v>
      </c>
      <c r="C1918">
        <v>20</v>
      </c>
      <c r="D1918" t="s">
        <v>88</v>
      </c>
      <c r="E1918">
        <v>199</v>
      </c>
      <c r="F1918" t="s">
        <v>3952</v>
      </c>
      <c r="G1918">
        <v>1149</v>
      </c>
      <c r="H1918">
        <v>1</v>
      </c>
      <c r="I1918" t="s">
        <v>90</v>
      </c>
      <c r="J1918">
        <v>0</v>
      </c>
      <c r="K1918">
        <v>2</v>
      </c>
      <c r="L1918">
        <v>5</v>
      </c>
      <c r="M1918">
        <v>113</v>
      </c>
      <c r="N1918">
        <v>315</v>
      </c>
      <c r="O1918">
        <v>0</v>
      </c>
      <c r="P1918">
        <v>315</v>
      </c>
      <c r="Q1918">
        <v>1</v>
      </c>
      <c r="R1918">
        <v>32</v>
      </c>
      <c r="S1918">
        <v>144</v>
      </c>
      <c r="T1918">
        <v>12</v>
      </c>
      <c r="U1918">
        <v>25</v>
      </c>
      <c r="V1918">
        <v>12</v>
      </c>
      <c r="W1918">
        <v>2</v>
      </c>
      <c r="X1918">
        <v>4</v>
      </c>
      <c r="Y1918">
        <v>59</v>
      </c>
      <c r="Z1918">
        <v>2</v>
      </c>
      <c r="AC1918">
        <v>0</v>
      </c>
      <c r="AD1918">
        <v>0</v>
      </c>
      <c r="AE1918">
        <v>0</v>
      </c>
      <c r="AF1918">
        <v>0</v>
      </c>
      <c r="AK1918">
        <v>0</v>
      </c>
      <c r="AL1918">
        <v>0</v>
      </c>
      <c r="AM1918">
        <v>0</v>
      </c>
      <c r="AN1918">
        <v>0</v>
      </c>
      <c r="AS1918">
        <v>0</v>
      </c>
      <c r="AT1918">
        <v>0</v>
      </c>
      <c r="AU1918">
        <v>0</v>
      </c>
      <c r="AV1918">
        <v>0</v>
      </c>
      <c r="BC1918">
        <v>0</v>
      </c>
      <c r="BD1918">
        <v>10</v>
      </c>
      <c r="BE1918">
        <v>303</v>
      </c>
      <c r="BF1918">
        <v>303</v>
      </c>
      <c r="BG1918">
        <v>406</v>
      </c>
      <c r="BJ1918">
        <v>1</v>
      </c>
      <c r="BL1918" t="s">
        <v>3999</v>
      </c>
      <c r="BM1918" s="4">
        <v>43283.213726851849</v>
      </c>
      <c r="BN1918" s="4">
        <v>43283.233946759261</v>
      </c>
      <c r="BO1918" s="4">
        <v>43283.233946759261</v>
      </c>
      <c r="BP1918" t="s">
        <v>92</v>
      </c>
      <c r="BQ1918" t="s">
        <v>93</v>
      </c>
      <c r="BR1918" t="s">
        <v>94</v>
      </c>
    </row>
    <row r="1919" spans="1:70" x14ac:dyDescent="0.3">
      <c r="A1919" t="str">
        <f>"201149C0100"</f>
        <v>201149C0100</v>
      </c>
      <c r="B1919" t="s">
        <v>4000</v>
      </c>
      <c r="C1919">
        <v>20</v>
      </c>
      <c r="D1919" t="s">
        <v>88</v>
      </c>
      <c r="E1919">
        <v>199</v>
      </c>
      <c r="F1919" t="s">
        <v>3952</v>
      </c>
      <c r="G1919">
        <v>1149</v>
      </c>
      <c r="H1919">
        <v>1</v>
      </c>
      <c r="I1919" t="s">
        <v>98</v>
      </c>
      <c r="J1919">
        <v>0</v>
      </c>
      <c r="K1919">
        <v>2</v>
      </c>
      <c r="L1919">
        <v>5</v>
      </c>
      <c r="M1919">
        <v>110</v>
      </c>
      <c r="N1919">
        <v>318</v>
      </c>
      <c r="O1919">
        <v>0</v>
      </c>
      <c r="P1919">
        <v>318</v>
      </c>
      <c r="Q1919">
        <v>0</v>
      </c>
      <c r="R1919">
        <v>34</v>
      </c>
      <c r="S1919">
        <v>176</v>
      </c>
      <c r="T1919">
        <v>4</v>
      </c>
      <c r="U1919">
        <v>22</v>
      </c>
      <c r="V1919">
        <v>2</v>
      </c>
      <c r="W1919">
        <v>0</v>
      </c>
      <c r="X1919">
        <v>0</v>
      </c>
      <c r="Y1919">
        <v>59</v>
      </c>
      <c r="Z1919">
        <v>4</v>
      </c>
      <c r="AC1919">
        <v>0</v>
      </c>
      <c r="AD1919">
        <v>0</v>
      </c>
      <c r="AE1919">
        <v>0</v>
      </c>
      <c r="AF1919">
        <v>1</v>
      </c>
      <c r="AK1919">
        <v>0</v>
      </c>
      <c r="AL1919">
        <v>0</v>
      </c>
      <c r="AM1919">
        <v>0</v>
      </c>
      <c r="AN1919">
        <v>0</v>
      </c>
      <c r="AS1919">
        <v>0</v>
      </c>
      <c r="AT1919">
        <v>2</v>
      </c>
      <c r="AU1919">
        <v>0</v>
      </c>
      <c r="AV1919">
        <v>0</v>
      </c>
      <c r="BC1919">
        <v>0</v>
      </c>
      <c r="BD1919">
        <v>14</v>
      </c>
      <c r="BE1919">
        <v>318</v>
      </c>
      <c r="BF1919">
        <v>318</v>
      </c>
      <c r="BG1919">
        <v>406</v>
      </c>
      <c r="BJ1919">
        <v>1</v>
      </c>
      <c r="BL1919" t="s">
        <v>4001</v>
      </c>
      <c r="BM1919" s="4">
        <v>43283.210486111115</v>
      </c>
      <c r="BN1919" s="4">
        <v>43283.231458333335</v>
      </c>
      <c r="BO1919" s="4">
        <v>43283.231458333335</v>
      </c>
      <c r="BP1919" t="s">
        <v>92</v>
      </c>
      <c r="BQ1919" t="s">
        <v>93</v>
      </c>
      <c r="BR1919" t="s">
        <v>94</v>
      </c>
    </row>
    <row r="1920" spans="1:70" x14ac:dyDescent="0.3">
      <c r="A1920" t="str">
        <f>"201150B0100"</f>
        <v>201150B0100</v>
      </c>
      <c r="B1920" t="s">
        <v>4002</v>
      </c>
      <c r="C1920">
        <v>20</v>
      </c>
      <c r="D1920" t="s">
        <v>88</v>
      </c>
      <c r="E1920">
        <v>199</v>
      </c>
      <c r="F1920" t="s">
        <v>3952</v>
      </c>
      <c r="G1920">
        <v>1150</v>
      </c>
      <c r="H1920">
        <v>1</v>
      </c>
      <c r="I1920" t="s">
        <v>90</v>
      </c>
      <c r="J1920">
        <v>0</v>
      </c>
      <c r="K1920">
        <v>2</v>
      </c>
      <c r="L1920">
        <v>5</v>
      </c>
      <c r="M1920">
        <v>146</v>
      </c>
      <c r="N1920">
        <v>318</v>
      </c>
      <c r="O1920">
        <v>0</v>
      </c>
      <c r="P1920">
        <v>318</v>
      </c>
      <c r="Q1920">
        <v>7</v>
      </c>
      <c r="R1920">
        <v>20</v>
      </c>
      <c r="S1920">
        <v>209</v>
      </c>
      <c r="T1920">
        <v>5</v>
      </c>
      <c r="U1920">
        <v>15</v>
      </c>
      <c r="V1920">
        <v>3</v>
      </c>
      <c r="W1920">
        <v>3</v>
      </c>
      <c r="X1920">
        <v>2</v>
      </c>
      <c r="Y1920">
        <v>35</v>
      </c>
      <c r="Z1920">
        <v>4</v>
      </c>
      <c r="AC1920" t="s">
        <v>105</v>
      </c>
      <c r="AD1920">
        <v>1</v>
      </c>
      <c r="AE1920" t="s">
        <v>105</v>
      </c>
      <c r="AF1920">
        <v>2</v>
      </c>
      <c r="AK1920">
        <v>2</v>
      </c>
      <c r="AL1920" t="s">
        <v>105</v>
      </c>
      <c r="AM1920" t="s">
        <v>105</v>
      </c>
      <c r="AN1920" t="s">
        <v>105</v>
      </c>
      <c r="AS1920" t="s">
        <v>105</v>
      </c>
      <c r="AT1920" t="s">
        <v>105</v>
      </c>
      <c r="AU1920" t="s">
        <v>105</v>
      </c>
      <c r="AV1920" t="s">
        <v>105</v>
      </c>
      <c r="BC1920" t="s">
        <v>105</v>
      </c>
      <c r="BD1920">
        <v>12</v>
      </c>
      <c r="BE1920">
        <v>318</v>
      </c>
      <c r="BF1920">
        <v>320</v>
      </c>
      <c r="BG1920">
        <v>442</v>
      </c>
      <c r="BI1920" t="s">
        <v>106</v>
      </c>
      <c r="BJ1920">
        <v>1</v>
      </c>
      <c r="BL1920" t="s">
        <v>4003</v>
      </c>
      <c r="BM1920" s="4">
        <v>43283.208738425928</v>
      </c>
      <c r="BN1920" s="4">
        <v>43283.22997685185</v>
      </c>
      <c r="BO1920" s="4">
        <v>43283.22997685185</v>
      </c>
      <c r="BP1920" t="s">
        <v>92</v>
      </c>
      <c r="BQ1920" t="s">
        <v>93</v>
      </c>
      <c r="BR1920" t="s">
        <v>94</v>
      </c>
    </row>
    <row r="1921" spans="1:70" x14ac:dyDescent="0.3">
      <c r="A1921" t="str">
        <f>"201150C0100"</f>
        <v>201150C0100</v>
      </c>
      <c r="B1921" t="s">
        <v>4004</v>
      </c>
      <c r="C1921">
        <v>20</v>
      </c>
      <c r="D1921" t="s">
        <v>88</v>
      </c>
      <c r="E1921">
        <v>199</v>
      </c>
      <c r="F1921" t="s">
        <v>3952</v>
      </c>
      <c r="G1921">
        <v>1150</v>
      </c>
      <c r="H1921">
        <v>1</v>
      </c>
      <c r="I1921" t="s">
        <v>98</v>
      </c>
      <c r="J1921">
        <v>0</v>
      </c>
      <c r="K1921">
        <v>2</v>
      </c>
      <c r="L1921">
        <v>5</v>
      </c>
      <c r="M1921">
        <v>158</v>
      </c>
      <c r="N1921">
        <v>305</v>
      </c>
      <c r="O1921">
        <v>2</v>
      </c>
      <c r="P1921">
        <v>305</v>
      </c>
      <c r="Q1921">
        <v>3</v>
      </c>
      <c r="R1921">
        <v>22</v>
      </c>
      <c r="S1921">
        <v>178</v>
      </c>
      <c r="T1921">
        <v>8</v>
      </c>
      <c r="U1921">
        <v>25</v>
      </c>
      <c r="V1921">
        <v>3</v>
      </c>
      <c r="W1921" t="s">
        <v>105</v>
      </c>
      <c r="X1921">
        <v>1</v>
      </c>
      <c r="Y1921">
        <v>34</v>
      </c>
      <c r="Z1921" t="s">
        <v>105</v>
      </c>
      <c r="AC1921">
        <v>1</v>
      </c>
      <c r="AD1921">
        <v>2</v>
      </c>
      <c r="AE1921" t="s">
        <v>105</v>
      </c>
      <c r="AF1921" t="s">
        <v>105</v>
      </c>
      <c r="AK1921">
        <v>1</v>
      </c>
      <c r="AL1921">
        <v>1</v>
      </c>
      <c r="AM1921" t="s">
        <v>105</v>
      </c>
      <c r="AN1921" t="s">
        <v>105</v>
      </c>
      <c r="AS1921" t="s">
        <v>105</v>
      </c>
      <c r="AT1921">
        <v>5</v>
      </c>
      <c r="AU1921" t="s">
        <v>105</v>
      </c>
      <c r="AV1921" t="s">
        <v>105</v>
      </c>
      <c r="BC1921">
        <v>1</v>
      </c>
      <c r="BD1921">
        <v>20</v>
      </c>
      <c r="BE1921">
        <v>305</v>
      </c>
      <c r="BF1921">
        <v>305</v>
      </c>
      <c r="BG1921">
        <v>441</v>
      </c>
      <c r="BI1921" t="s">
        <v>106</v>
      </c>
      <c r="BJ1921">
        <v>1</v>
      </c>
      <c r="BL1921" t="s">
        <v>4005</v>
      </c>
      <c r="BM1921" s="4">
        <v>43283.236435185187</v>
      </c>
      <c r="BN1921" s="4">
        <v>43283.259097222224</v>
      </c>
      <c r="BO1921" s="4">
        <v>43283.259097222224</v>
      </c>
      <c r="BP1921" t="s">
        <v>92</v>
      </c>
      <c r="BQ1921" t="s">
        <v>93</v>
      </c>
      <c r="BR1921" t="s">
        <v>94</v>
      </c>
    </row>
    <row r="1922" spans="1:70" x14ac:dyDescent="0.3">
      <c r="A1922" t="str">
        <f>"201151B0100"</f>
        <v>201151B0100</v>
      </c>
      <c r="B1922" t="s">
        <v>4006</v>
      </c>
      <c r="C1922">
        <v>20</v>
      </c>
      <c r="D1922" t="s">
        <v>88</v>
      </c>
      <c r="E1922">
        <v>199</v>
      </c>
      <c r="F1922" t="s">
        <v>3952</v>
      </c>
      <c r="G1922">
        <v>1151</v>
      </c>
      <c r="H1922">
        <v>1</v>
      </c>
      <c r="I1922" t="s">
        <v>90</v>
      </c>
      <c r="J1922">
        <v>0</v>
      </c>
      <c r="K1922">
        <v>2</v>
      </c>
      <c r="L1922">
        <v>5</v>
      </c>
      <c r="M1922">
        <v>118</v>
      </c>
      <c r="N1922">
        <v>449</v>
      </c>
      <c r="O1922">
        <v>0</v>
      </c>
      <c r="P1922">
        <v>449</v>
      </c>
      <c r="Q1922">
        <v>0</v>
      </c>
      <c r="R1922">
        <v>177</v>
      </c>
      <c r="S1922">
        <v>192</v>
      </c>
      <c r="T1922">
        <v>2</v>
      </c>
      <c r="U1922">
        <v>45</v>
      </c>
      <c r="V1922">
        <v>1</v>
      </c>
      <c r="W1922">
        <v>0</v>
      </c>
      <c r="X1922">
        <v>0</v>
      </c>
      <c r="Y1922">
        <v>20</v>
      </c>
      <c r="Z1922">
        <v>1</v>
      </c>
      <c r="AC1922">
        <v>0</v>
      </c>
      <c r="AD1922">
        <v>0</v>
      </c>
      <c r="AE1922">
        <v>0</v>
      </c>
      <c r="AF1922">
        <v>0</v>
      </c>
      <c r="AK1922">
        <v>0</v>
      </c>
      <c r="AL1922">
        <v>1</v>
      </c>
      <c r="AM1922">
        <v>0</v>
      </c>
      <c r="AN1922">
        <v>0</v>
      </c>
      <c r="AS1922">
        <v>2</v>
      </c>
      <c r="AT1922">
        <v>2</v>
      </c>
      <c r="AU1922">
        <v>0</v>
      </c>
      <c r="AV1922">
        <v>0</v>
      </c>
      <c r="BC1922">
        <v>0</v>
      </c>
      <c r="BD1922">
        <v>6</v>
      </c>
      <c r="BE1922">
        <v>449</v>
      </c>
      <c r="BF1922">
        <v>449</v>
      </c>
      <c r="BG1922">
        <v>546</v>
      </c>
      <c r="BJ1922">
        <v>1</v>
      </c>
      <c r="BL1922" t="s">
        <v>4007</v>
      </c>
      <c r="BM1922" s="4">
        <v>43283.20516203704</v>
      </c>
      <c r="BN1922" s="4">
        <v>43283.220960648148</v>
      </c>
      <c r="BO1922" s="4">
        <v>43283.220960648148</v>
      </c>
      <c r="BP1922" t="s">
        <v>92</v>
      </c>
      <c r="BQ1922" t="s">
        <v>93</v>
      </c>
      <c r="BR1922" t="s">
        <v>94</v>
      </c>
    </row>
    <row r="1923" spans="1:70" x14ac:dyDescent="0.3">
      <c r="A1923" t="str">
        <f>"201151C0100"</f>
        <v>201151C0100</v>
      </c>
      <c r="B1923" t="s">
        <v>4008</v>
      </c>
      <c r="C1923">
        <v>20</v>
      </c>
      <c r="D1923" t="s">
        <v>88</v>
      </c>
      <c r="E1923">
        <v>199</v>
      </c>
      <c r="F1923" t="s">
        <v>3952</v>
      </c>
      <c r="G1923">
        <v>1151</v>
      </c>
      <c r="H1923">
        <v>1</v>
      </c>
      <c r="I1923" t="s">
        <v>98</v>
      </c>
      <c r="J1923">
        <v>0</v>
      </c>
      <c r="K1923">
        <v>2</v>
      </c>
      <c r="L1923">
        <v>5</v>
      </c>
      <c r="M1923">
        <v>137</v>
      </c>
      <c r="N1923">
        <v>431</v>
      </c>
      <c r="O1923">
        <v>1</v>
      </c>
      <c r="P1923">
        <v>431</v>
      </c>
      <c r="Q1923">
        <v>2</v>
      </c>
      <c r="R1923">
        <v>135</v>
      </c>
      <c r="S1923">
        <v>222</v>
      </c>
      <c r="T1923">
        <v>4</v>
      </c>
      <c r="U1923">
        <v>27</v>
      </c>
      <c r="V1923">
        <v>1</v>
      </c>
      <c r="W1923">
        <v>0</v>
      </c>
      <c r="X1923">
        <v>1</v>
      </c>
      <c r="Y1923">
        <v>14</v>
      </c>
      <c r="Z1923">
        <v>1</v>
      </c>
      <c r="AC1923">
        <v>0</v>
      </c>
      <c r="AD1923">
        <v>0</v>
      </c>
      <c r="AE1923">
        <v>0</v>
      </c>
      <c r="AF1923">
        <v>0</v>
      </c>
      <c r="AK1923">
        <v>2</v>
      </c>
      <c r="AL1923">
        <v>0</v>
      </c>
      <c r="AM1923">
        <v>0</v>
      </c>
      <c r="AN1923">
        <v>0</v>
      </c>
      <c r="AS1923">
        <v>1</v>
      </c>
      <c r="AT1923">
        <v>2</v>
      </c>
      <c r="AU1923">
        <v>0</v>
      </c>
      <c r="AV1923">
        <v>0</v>
      </c>
      <c r="BC1923">
        <v>0</v>
      </c>
      <c r="BD1923">
        <v>19</v>
      </c>
      <c r="BE1923">
        <v>431</v>
      </c>
      <c r="BF1923">
        <v>431</v>
      </c>
      <c r="BG1923">
        <v>546</v>
      </c>
      <c r="BJ1923">
        <v>1</v>
      </c>
      <c r="BL1923" t="s">
        <v>4009</v>
      </c>
      <c r="BM1923" s="4">
        <v>43283.203298611108</v>
      </c>
      <c r="BN1923" s="4">
        <v>43283.220069444447</v>
      </c>
      <c r="BO1923" s="4">
        <v>43283.220069444447</v>
      </c>
      <c r="BP1923" t="s">
        <v>92</v>
      </c>
      <c r="BQ1923" t="s">
        <v>93</v>
      </c>
      <c r="BR1923" t="s">
        <v>94</v>
      </c>
    </row>
    <row r="1924" spans="1:70" x14ac:dyDescent="0.3">
      <c r="A1924" t="str">
        <f>"201152B0100"</f>
        <v>201152B0100</v>
      </c>
      <c r="B1924" t="s">
        <v>4010</v>
      </c>
      <c r="C1924">
        <v>20</v>
      </c>
      <c r="D1924" t="s">
        <v>88</v>
      </c>
      <c r="E1924">
        <v>199</v>
      </c>
      <c r="F1924" t="s">
        <v>3952</v>
      </c>
      <c r="G1924">
        <v>1152</v>
      </c>
      <c r="H1924">
        <v>1</v>
      </c>
      <c r="I1924" t="s">
        <v>90</v>
      </c>
      <c r="J1924">
        <v>0</v>
      </c>
      <c r="K1924">
        <v>2</v>
      </c>
      <c r="L1924">
        <v>5</v>
      </c>
      <c r="M1924">
        <v>121</v>
      </c>
      <c r="N1924">
        <v>355</v>
      </c>
      <c r="O1924">
        <v>0</v>
      </c>
      <c r="P1924">
        <v>355</v>
      </c>
      <c r="Q1924">
        <v>0</v>
      </c>
      <c r="R1924">
        <v>11</v>
      </c>
      <c r="S1924">
        <v>241</v>
      </c>
      <c r="T1924">
        <v>1</v>
      </c>
      <c r="U1924">
        <v>97</v>
      </c>
      <c r="V1924">
        <v>0</v>
      </c>
      <c r="W1924">
        <v>0</v>
      </c>
      <c r="X1924">
        <v>0</v>
      </c>
      <c r="Y1924">
        <v>0</v>
      </c>
      <c r="Z1924">
        <v>0</v>
      </c>
      <c r="AC1924">
        <v>0</v>
      </c>
      <c r="AD1924">
        <v>0</v>
      </c>
      <c r="AE1924">
        <v>0</v>
      </c>
      <c r="AF1924">
        <v>0</v>
      </c>
      <c r="AK1924">
        <v>0</v>
      </c>
      <c r="AL1924">
        <v>0</v>
      </c>
      <c r="AM1924">
        <v>0</v>
      </c>
      <c r="AN1924">
        <v>0</v>
      </c>
      <c r="AS1924">
        <v>0</v>
      </c>
      <c r="AT1924">
        <v>0</v>
      </c>
      <c r="AU1924">
        <v>0</v>
      </c>
      <c r="AV1924">
        <v>0</v>
      </c>
      <c r="BC1924">
        <v>0</v>
      </c>
      <c r="BD1924">
        <v>5</v>
      </c>
      <c r="BE1924">
        <v>355</v>
      </c>
      <c r="BF1924">
        <v>355</v>
      </c>
      <c r="BG1924">
        <v>454</v>
      </c>
      <c r="BJ1924">
        <v>1</v>
      </c>
      <c r="BL1924" t="s">
        <v>4011</v>
      </c>
      <c r="BM1924" s="4">
        <v>43283.081018518518</v>
      </c>
      <c r="BN1924" s="4">
        <v>43283.088240740741</v>
      </c>
      <c r="BO1924" s="4">
        <v>43283.088240740741</v>
      </c>
      <c r="BP1924" t="s">
        <v>92</v>
      </c>
      <c r="BQ1924" t="s">
        <v>93</v>
      </c>
      <c r="BR1924" t="s">
        <v>94</v>
      </c>
    </row>
    <row r="1925" spans="1:70" x14ac:dyDescent="0.3">
      <c r="A1925" t="str">
        <f>"201152E0100"</f>
        <v>201152E0100</v>
      </c>
      <c r="B1925" s="2" t="s">
        <v>4012</v>
      </c>
      <c r="C1925">
        <v>20</v>
      </c>
      <c r="D1925" t="s">
        <v>88</v>
      </c>
      <c r="E1925">
        <v>199</v>
      </c>
      <c r="F1925" t="s">
        <v>3952</v>
      </c>
      <c r="G1925">
        <v>1152</v>
      </c>
      <c r="H1925">
        <v>1</v>
      </c>
      <c r="I1925" t="s">
        <v>156</v>
      </c>
      <c r="J1925">
        <v>0</v>
      </c>
      <c r="K1925">
        <v>2</v>
      </c>
      <c r="L1925">
        <v>5</v>
      </c>
      <c r="M1925">
        <v>37</v>
      </c>
      <c r="N1925">
        <v>125</v>
      </c>
      <c r="O1925">
        <v>1</v>
      </c>
      <c r="P1925">
        <v>125</v>
      </c>
      <c r="Q1925">
        <v>0</v>
      </c>
      <c r="R1925">
        <v>5</v>
      </c>
      <c r="S1925">
        <v>94</v>
      </c>
      <c r="T1925">
        <v>0</v>
      </c>
      <c r="U1925">
        <v>25</v>
      </c>
      <c r="V1925">
        <v>0</v>
      </c>
      <c r="W1925">
        <v>0</v>
      </c>
      <c r="X1925">
        <v>0</v>
      </c>
      <c r="Y1925">
        <v>1</v>
      </c>
      <c r="Z1925">
        <v>0</v>
      </c>
      <c r="AC1925">
        <v>0</v>
      </c>
      <c r="AD1925">
        <v>0</v>
      </c>
      <c r="AE1925">
        <v>0</v>
      </c>
      <c r="AF1925">
        <v>0</v>
      </c>
      <c r="AK1925">
        <v>0</v>
      </c>
      <c r="AL1925">
        <v>0</v>
      </c>
      <c r="AM1925">
        <v>0</v>
      </c>
      <c r="AN1925">
        <v>0</v>
      </c>
      <c r="AS1925">
        <v>0</v>
      </c>
      <c r="AT1925">
        <v>0</v>
      </c>
      <c r="AU1925">
        <v>0</v>
      </c>
      <c r="AV1925">
        <v>0</v>
      </c>
      <c r="BC1925">
        <v>0</v>
      </c>
      <c r="BD1925">
        <v>0</v>
      </c>
      <c r="BE1925">
        <v>125</v>
      </c>
      <c r="BF1925">
        <v>125</v>
      </c>
      <c r="BG1925">
        <v>140</v>
      </c>
      <c r="BJ1925">
        <v>1</v>
      </c>
      <c r="BL1925" t="s">
        <v>4013</v>
      </c>
      <c r="BM1925" s="4">
        <v>43283.110648148147</v>
      </c>
      <c r="BN1925" s="4">
        <v>43283.116469907407</v>
      </c>
      <c r="BO1925" s="4">
        <v>43283.116469907407</v>
      </c>
      <c r="BP1925" t="s">
        <v>92</v>
      </c>
      <c r="BQ1925" t="s">
        <v>93</v>
      </c>
      <c r="BR1925" t="s">
        <v>94</v>
      </c>
    </row>
    <row r="1926" spans="1:70" x14ac:dyDescent="0.3">
      <c r="A1926" t="str">
        <f>"201153B0100"</f>
        <v>201153B0100</v>
      </c>
      <c r="B1926" t="s">
        <v>4014</v>
      </c>
      <c r="C1926">
        <v>20</v>
      </c>
      <c r="D1926" t="s">
        <v>88</v>
      </c>
      <c r="E1926">
        <v>199</v>
      </c>
      <c r="F1926" t="s">
        <v>3952</v>
      </c>
      <c r="G1926">
        <v>1153</v>
      </c>
      <c r="H1926">
        <v>1</v>
      </c>
      <c r="I1926" t="s">
        <v>90</v>
      </c>
      <c r="J1926">
        <v>0</v>
      </c>
      <c r="K1926">
        <v>2</v>
      </c>
      <c r="L1926">
        <v>5</v>
      </c>
      <c r="M1926">
        <v>222</v>
      </c>
      <c r="N1926">
        <v>481</v>
      </c>
      <c r="O1926">
        <v>0</v>
      </c>
      <c r="P1926">
        <v>401</v>
      </c>
      <c r="Q1926">
        <v>2</v>
      </c>
      <c r="R1926">
        <v>91</v>
      </c>
      <c r="S1926">
        <v>296</v>
      </c>
      <c r="T1926">
        <v>0</v>
      </c>
      <c r="U1926">
        <v>18</v>
      </c>
      <c r="V1926">
        <v>1</v>
      </c>
      <c r="W1926">
        <v>1</v>
      </c>
      <c r="X1926">
        <v>1</v>
      </c>
      <c r="Y1926">
        <v>47</v>
      </c>
      <c r="Z1926">
        <v>3</v>
      </c>
      <c r="AC1926">
        <v>0</v>
      </c>
      <c r="AD1926">
        <v>0</v>
      </c>
      <c r="AE1926">
        <v>0</v>
      </c>
      <c r="AF1926">
        <v>1</v>
      </c>
      <c r="AK1926">
        <v>1</v>
      </c>
      <c r="AL1926">
        <v>1</v>
      </c>
      <c r="AM1926">
        <v>0</v>
      </c>
      <c r="AN1926">
        <v>0</v>
      </c>
      <c r="AS1926">
        <v>0</v>
      </c>
      <c r="AT1926">
        <v>2</v>
      </c>
      <c r="AU1926">
        <v>0</v>
      </c>
      <c r="AV1926">
        <v>0</v>
      </c>
      <c r="BC1926">
        <v>0</v>
      </c>
      <c r="BD1926">
        <v>16</v>
      </c>
      <c r="BE1926">
        <v>481</v>
      </c>
      <c r="BF1926">
        <v>481</v>
      </c>
      <c r="BG1926">
        <v>680</v>
      </c>
      <c r="BJ1926">
        <v>1</v>
      </c>
      <c r="BL1926" t="s">
        <v>4015</v>
      </c>
      <c r="BM1926" s="4">
        <v>43283.206493055557</v>
      </c>
      <c r="BN1926" s="4">
        <v>43283.225902777776</v>
      </c>
      <c r="BO1926" s="4">
        <v>43283.225902777776</v>
      </c>
      <c r="BP1926" t="s">
        <v>92</v>
      </c>
      <c r="BQ1926" t="s">
        <v>93</v>
      </c>
      <c r="BR1926" t="s">
        <v>94</v>
      </c>
    </row>
    <row r="1927" spans="1:70" x14ac:dyDescent="0.3">
      <c r="A1927" t="str">
        <f>"201154B0100"</f>
        <v>201154B0100</v>
      </c>
      <c r="B1927" t="s">
        <v>4016</v>
      </c>
      <c r="C1927">
        <v>20</v>
      </c>
      <c r="D1927" t="s">
        <v>88</v>
      </c>
      <c r="E1927">
        <v>199</v>
      </c>
      <c r="F1927" t="s">
        <v>3952</v>
      </c>
      <c r="G1927">
        <v>1154</v>
      </c>
      <c r="H1927">
        <v>1</v>
      </c>
      <c r="I1927" t="s">
        <v>90</v>
      </c>
      <c r="J1927">
        <v>0</v>
      </c>
      <c r="K1927">
        <v>2</v>
      </c>
      <c r="L1927">
        <v>5</v>
      </c>
      <c r="M1927">
        <v>171</v>
      </c>
      <c r="N1927">
        <v>562</v>
      </c>
      <c r="O1927">
        <v>0</v>
      </c>
      <c r="P1927">
        <v>562</v>
      </c>
      <c r="Q1927">
        <v>3</v>
      </c>
      <c r="R1927">
        <v>94</v>
      </c>
      <c r="S1927">
        <v>257</v>
      </c>
      <c r="T1927">
        <v>1</v>
      </c>
      <c r="U1927">
        <v>20</v>
      </c>
      <c r="V1927" t="s">
        <v>105</v>
      </c>
      <c r="W1927" t="s">
        <v>105</v>
      </c>
      <c r="X1927" t="s">
        <v>105</v>
      </c>
      <c r="Y1927">
        <v>9</v>
      </c>
      <c r="Z1927" t="s">
        <v>105</v>
      </c>
      <c r="AC1927" t="s">
        <v>105</v>
      </c>
      <c r="AD1927" t="s">
        <v>105</v>
      </c>
      <c r="AE1927" t="s">
        <v>105</v>
      </c>
      <c r="AF1927" t="s">
        <v>105</v>
      </c>
      <c r="AK1927" t="s">
        <v>105</v>
      </c>
      <c r="AL1927" t="s">
        <v>105</v>
      </c>
      <c r="AM1927" t="s">
        <v>105</v>
      </c>
      <c r="AN1927" t="s">
        <v>105</v>
      </c>
      <c r="AS1927" t="s">
        <v>105</v>
      </c>
      <c r="AT1927" t="s">
        <v>105</v>
      </c>
      <c r="AU1927" t="s">
        <v>105</v>
      </c>
      <c r="AV1927" t="s">
        <v>105</v>
      </c>
      <c r="BC1927" t="s">
        <v>105</v>
      </c>
      <c r="BD1927">
        <v>7</v>
      </c>
      <c r="BE1927">
        <v>391</v>
      </c>
      <c r="BF1927">
        <v>391</v>
      </c>
      <c r="BG1927">
        <v>540</v>
      </c>
      <c r="BI1927" t="s">
        <v>106</v>
      </c>
      <c r="BJ1927">
        <v>1</v>
      </c>
      <c r="BL1927" t="s">
        <v>4017</v>
      </c>
      <c r="BM1927" s="4">
        <v>43283.141689814816</v>
      </c>
      <c r="BN1927" s="4">
        <v>43283.144942129627</v>
      </c>
      <c r="BO1927" s="4">
        <v>43283.144942129627</v>
      </c>
      <c r="BP1927" t="s">
        <v>92</v>
      </c>
      <c r="BQ1927" t="s">
        <v>93</v>
      </c>
      <c r="BR1927" t="s">
        <v>94</v>
      </c>
    </row>
    <row r="1928" spans="1:70" x14ac:dyDescent="0.3">
      <c r="A1928" t="str">
        <f>"201154C0100"</f>
        <v>201154C0100</v>
      </c>
      <c r="B1928" t="s">
        <v>4018</v>
      </c>
      <c r="C1928">
        <v>20</v>
      </c>
      <c r="D1928" t="s">
        <v>88</v>
      </c>
      <c r="E1928">
        <v>199</v>
      </c>
      <c r="F1928" t="s">
        <v>3952</v>
      </c>
      <c r="G1928">
        <v>1154</v>
      </c>
      <c r="H1928">
        <v>1</v>
      </c>
      <c r="I1928" t="s">
        <v>98</v>
      </c>
      <c r="J1928">
        <v>0</v>
      </c>
      <c r="K1928">
        <v>2</v>
      </c>
      <c r="L1928">
        <v>5</v>
      </c>
      <c r="M1928">
        <v>171</v>
      </c>
      <c r="N1928">
        <v>390</v>
      </c>
      <c r="O1928">
        <v>0</v>
      </c>
      <c r="P1928">
        <v>390</v>
      </c>
      <c r="Q1928">
        <v>5</v>
      </c>
      <c r="R1928">
        <v>86</v>
      </c>
      <c r="S1928">
        <v>271</v>
      </c>
      <c r="T1928">
        <v>1</v>
      </c>
      <c r="U1928">
        <v>14</v>
      </c>
      <c r="V1928" t="s">
        <v>105</v>
      </c>
      <c r="W1928" t="s">
        <v>105</v>
      </c>
      <c r="X1928" t="s">
        <v>105</v>
      </c>
      <c r="Y1928">
        <v>7</v>
      </c>
      <c r="Z1928" t="s">
        <v>105</v>
      </c>
      <c r="AC1928" t="s">
        <v>105</v>
      </c>
      <c r="AD1928" t="s">
        <v>105</v>
      </c>
      <c r="AE1928" t="s">
        <v>105</v>
      </c>
      <c r="AF1928" t="s">
        <v>105</v>
      </c>
      <c r="AK1928" t="s">
        <v>105</v>
      </c>
      <c r="AL1928" t="s">
        <v>105</v>
      </c>
      <c r="AM1928" t="s">
        <v>105</v>
      </c>
      <c r="AN1928" t="s">
        <v>105</v>
      </c>
      <c r="AS1928" t="s">
        <v>105</v>
      </c>
      <c r="AT1928" t="s">
        <v>105</v>
      </c>
      <c r="AU1928" t="s">
        <v>105</v>
      </c>
      <c r="AV1928" t="s">
        <v>105</v>
      </c>
      <c r="BC1928" t="s">
        <v>105</v>
      </c>
      <c r="BD1928">
        <v>6</v>
      </c>
      <c r="BE1928" t="s">
        <v>105</v>
      </c>
      <c r="BF1928">
        <v>390</v>
      </c>
      <c r="BG1928">
        <v>539</v>
      </c>
      <c r="BI1928" t="s">
        <v>106</v>
      </c>
      <c r="BJ1928">
        <v>1</v>
      </c>
      <c r="BL1928" t="s">
        <v>4019</v>
      </c>
      <c r="BM1928" s="4">
        <v>43283.152361111112</v>
      </c>
      <c r="BN1928" s="4">
        <v>43283.159988425927</v>
      </c>
      <c r="BO1928" s="4">
        <v>43283.159988425927</v>
      </c>
      <c r="BP1928" t="s">
        <v>92</v>
      </c>
      <c r="BQ1928" t="s">
        <v>93</v>
      </c>
      <c r="BR1928" t="s">
        <v>94</v>
      </c>
    </row>
    <row r="1929" spans="1:70" x14ac:dyDescent="0.3">
      <c r="A1929" t="str">
        <f>"201155B0100"</f>
        <v>201155B0100</v>
      </c>
      <c r="B1929" t="s">
        <v>4020</v>
      </c>
      <c r="C1929">
        <v>20</v>
      </c>
      <c r="D1929" t="s">
        <v>88</v>
      </c>
      <c r="E1929">
        <v>199</v>
      </c>
      <c r="F1929" t="s">
        <v>3952</v>
      </c>
      <c r="G1929">
        <v>1155</v>
      </c>
      <c r="H1929">
        <v>1</v>
      </c>
      <c r="I1929" t="s">
        <v>90</v>
      </c>
      <c r="J1929">
        <v>0</v>
      </c>
      <c r="K1929">
        <v>2</v>
      </c>
      <c r="L1929">
        <v>5</v>
      </c>
      <c r="M1929">
        <v>128</v>
      </c>
      <c r="N1929">
        <v>392</v>
      </c>
      <c r="O1929">
        <v>0</v>
      </c>
      <c r="P1929">
        <v>392</v>
      </c>
      <c r="Q1929">
        <v>1</v>
      </c>
      <c r="R1929">
        <v>95</v>
      </c>
      <c r="S1929">
        <v>206</v>
      </c>
      <c r="T1929">
        <v>0</v>
      </c>
      <c r="U1929">
        <v>51</v>
      </c>
      <c r="V1929">
        <v>1</v>
      </c>
      <c r="W1929">
        <v>0</v>
      </c>
      <c r="X1929">
        <v>1</v>
      </c>
      <c r="Y1929">
        <v>28</v>
      </c>
      <c r="Z1929">
        <v>0</v>
      </c>
      <c r="AC1929">
        <v>0</v>
      </c>
      <c r="AD1929">
        <v>0</v>
      </c>
      <c r="AE1929">
        <v>0</v>
      </c>
      <c r="AF1929">
        <v>0</v>
      </c>
      <c r="AK1929">
        <v>0</v>
      </c>
      <c r="AL1929">
        <v>0</v>
      </c>
      <c r="AM1929">
        <v>0</v>
      </c>
      <c r="AN1929">
        <v>0</v>
      </c>
      <c r="AS1929">
        <v>0</v>
      </c>
      <c r="AT1929">
        <v>0</v>
      </c>
      <c r="AU1929">
        <v>0</v>
      </c>
      <c r="AV1929">
        <v>0</v>
      </c>
      <c r="BC1929">
        <v>0</v>
      </c>
      <c r="BD1929">
        <v>9</v>
      </c>
      <c r="BE1929" t="s">
        <v>127</v>
      </c>
      <c r="BF1929">
        <v>392</v>
      </c>
      <c r="BG1929">
        <v>498</v>
      </c>
      <c r="BJ1929">
        <v>1</v>
      </c>
      <c r="BL1929" t="s">
        <v>4021</v>
      </c>
      <c r="BM1929" s="4">
        <v>43283.082719907405</v>
      </c>
      <c r="BN1929" s="4">
        <v>43283.088159722225</v>
      </c>
      <c r="BO1929" s="4">
        <v>43283.088159722225</v>
      </c>
      <c r="BP1929" t="s">
        <v>92</v>
      </c>
      <c r="BQ1929" t="s">
        <v>93</v>
      </c>
      <c r="BR1929" t="s">
        <v>94</v>
      </c>
    </row>
    <row r="1930" spans="1:70" x14ac:dyDescent="0.3">
      <c r="A1930" t="str">
        <f>"201155C0100"</f>
        <v>201155C0100</v>
      </c>
      <c r="B1930" t="s">
        <v>4022</v>
      </c>
      <c r="C1930">
        <v>20</v>
      </c>
      <c r="D1930" t="s">
        <v>88</v>
      </c>
      <c r="E1930">
        <v>199</v>
      </c>
      <c r="F1930" t="s">
        <v>3952</v>
      </c>
      <c r="G1930">
        <v>1155</v>
      </c>
      <c r="H1930">
        <v>1</v>
      </c>
      <c r="I1930" t="s">
        <v>98</v>
      </c>
      <c r="J1930">
        <v>0</v>
      </c>
      <c r="K1930">
        <v>2</v>
      </c>
      <c r="L1930">
        <v>5</v>
      </c>
      <c r="M1930">
        <v>123</v>
      </c>
      <c r="N1930">
        <v>520</v>
      </c>
      <c r="O1930">
        <v>620</v>
      </c>
      <c r="P1930">
        <v>397</v>
      </c>
      <c r="Q1930">
        <v>2</v>
      </c>
      <c r="R1930">
        <v>72</v>
      </c>
      <c r="S1930">
        <v>241</v>
      </c>
      <c r="T1930">
        <v>0</v>
      </c>
      <c r="U1930">
        <v>50</v>
      </c>
      <c r="V1930">
        <v>0</v>
      </c>
      <c r="W1930">
        <v>0</v>
      </c>
      <c r="X1930">
        <v>0</v>
      </c>
      <c r="Y1930">
        <v>21</v>
      </c>
      <c r="Z1930">
        <v>5</v>
      </c>
      <c r="AC1930">
        <v>1</v>
      </c>
      <c r="AD1930">
        <v>0</v>
      </c>
      <c r="AE1930">
        <v>0</v>
      </c>
      <c r="AF1930">
        <v>0</v>
      </c>
      <c r="AK1930">
        <v>0</v>
      </c>
      <c r="AL1930">
        <v>0</v>
      </c>
      <c r="AM1930">
        <v>0</v>
      </c>
      <c r="AN1930">
        <v>0</v>
      </c>
      <c r="AS1930">
        <v>1</v>
      </c>
      <c r="AT1930">
        <v>0</v>
      </c>
      <c r="AU1930">
        <v>0</v>
      </c>
      <c r="AV1930">
        <v>0</v>
      </c>
      <c r="BC1930">
        <v>0</v>
      </c>
      <c r="BD1930">
        <v>4</v>
      </c>
      <c r="BE1930" t="s">
        <v>127</v>
      </c>
      <c r="BF1930">
        <v>397</v>
      </c>
      <c r="BG1930">
        <v>498</v>
      </c>
      <c r="BJ1930">
        <v>1</v>
      </c>
      <c r="BL1930" t="s">
        <v>4023</v>
      </c>
      <c r="BM1930" s="4">
        <v>43283.112534722219</v>
      </c>
      <c r="BN1930" s="4">
        <v>43283.129467592589</v>
      </c>
      <c r="BO1930" s="4">
        <v>43283.129467592589</v>
      </c>
      <c r="BP1930" t="s">
        <v>92</v>
      </c>
      <c r="BQ1930" t="s">
        <v>93</v>
      </c>
      <c r="BR1930" t="s">
        <v>94</v>
      </c>
    </row>
    <row r="1931" spans="1:70" x14ac:dyDescent="0.3">
      <c r="A1931" t="str">
        <f>"201156B0100"</f>
        <v>201156B0100</v>
      </c>
      <c r="B1931" t="s">
        <v>4024</v>
      </c>
      <c r="C1931">
        <v>20</v>
      </c>
      <c r="D1931" t="s">
        <v>88</v>
      </c>
      <c r="E1931">
        <v>199</v>
      </c>
      <c r="F1931" t="s">
        <v>3952</v>
      </c>
      <c r="G1931">
        <v>1156</v>
      </c>
      <c r="H1931">
        <v>1</v>
      </c>
      <c r="I1931" t="s">
        <v>90</v>
      </c>
      <c r="J1931">
        <v>0</v>
      </c>
      <c r="K1931">
        <v>2</v>
      </c>
      <c r="L1931">
        <v>5</v>
      </c>
      <c r="M1931">
        <v>259</v>
      </c>
      <c r="N1931">
        <v>483</v>
      </c>
      <c r="O1931">
        <v>1</v>
      </c>
      <c r="P1931">
        <v>483</v>
      </c>
      <c r="Q1931">
        <v>4</v>
      </c>
      <c r="R1931">
        <v>37</v>
      </c>
      <c r="S1931">
        <v>239</v>
      </c>
      <c r="T1931">
        <v>0</v>
      </c>
      <c r="U1931">
        <v>142</v>
      </c>
      <c r="V1931">
        <v>1</v>
      </c>
      <c r="W1931">
        <v>0</v>
      </c>
      <c r="X1931">
        <v>0</v>
      </c>
      <c r="Y1931">
        <v>34</v>
      </c>
      <c r="Z1931">
        <v>1</v>
      </c>
      <c r="AC1931">
        <v>1</v>
      </c>
      <c r="AD1931">
        <v>4</v>
      </c>
      <c r="AE1931">
        <v>0</v>
      </c>
      <c r="AF1931">
        <v>0</v>
      </c>
      <c r="AK1931">
        <v>0</v>
      </c>
      <c r="AL1931">
        <v>1</v>
      </c>
      <c r="AM1931">
        <v>0</v>
      </c>
      <c r="AN1931">
        <v>0</v>
      </c>
      <c r="AS1931">
        <v>0</v>
      </c>
      <c r="AT1931">
        <v>0</v>
      </c>
      <c r="AU1931">
        <v>0</v>
      </c>
      <c r="AV1931">
        <v>0</v>
      </c>
      <c r="BC1931">
        <v>0</v>
      </c>
      <c r="BD1931">
        <v>19</v>
      </c>
      <c r="BE1931">
        <v>483</v>
      </c>
      <c r="BF1931">
        <v>483</v>
      </c>
      <c r="BG1931">
        <v>720</v>
      </c>
      <c r="BJ1931">
        <v>1</v>
      </c>
      <c r="BL1931" t="s">
        <v>4025</v>
      </c>
      <c r="BM1931" s="4">
        <v>43283.125219907408</v>
      </c>
      <c r="BN1931" s="4">
        <v>43283.130370370367</v>
      </c>
      <c r="BO1931" s="4">
        <v>43283.130370370367</v>
      </c>
      <c r="BP1931" t="s">
        <v>92</v>
      </c>
      <c r="BQ1931" t="s">
        <v>93</v>
      </c>
      <c r="BR1931" t="s">
        <v>94</v>
      </c>
    </row>
    <row r="1932" spans="1:70" x14ac:dyDescent="0.3">
      <c r="A1932" t="str">
        <f>"201156E0100"</f>
        <v>201156E0100</v>
      </c>
      <c r="B1932" s="2" t="s">
        <v>4026</v>
      </c>
      <c r="C1932">
        <v>20</v>
      </c>
      <c r="D1932" t="s">
        <v>88</v>
      </c>
      <c r="E1932">
        <v>199</v>
      </c>
      <c r="F1932" t="s">
        <v>3952</v>
      </c>
      <c r="G1932">
        <v>1156</v>
      </c>
      <c r="H1932">
        <v>1</v>
      </c>
      <c r="I1932" t="s">
        <v>156</v>
      </c>
      <c r="J1932">
        <v>0</v>
      </c>
      <c r="K1932">
        <v>2</v>
      </c>
      <c r="L1932">
        <v>5</v>
      </c>
      <c r="M1932">
        <v>111</v>
      </c>
      <c r="N1932">
        <v>269</v>
      </c>
      <c r="O1932">
        <v>0</v>
      </c>
      <c r="P1932">
        <v>269</v>
      </c>
      <c r="Q1932">
        <v>0</v>
      </c>
      <c r="R1932">
        <v>36</v>
      </c>
      <c r="S1932">
        <v>179</v>
      </c>
      <c r="T1932">
        <v>0</v>
      </c>
      <c r="U1932">
        <v>23</v>
      </c>
      <c r="V1932">
        <v>1</v>
      </c>
      <c r="W1932">
        <v>0</v>
      </c>
      <c r="X1932">
        <v>1</v>
      </c>
      <c r="Y1932">
        <v>16</v>
      </c>
      <c r="Z1932">
        <v>0</v>
      </c>
      <c r="AC1932">
        <v>2</v>
      </c>
      <c r="AD1932">
        <v>0</v>
      </c>
      <c r="AE1932">
        <v>0</v>
      </c>
      <c r="AF1932">
        <v>0</v>
      </c>
      <c r="AK1932">
        <v>3</v>
      </c>
      <c r="AL1932">
        <v>0</v>
      </c>
      <c r="AM1932">
        <v>0</v>
      </c>
      <c r="AN1932">
        <v>0</v>
      </c>
      <c r="AS1932">
        <v>0</v>
      </c>
      <c r="AT1932">
        <v>0</v>
      </c>
      <c r="AU1932">
        <v>0</v>
      </c>
      <c r="AV1932">
        <v>0</v>
      </c>
      <c r="BC1932">
        <v>0</v>
      </c>
      <c r="BD1932">
        <v>8</v>
      </c>
      <c r="BE1932">
        <v>269</v>
      </c>
      <c r="BF1932">
        <v>269</v>
      </c>
      <c r="BG1932">
        <v>358</v>
      </c>
      <c r="BJ1932">
        <v>1</v>
      </c>
      <c r="BL1932" t="s">
        <v>4027</v>
      </c>
      <c r="BM1932" s="4">
        <v>43283.12699074074</v>
      </c>
      <c r="BN1932" s="4">
        <v>43283.131319444445</v>
      </c>
      <c r="BO1932" s="4">
        <v>43283.131319444445</v>
      </c>
      <c r="BP1932" t="s">
        <v>92</v>
      </c>
      <c r="BQ1932" t="s">
        <v>93</v>
      </c>
      <c r="BR1932" t="s">
        <v>94</v>
      </c>
    </row>
    <row r="1933" spans="1:70" x14ac:dyDescent="0.3">
      <c r="A1933" t="str">
        <f>"201157B0100"</f>
        <v>201157B0100</v>
      </c>
      <c r="B1933" t="s">
        <v>4028</v>
      </c>
      <c r="C1933">
        <v>20</v>
      </c>
      <c r="D1933" t="s">
        <v>88</v>
      </c>
      <c r="E1933">
        <v>199</v>
      </c>
      <c r="F1933" t="s">
        <v>3952</v>
      </c>
      <c r="G1933">
        <v>1157</v>
      </c>
      <c r="H1933">
        <v>1</v>
      </c>
      <c r="I1933" t="s">
        <v>90</v>
      </c>
      <c r="J1933">
        <v>0</v>
      </c>
      <c r="K1933">
        <v>2</v>
      </c>
      <c r="L1933">
        <v>5</v>
      </c>
      <c r="M1933">
        <v>213</v>
      </c>
      <c r="N1933">
        <v>440</v>
      </c>
      <c r="O1933">
        <v>0</v>
      </c>
      <c r="P1933">
        <v>440</v>
      </c>
      <c r="Q1933">
        <v>5</v>
      </c>
      <c r="R1933">
        <v>89</v>
      </c>
      <c r="S1933">
        <v>215</v>
      </c>
      <c r="T1933">
        <v>1</v>
      </c>
      <c r="U1933">
        <v>32</v>
      </c>
      <c r="V1933">
        <v>1</v>
      </c>
      <c r="W1933">
        <v>1</v>
      </c>
      <c r="X1933">
        <v>0</v>
      </c>
      <c r="Y1933">
        <v>73</v>
      </c>
      <c r="Z1933">
        <v>2</v>
      </c>
      <c r="AC1933">
        <v>2</v>
      </c>
      <c r="AD1933">
        <v>0</v>
      </c>
      <c r="AE1933">
        <v>0</v>
      </c>
      <c r="AF1933">
        <v>0</v>
      </c>
      <c r="AK1933">
        <v>3</v>
      </c>
      <c r="AL1933">
        <v>0</v>
      </c>
      <c r="AM1933">
        <v>0</v>
      </c>
      <c r="AN1933">
        <v>0</v>
      </c>
      <c r="AS1933">
        <v>2</v>
      </c>
      <c r="AT1933">
        <v>0</v>
      </c>
      <c r="AU1933">
        <v>0</v>
      </c>
      <c r="AV1933">
        <v>0</v>
      </c>
      <c r="BC1933">
        <v>0</v>
      </c>
      <c r="BD1933">
        <v>14</v>
      </c>
      <c r="BE1933">
        <v>440</v>
      </c>
      <c r="BF1933">
        <v>440</v>
      </c>
      <c r="BG1933">
        <v>631</v>
      </c>
      <c r="BJ1933">
        <v>1</v>
      </c>
      <c r="BL1933" t="s">
        <v>4029</v>
      </c>
      <c r="BM1933" s="4">
        <v>43283.179548611108</v>
      </c>
      <c r="BN1933" s="4">
        <v>43283.194907407407</v>
      </c>
      <c r="BO1933" s="4">
        <v>43283.194907407407</v>
      </c>
      <c r="BP1933" t="s">
        <v>92</v>
      </c>
      <c r="BQ1933" t="s">
        <v>93</v>
      </c>
      <c r="BR1933" t="s">
        <v>94</v>
      </c>
    </row>
    <row r="1934" spans="1:70" x14ac:dyDescent="0.3">
      <c r="A1934" t="str">
        <f>"201157C0100"</f>
        <v>201157C0100</v>
      </c>
      <c r="B1934" t="s">
        <v>4030</v>
      </c>
      <c r="C1934">
        <v>20</v>
      </c>
      <c r="D1934" t="s">
        <v>88</v>
      </c>
      <c r="E1934">
        <v>199</v>
      </c>
      <c r="F1934" t="s">
        <v>3952</v>
      </c>
      <c r="G1934">
        <v>1157</v>
      </c>
      <c r="H1934">
        <v>1</v>
      </c>
      <c r="I1934" t="s">
        <v>98</v>
      </c>
      <c r="J1934">
        <v>0</v>
      </c>
      <c r="K1934">
        <v>2</v>
      </c>
      <c r="L1934">
        <v>5</v>
      </c>
      <c r="M1934">
        <v>241</v>
      </c>
      <c r="N1934">
        <v>411</v>
      </c>
      <c r="O1934">
        <v>0</v>
      </c>
      <c r="P1934">
        <v>411</v>
      </c>
      <c r="Q1934">
        <v>4</v>
      </c>
      <c r="R1934">
        <v>69</v>
      </c>
      <c r="S1934">
        <v>233</v>
      </c>
      <c r="T1934">
        <v>4</v>
      </c>
      <c r="U1934">
        <v>17</v>
      </c>
      <c r="V1934">
        <v>1</v>
      </c>
      <c r="W1934">
        <v>1</v>
      </c>
      <c r="X1934">
        <v>2</v>
      </c>
      <c r="Y1934">
        <v>53</v>
      </c>
      <c r="Z1934">
        <v>1</v>
      </c>
      <c r="AC1934">
        <v>1</v>
      </c>
      <c r="AD1934">
        <v>1</v>
      </c>
      <c r="AE1934">
        <v>0</v>
      </c>
      <c r="AF1934">
        <v>0</v>
      </c>
      <c r="AK1934">
        <v>1</v>
      </c>
      <c r="AL1934">
        <v>0</v>
      </c>
      <c r="AM1934">
        <v>0</v>
      </c>
      <c r="AN1934">
        <v>0</v>
      </c>
      <c r="AS1934">
        <v>4</v>
      </c>
      <c r="AT1934">
        <v>1</v>
      </c>
      <c r="AU1934">
        <v>0</v>
      </c>
      <c r="AV1934">
        <v>0</v>
      </c>
      <c r="BC1934">
        <v>0</v>
      </c>
      <c r="BD1934">
        <v>18</v>
      </c>
      <c r="BE1934">
        <v>411</v>
      </c>
      <c r="BF1934">
        <v>411</v>
      </c>
      <c r="BG1934">
        <v>630</v>
      </c>
      <c r="BJ1934">
        <v>1</v>
      </c>
      <c r="BL1934" t="s">
        <v>4031</v>
      </c>
      <c r="BM1934" s="4">
        <v>43283.157152777778</v>
      </c>
      <c r="BN1934" s="4">
        <v>43283.170162037037</v>
      </c>
      <c r="BO1934" s="4">
        <v>43283.170162037037</v>
      </c>
      <c r="BP1934" t="s">
        <v>92</v>
      </c>
      <c r="BQ1934" t="s">
        <v>93</v>
      </c>
      <c r="BR1934" t="s">
        <v>94</v>
      </c>
    </row>
    <row r="1935" spans="1:70" x14ac:dyDescent="0.3">
      <c r="A1935" t="str">
        <f>"201158B0100"</f>
        <v>201158B0100</v>
      </c>
      <c r="B1935" t="s">
        <v>4032</v>
      </c>
      <c r="C1935">
        <v>20</v>
      </c>
      <c r="D1935" t="s">
        <v>88</v>
      </c>
      <c r="E1935">
        <v>199</v>
      </c>
      <c r="F1935" t="s">
        <v>3952</v>
      </c>
      <c r="G1935">
        <v>1158</v>
      </c>
      <c r="H1935">
        <v>1</v>
      </c>
      <c r="I1935" t="s">
        <v>90</v>
      </c>
      <c r="J1935">
        <v>0</v>
      </c>
      <c r="K1935">
        <v>2</v>
      </c>
      <c r="L1935">
        <v>5</v>
      </c>
      <c r="M1935">
        <v>193</v>
      </c>
      <c r="N1935">
        <v>360</v>
      </c>
      <c r="O1935">
        <v>1</v>
      </c>
      <c r="P1935">
        <v>0</v>
      </c>
      <c r="Q1935">
        <v>7</v>
      </c>
      <c r="R1935">
        <v>59</v>
      </c>
      <c r="S1935">
        <v>159</v>
      </c>
      <c r="T1935">
        <v>0</v>
      </c>
      <c r="U1935">
        <v>66</v>
      </c>
      <c r="V1935">
        <v>3</v>
      </c>
      <c r="W1935">
        <v>1</v>
      </c>
      <c r="X1935">
        <v>2</v>
      </c>
      <c r="Y1935">
        <v>37</v>
      </c>
      <c r="Z1935">
        <v>2</v>
      </c>
      <c r="AC1935">
        <v>0</v>
      </c>
      <c r="AD1935">
        <v>1</v>
      </c>
      <c r="AE1935">
        <v>0</v>
      </c>
      <c r="AF1935">
        <v>0</v>
      </c>
      <c r="AK1935">
        <v>2</v>
      </c>
      <c r="AL1935">
        <v>1</v>
      </c>
      <c r="AM1935">
        <v>0</v>
      </c>
      <c r="AN1935">
        <v>0</v>
      </c>
      <c r="AS1935" t="s">
        <v>105</v>
      </c>
      <c r="AT1935" t="s">
        <v>105</v>
      </c>
      <c r="AU1935" t="s">
        <v>105</v>
      </c>
      <c r="AV1935" t="s">
        <v>105</v>
      </c>
      <c r="BC1935" t="s">
        <v>105</v>
      </c>
      <c r="BD1935">
        <v>20</v>
      </c>
      <c r="BE1935">
        <v>360</v>
      </c>
      <c r="BF1935">
        <v>360</v>
      </c>
      <c r="BG1935">
        <v>531</v>
      </c>
      <c r="BI1935" t="s">
        <v>106</v>
      </c>
      <c r="BJ1935">
        <v>1</v>
      </c>
      <c r="BL1935" t="s">
        <v>4033</v>
      </c>
      <c r="BM1935" s="4">
        <v>43283.129571759258</v>
      </c>
      <c r="BN1935" s="4">
        <v>43283.13386574074</v>
      </c>
      <c r="BO1935" s="4">
        <v>43283.13386574074</v>
      </c>
      <c r="BP1935" t="s">
        <v>92</v>
      </c>
      <c r="BQ1935" t="s">
        <v>93</v>
      </c>
      <c r="BR1935" t="s">
        <v>94</v>
      </c>
    </row>
    <row r="1936" spans="1:70" x14ac:dyDescent="0.3">
      <c r="A1936" t="str">
        <f>"201158C0100"</f>
        <v>201158C0100</v>
      </c>
      <c r="B1936" t="s">
        <v>4034</v>
      </c>
      <c r="C1936">
        <v>20</v>
      </c>
      <c r="D1936" t="s">
        <v>88</v>
      </c>
      <c r="E1936">
        <v>199</v>
      </c>
      <c r="F1936" t="s">
        <v>3952</v>
      </c>
      <c r="G1936">
        <v>1158</v>
      </c>
      <c r="H1936">
        <v>1</v>
      </c>
      <c r="I1936" t="s">
        <v>98</v>
      </c>
      <c r="J1936">
        <v>0</v>
      </c>
      <c r="K1936">
        <v>2</v>
      </c>
      <c r="L1936">
        <v>5</v>
      </c>
      <c r="M1936">
        <v>187</v>
      </c>
      <c r="N1936">
        <v>365</v>
      </c>
      <c r="O1936">
        <v>6</v>
      </c>
      <c r="P1936" t="s">
        <v>105</v>
      </c>
      <c r="Q1936">
        <v>2</v>
      </c>
      <c r="R1936">
        <v>41</v>
      </c>
      <c r="S1936">
        <v>199</v>
      </c>
      <c r="T1936">
        <v>5</v>
      </c>
      <c r="U1936">
        <v>70</v>
      </c>
      <c r="V1936">
        <v>1</v>
      </c>
      <c r="W1936" t="s">
        <v>105</v>
      </c>
      <c r="X1936" t="s">
        <v>105</v>
      </c>
      <c r="Y1936">
        <v>31</v>
      </c>
      <c r="Z1936">
        <v>3</v>
      </c>
      <c r="AC1936">
        <v>2</v>
      </c>
      <c r="AD1936" t="s">
        <v>105</v>
      </c>
      <c r="AE1936" t="s">
        <v>105</v>
      </c>
      <c r="AF1936" t="s">
        <v>105</v>
      </c>
      <c r="AK1936" t="s">
        <v>105</v>
      </c>
      <c r="AL1936" t="s">
        <v>105</v>
      </c>
      <c r="AM1936" t="s">
        <v>105</v>
      </c>
      <c r="AN1936" t="s">
        <v>105</v>
      </c>
      <c r="AS1936" t="s">
        <v>105</v>
      </c>
      <c r="AT1936" t="s">
        <v>105</v>
      </c>
      <c r="AU1936" t="s">
        <v>105</v>
      </c>
      <c r="AV1936" t="s">
        <v>105</v>
      </c>
      <c r="BC1936" t="s">
        <v>105</v>
      </c>
      <c r="BD1936">
        <v>11</v>
      </c>
      <c r="BE1936">
        <v>365</v>
      </c>
      <c r="BF1936">
        <v>365</v>
      </c>
      <c r="BG1936">
        <v>530</v>
      </c>
      <c r="BI1936" t="s">
        <v>106</v>
      </c>
      <c r="BJ1936">
        <v>1</v>
      </c>
      <c r="BL1936" t="s">
        <v>4035</v>
      </c>
      <c r="BM1936" s="4">
        <v>43283.131377314814</v>
      </c>
      <c r="BN1936" s="4">
        <v>43283.134340277778</v>
      </c>
      <c r="BO1936" s="4">
        <v>43283.134340277778</v>
      </c>
      <c r="BP1936" t="s">
        <v>92</v>
      </c>
      <c r="BQ1936" t="s">
        <v>93</v>
      </c>
      <c r="BR1936" t="s">
        <v>94</v>
      </c>
    </row>
    <row r="1937" spans="1:70" x14ac:dyDescent="0.3">
      <c r="A1937" t="str">
        <f>"201158E0100"</f>
        <v>201158E0100</v>
      </c>
      <c r="B1937" s="2" t="s">
        <v>4036</v>
      </c>
      <c r="C1937">
        <v>20</v>
      </c>
      <c r="D1937" t="s">
        <v>88</v>
      </c>
      <c r="E1937">
        <v>199</v>
      </c>
      <c r="F1937" t="s">
        <v>3952</v>
      </c>
      <c r="G1937">
        <v>1158</v>
      </c>
      <c r="H1937">
        <v>1</v>
      </c>
      <c r="I1937" t="s">
        <v>156</v>
      </c>
      <c r="J1937">
        <v>0</v>
      </c>
      <c r="K1937">
        <v>2</v>
      </c>
      <c r="L1937">
        <v>5</v>
      </c>
      <c r="M1937">
        <v>64</v>
      </c>
      <c r="N1937">
        <v>148</v>
      </c>
      <c r="O1937">
        <v>0</v>
      </c>
      <c r="P1937">
        <v>148</v>
      </c>
      <c r="Q1937">
        <v>1</v>
      </c>
      <c r="R1937">
        <v>9</v>
      </c>
      <c r="S1937">
        <v>98</v>
      </c>
      <c r="T1937">
        <v>0</v>
      </c>
      <c r="U1937">
        <v>24</v>
      </c>
      <c r="V1937">
        <v>0</v>
      </c>
      <c r="W1937">
        <v>1</v>
      </c>
      <c r="X1937">
        <v>0</v>
      </c>
      <c r="Y1937">
        <v>6</v>
      </c>
      <c r="Z1937">
        <v>2</v>
      </c>
      <c r="AC1937">
        <v>0</v>
      </c>
      <c r="AD1937">
        <v>1</v>
      </c>
      <c r="AE1937">
        <v>0</v>
      </c>
      <c r="AF1937">
        <v>0</v>
      </c>
      <c r="AK1937">
        <v>0</v>
      </c>
      <c r="AL1937">
        <v>0</v>
      </c>
      <c r="AM1937">
        <v>0</v>
      </c>
      <c r="AN1937">
        <v>0</v>
      </c>
      <c r="AS1937">
        <v>0</v>
      </c>
      <c r="AT1937">
        <v>0</v>
      </c>
      <c r="AU1937">
        <v>0</v>
      </c>
      <c r="AV1937">
        <v>0</v>
      </c>
      <c r="BC1937">
        <v>1</v>
      </c>
      <c r="BD1937">
        <v>5</v>
      </c>
      <c r="BE1937">
        <v>148</v>
      </c>
      <c r="BF1937">
        <v>148</v>
      </c>
      <c r="BG1937">
        <v>190</v>
      </c>
      <c r="BJ1937">
        <v>1</v>
      </c>
      <c r="BL1937" t="s">
        <v>4037</v>
      </c>
      <c r="BM1937" s="4">
        <v>43283.132627314815</v>
      </c>
      <c r="BN1937" s="4">
        <v>43283.137407407405</v>
      </c>
      <c r="BO1937" s="4">
        <v>43283.137407407405</v>
      </c>
      <c r="BP1937" t="s">
        <v>92</v>
      </c>
      <c r="BQ1937" t="s">
        <v>93</v>
      </c>
      <c r="BR1937" t="s">
        <v>94</v>
      </c>
    </row>
    <row r="1938" spans="1:70" x14ac:dyDescent="0.3">
      <c r="A1938" t="str">
        <f>"201159B0100"</f>
        <v>201159B0100</v>
      </c>
      <c r="B1938" t="s">
        <v>4038</v>
      </c>
      <c r="C1938">
        <v>20</v>
      </c>
      <c r="D1938" t="s">
        <v>88</v>
      </c>
      <c r="E1938">
        <v>199</v>
      </c>
      <c r="F1938" t="s">
        <v>3952</v>
      </c>
      <c r="G1938">
        <v>1159</v>
      </c>
      <c r="H1938">
        <v>1</v>
      </c>
      <c r="I1938" t="s">
        <v>90</v>
      </c>
      <c r="J1938">
        <v>0</v>
      </c>
      <c r="K1938">
        <v>2</v>
      </c>
      <c r="L1938">
        <v>5</v>
      </c>
      <c r="M1938">
        <v>144</v>
      </c>
      <c r="N1938">
        <v>378</v>
      </c>
      <c r="O1938">
        <v>1</v>
      </c>
      <c r="P1938">
        <v>378</v>
      </c>
      <c r="Q1938">
        <v>0</v>
      </c>
      <c r="R1938">
        <v>93</v>
      </c>
      <c r="S1938">
        <v>208</v>
      </c>
      <c r="T1938">
        <v>1</v>
      </c>
      <c r="U1938">
        <v>32</v>
      </c>
      <c r="V1938">
        <v>1</v>
      </c>
      <c r="W1938">
        <v>1</v>
      </c>
      <c r="X1938">
        <v>1</v>
      </c>
      <c r="Y1938">
        <v>20</v>
      </c>
      <c r="Z1938">
        <v>0</v>
      </c>
      <c r="AC1938">
        <v>0</v>
      </c>
      <c r="AD1938">
        <v>1</v>
      </c>
      <c r="AE1938">
        <v>0</v>
      </c>
      <c r="AF1938">
        <v>1</v>
      </c>
      <c r="AK1938">
        <v>1</v>
      </c>
      <c r="AL1938">
        <v>0</v>
      </c>
      <c r="AM1938">
        <v>0</v>
      </c>
      <c r="AN1938">
        <v>0</v>
      </c>
      <c r="AS1938">
        <v>1</v>
      </c>
      <c r="AT1938">
        <v>3</v>
      </c>
      <c r="AU1938">
        <v>0</v>
      </c>
      <c r="AV1938">
        <v>0</v>
      </c>
      <c r="BC1938">
        <v>0</v>
      </c>
      <c r="BD1938">
        <v>14</v>
      </c>
      <c r="BE1938">
        <v>378</v>
      </c>
      <c r="BF1938">
        <v>378</v>
      </c>
      <c r="BG1938">
        <v>500</v>
      </c>
      <c r="BJ1938">
        <v>1</v>
      </c>
      <c r="BL1938" t="s">
        <v>4039</v>
      </c>
      <c r="BM1938" s="4">
        <v>43283.142858796295</v>
      </c>
      <c r="BN1938" s="4">
        <v>43283.146319444444</v>
      </c>
      <c r="BO1938" s="4">
        <v>43283.146319444444</v>
      </c>
      <c r="BP1938" t="s">
        <v>92</v>
      </c>
      <c r="BQ1938" t="s">
        <v>93</v>
      </c>
      <c r="BR1938" t="s">
        <v>94</v>
      </c>
    </row>
    <row r="1939" spans="1:70" x14ac:dyDescent="0.3">
      <c r="A1939" t="str">
        <f>"201159C0100"</f>
        <v>201159C0100</v>
      </c>
      <c r="B1939" t="s">
        <v>4040</v>
      </c>
      <c r="C1939">
        <v>20</v>
      </c>
      <c r="D1939" t="s">
        <v>88</v>
      </c>
      <c r="E1939">
        <v>199</v>
      </c>
      <c r="F1939" t="s">
        <v>3952</v>
      </c>
      <c r="G1939">
        <v>1159</v>
      </c>
      <c r="H1939">
        <v>1</v>
      </c>
      <c r="I1939" t="s">
        <v>98</v>
      </c>
      <c r="J1939">
        <v>0</v>
      </c>
      <c r="K1939">
        <v>2</v>
      </c>
      <c r="L1939">
        <v>5</v>
      </c>
      <c r="M1939">
        <v>168</v>
      </c>
      <c r="N1939">
        <v>354</v>
      </c>
      <c r="O1939">
        <v>1</v>
      </c>
      <c r="P1939">
        <v>354</v>
      </c>
      <c r="Q1939">
        <v>1</v>
      </c>
      <c r="R1939">
        <v>101</v>
      </c>
      <c r="S1939">
        <v>179</v>
      </c>
      <c r="T1939">
        <v>1</v>
      </c>
      <c r="U1939">
        <v>26</v>
      </c>
      <c r="V1939">
        <v>2</v>
      </c>
      <c r="W1939">
        <v>3</v>
      </c>
      <c r="X1939" t="s">
        <v>105</v>
      </c>
      <c r="Y1939">
        <v>28</v>
      </c>
      <c r="Z1939">
        <v>1</v>
      </c>
      <c r="AC1939" t="s">
        <v>105</v>
      </c>
      <c r="AD1939" t="s">
        <v>105</v>
      </c>
      <c r="AE1939" t="s">
        <v>105</v>
      </c>
      <c r="AF1939" t="s">
        <v>105</v>
      </c>
      <c r="AK1939">
        <v>1</v>
      </c>
      <c r="AL1939">
        <v>1</v>
      </c>
      <c r="AM1939" t="s">
        <v>105</v>
      </c>
      <c r="AN1939" t="s">
        <v>105</v>
      </c>
      <c r="AS1939" t="s">
        <v>105</v>
      </c>
      <c r="AT1939">
        <v>2</v>
      </c>
      <c r="AU1939" t="s">
        <v>105</v>
      </c>
      <c r="AV1939" t="s">
        <v>105</v>
      </c>
      <c r="BC1939" t="s">
        <v>105</v>
      </c>
      <c r="BD1939">
        <v>8</v>
      </c>
      <c r="BE1939">
        <v>354</v>
      </c>
      <c r="BF1939">
        <v>354</v>
      </c>
      <c r="BG1939">
        <v>500</v>
      </c>
      <c r="BI1939" t="s">
        <v>106</v>
      </c>
      <c r="BJ1939">
        <v>1</v>
      </c>
      <c r="BL1939" t="s">
        <v>4041</v>
      </c>
      <c r="BM1939" s="4">
        <v>43283.144699074073</v>
      </c>
      <c r="BN1939" s="4">
        <v>43283.151400462964</v>
      </c>
      <c r="BO1939" s="4">
        <v>43283.151400462964</v>
      </c>
      <c r="BP1939" t="s">
        <v>92</v>
      </c>
      <c r="BQ1939" t="s">
        <v>93</v>
      </c>
      <c r="BR1939" t="s">
        <v>94</v>
      </c>
    </row>
    <row r="1940" spans="1:70" x14ac:dyDescent="0.3">
      <c r="A1940" t="str">
        <f>"201160B0100"</f>
        <v>201160B0100</v>
      </c>
      <c r="B1940" t="s">
        <v>4042</v>
      </c>
      <c r="C1940">
        <v>20</v>
      </c>
      <c r="D1940" t="s">
        <v>88</v>
      </c>
      <c r="E1940">
        <v>199</v>
      </c>
      <c r="F1940" t="s">
        <v>3952</v>
      </c>
      <c r="G1940">
        <v>1160</v>
      </c>
      <c r="H1940">
        <v>1</v>
      </c>
      <c r="I1940" t="s">
        <v>90</v>
      </c>
      <c r="J1940">
        <v>0</v>
      </c>
      <c r="K1940">
        <v>2</v>
      </c>
      <c r="L1940">
        <v>5</v>
      </c>
      <c r="M1940">
        <v>176</v>
      </c>
      <c r="N1940">
        <v>477</v>
      </c>
      <c r="O1940">
        <v>0</v>
      </c>
      <c r="P1940">
        <v>477</v>
      </c>
      <c r="Q1940">
        <v>0</v>
      </c>
      <c r="R1940">
        <v>10</v>
      </c>
      <c r="S1940">
        <v>323</v>
      </c>
      <c r="T1940">
        <v>0</v>
      </c>
      <c r="U1940">
        <v>133</v>
      </c>
      <c r="V1940">
        <v>0</v>
      </c>
      <c r="W1940">
        <v>0</v>
      </c>
      <c r="X1940">
        <v>0</v>
      </c>
      <c r="Y1940">
        <v>6</v>
      </c>
      <c r="Z1940">
        <v>0</v>
      </c>
      <c r="AC1940">
        <v>0</v>
      </c>
      <c r="AD1940">
        <v>0</v>
      </c>
      <c r="AE1940">
        <v>0</v>
      </c>
      <c r="AF1940">
        <v>0</v>
      </c>
      <c r="AK1940">
        <v>0</v>
      </c>
      <c r="AL1940">
        <v>0</v>
      </c>
      <c r="AM1940">
        <v>0</v>
      </c>
      <c r="AN1940">
        <v>0</v>
      </c>
      <c r="AS1940">
        <v>0</v>
      </c>
      <c r="AT1940">
        <v>0</v>
      </c>
      <c r="AU1940">
        <v>0</v>
      </c>
      <c r="AV1940">
        <v>0</v>
      </c>
      <c r="BC1940">
        <v>0</v>
      </c>
      <c r="BD1940">
        <v>5</v>
      </c>
      <c r="BE1940">
        <v>477</v>
      </c>
      <c r="BF1940">
        <v>477</v>
      </c>
      <c r="BG1940">
        <v>631</v>
      </c>
      <c r="BJ1940">
        <v>1</v>
      </c>
      <c r="BL1940" t="s">
        <v>4043</v>
      </c>
      <c r="BM1940" s="4">
        <v>43283.047777777778</v>
      </c>
      <c r="BN1940" s="4">
        <v>43283.052893518521</v>
      </c>
      <c r="BO1940" s="4">
        <v>43283.052893518521</v>
      </c>
      <c r="BP1940" t="s">
        <v>92</v>
      </c>
      <c r="BQ1940" t="s">
        <v>93</v>
      </c>
      <c r="BR1940" t="s">
        <v>94</v>
      </c>
    </row>
    <row r="1941" spans="1:70" x14ac:dyDescent="0.3">
      <c r="A1941" t="str">
        <f>"201160C0100"</f>
        <v>201160C0100</v>
      </c>
      <c r="B1941" t="s">
        <v>4044</v>
      </c>
      <c r="C1941">
        <v>20</v>
      </c>
      <c r="D1941" t="s">
        <v>88</v>
      </c>
      <c r="E1941">
        <v>199</v>
      </c>
      <c r="F1941" t="s">
        <v>3952</v>
      </c>
      <c r="G1941">
        <v>1160</v>
      </c>
      <c r="H1941">
        <v>1</v>
      </c>
      <c r="I1941" t="s">
        <v>98</v>
      </c>
      <c r="J1941">
        <v>0</v>
      </c>
      <c r="K1941">
        <v>2</v>
      </c>
      <c r="L1941">
        <v>5</v>
      </c>
      <c r="M1941">
        <v>143</v>
      </c>
      <c r="N1941" t="s">
        <v>127</v>
      </c>
      <c r="O1941">
        <v>0</v>
      </c>
      <c r="P1941" t="s">
        <v>127</v>
      </c>
      <c r="Q1941">
        <v>0</v>
      </c>
      <c r="R1941">
        <v>9</v>
      </c>
      <c r="S1941" t="s">
        <v>127</v>
      </c>
      <c r="T1941">
        <v>0</v>
      </c>
      <c r="U1941">
        <v>108</v>
      </c>
      <c r="V1941">
        <v>0</v>
      </c>
      <c r="W1941">
        <v>0</v>
      </c>
      <c r="X1941" t="s">
        <v>127</v>
      </c>
      <c r="Y1941" t="s">
        <v>127</v>
      </c>
      <c r="Z1941" t="s">
        <v>127</v>
      </c>
      <c r="AC1941" t="s">
        <v>127</v>
      </c>
      <c r="AD1941">
        <v>1</v>
      </c>
      <c r="AE1941">
        <v>0</v>
      </c>
      <c r="AF1941">
        <v>0</v>
      </c>
      <c r="AK1941">
        <v>0</v>
      </c>
      <c r="AL1941">
        <v>0</v>
      </c>
      <c r="AM1941">
        <v>0</v>
      </c>
      <c r="AN1941">
        <v>0</v>
      </c>
      <c r="AS1941">
        <v>0</v>
      </c>
      <c r="AT1941">
        <v>0</v>
      </c>
      <c r="AU1941">
        <v>0</v>
      </c>
      <c r="AV1941">
        <v>0</v>
      </c>
      <c r="BC1941" t="s">
        <v>105</v>
      </c>
      <c r="BD1941">
        <v>4</v>
      </c>
      <c r="BE1941">
        <v>528</v>
      </c>
      <c r="BF1941">
        <v>122</v>
      </c>
      <c r="BG1941">
        <v>630</v>
      </c>
      <c r="BI1941" t="s">
        <v>106</v>
      </c>
      <c r="BJ1941">
        <v>1</v>
      </c>
      <c r="BL1941" t="s">
        <v>4045</v>
      </c>
      <c r="BM1941" s="4">
        <v>43283.052268518521</v>
      </c>
      <c r="BN1941" s="4">
        <v>43283.059814814813</v>
      </c>
      <c r="BO1941" s="4">
        <v>43283.059814814813</v>
      </c>
      <c r="BP1941" t="s">
        <v>92</v>
      </c>
      <c r="BQ1941" t="s">
        <v>93</v>
      </c>
      <c r="BR1941" t="s">
        <v>94</v>
      </c>
    </row>
    <row r="1942" spans="1:70" x14ac:dyDescent="0.3">
      <c r="A1942" t="str">
        <f>"201161B0100"</f>
        <v>201161B0100</v>
      </c>
      <c r="B1942" t="s">
        <v>4046</v>
      </c>
      <c r="C1942">
        <v>20</v>
      </c>
      <c r="D1942" t="s">
        <v>88</v>
      </c>
      <c r="E1942">
        <v>199</v>
      </c>
      <c r="F1942" t="s">
        <v>3952</v>
      </c>
      <c r="G1942">
        <v>1161</v>
      </c>
      <c r="H1942">
        <v>1</v>
      </c>
      <c r="I1942" t="s">
        <v>90</v>
      </c>
      <c r="J1942">
        <v>0</v>
      </c>
      <c r="K1942">
        <v>2</v>
      </c>
      <c r="L1942">
        <v>5</v>
      </c>
      <c r="M1942">
        <v>104</v>
      </c>
      <c r="N1942">
        <v>435</v>
      </c>
      <c r="O1942">
        <v>1</v>
      </c>
      <c r="P1942">
        <v>435</v>
      </c>
      <c r="Q1942" t="s">
        <v>105</v>
      </c>
      <c r="R1942">
        <v>4</v>
      </c>
      <c r="S1942">
        <v>274</v>
      </c>
      <c r="T1942" t="s">
        <v>105</v>
      </c>
      <c r="U1942">
        <v>28</v>
      </c>
      <c r="V1942" t="s">
        <v>105</v>
      </c>
      <c r="W1942" t="s">
        <v>105</v>
      </c>
      <c r="X1942" t="s">
        <v>105</v>
      </c>
      <c r="Y1942">
        <v>129</v>
      </c>
      <c r="Z1942" t="s">
        <v>105</v>
      </c>
      <c r="AC1942">
        <v>0</v>
      </c>
      <c r="AD1942">
        <v>0</v>
      </c>
      <c r="AE1942">
        <v>0</v>
      </c>
      <c r="AF1942" t="s">
        <v>105</v>
      </c>
      <c r="AK1942" t="s">
        <v>105</v>
      </c>
      <c r="AL1942" t="s">
        <v>105</v>
      </c>
      <c r="AM1942" t="s">
        <v>105</v>
      </c>
      <c r="AN1942" t="s">
        <v>105</v>
      </c>
      <c r="AS1942" t="s">
        <v>105</v>
      </c>
      <c r="AT1942" t="s">
        <v>105</v>
      </c>
      <c r="AU1942" t="s">
        <v>105</v>
      </c>
      <c r="AV1942" t="s">
        <v>105</v>
      </c>
      <c r="BC1942" t="s">
        <v>105</v>
      </c>
      <c r="BD1942" t="s">
        <v>105</v>
      </c>
      <c r="BE1942">
        <v>435</v>
      </c>
      <c r="BF1942">
        <v>435</v>
      </c>
      <c r="BG1942">
        <v>517</v>
      </c>
      <c r="BI1942" t="s">
        <v>106</v>
      </c>
      <c r="BJ1942">
        <v>1</v>
      </c>
      <c r="BL1942" t="s">
        <v>4047</v>
      </c>
      <c r="BM1942" s="4">
        <v>43283.075972222221</v>
      </c>
      <c r="BN1942" s="4">
        <v>43283.083310185182</v>
      </c>
      <c r="BO1942" s="4">
        <v>43283.083310185182</v>
      </c>
      <c r="BP1942" t="s">
        <v>92</v>
      </c>
      <c r="BQ1942" t="s">
        <v>93</v>
      </c>
      <c r="BR1942" t="s">
        <v>94</v>
      </c>
    </row>
    <row r="1943" spans="1:70" x14ac:dyDescent="0.3">
      <c r="A1943" t="str">
        <f>"201161C0100"</f>
        <v>201161C0100</v>
      </c>
      <c r="B1943" t="s">
        <v>4048</v>
      </c>
      <c r="C1943">
        <v>20</v>
      </c>
      <c r="D1943" t="s">
        <v>88</v>
      </c>
      <c r="E1943">
        <v>199</v>
      </c>
      <c r="F1943" t="s">
        <v>3952</v>
      </c>
      <c r="G1943">
        <v>1161</v>
      </c>
      <c r="H1943">
        <v>1</v>
      </c>
      <c r="I1943" t="s">
        <v>98</v>
      </c>
      <c r="J1943">
        <v>0</v>
      </c>
      <c r="K1943">
        <v>2</v>
      </c>
      <c r="L1943">
        <v>5</v>
      </c>
      <c r="M1943">
        <v>120</v>
      </c>
      <c r="N1943">
        <v>418</v>
      </c>
      <c r="O1943">
        <v>0</v>
      </c>
      <c r="P1943">
        <v>418</v>
      </c>
      <c r="Q1943">
        <v>0</v>
      </c>
      <c r="R1943">
        <v>5</v>
      </c>
      <c r="S1943">
        <v>264</v>
      </c>
      <c r="T1943">
        <v>0</v>
      </c>
      <c r="U1943">
        <v>50</v>
      </c>
      <c r="V1943">
        <v>0</v>
      </c>
      <c r="W1943">
        <v>0</v>
      </c>
      <c r="X1943">
        <v>0</v>
      </c>
      <c r="Y1943">
        <v>96</v>
      </c>
      <c r="Z1943">
        <v>1</v>
      </c>
      <c r="AC1943">
        <v>0</v>
      </c>
      <c r="AD1943">
        <v>0</v>
      </c>
      <c r="AE1943">
        <v>0</v>
      </c>
      <c r="AF1943">
        <v>0</v>
      </c>
      <c r="AK1943">
        <v>0</v>
      </c>
      <c r="AL1943">
        <v>0</v>
      </c>
      <c r="AM1943">
        <v>0</v>
      </c>
      <c r="AN1943">
        <v>0</v>
      </c>
      <c r="AS1943">
        <v>0</v>
      </c>
      <c r="AT1943">
        <v>0</v>
      </c>
      <c r="AU1943">
        <v>0</v>
      </c>
      <c r="AV1943">
        <v>0</v>
      </c>
      <c r="BC1943">
        <v>2</v>
      </c>
      <c r="BD1943">
        <v>0</v>
      </c>
      <c r="BE1943" t="s">
        <v>105</v>
      </c>
      <c r="BF1943">
        <v>418</v>
      </c>
      <c r="BG1943">
        <v>516</v>
      </c>
      <c r="BJ1943">
        <v>1</v>
      </c>
      <c r="BL1943" t="s">
        <v>4049</v>
      </c>
      <c r="BM1943" s="4">
        <v>43283.077696759261</v>
      </c>
      <c r="BN1943" s="4">
        <v>43283.086354166669</v>
      </c>
      <c r="BO1943" s="4">
        <v>43283.086354166669</v>
      </c>
      <c r="BP1943" t="s">
        <v>92</v>
      </c>
      <c r="BQ1943" t="s">
        <v>93</v>
      </c>
      <c r="BR1943" t="s">
        <v>94</v>
      </c>
    </row>
    <row r="1944" spans="1:70" x14ac:dyDescent="0.3">
      <c r="A1944" t="str">
        <f>"201162B0100"</f>
        <v>201162B0100</v>
      </c>
      <c r="B1944" t="s">
        <v>4050</v>
      </c>
      <c r="C1944">
        <v>20</v>
      </c>
      <c r="D1944" t="s">
        <v>88</v>
      </c>
      <c r="E1944">
        <v>200</v>
      </c>
      <c r="F1944" t="s">
        <v>4051</v>
      </c>
      <c r="G1944">
        <v>1162</v>
      </c>
      <c r="H1944">
        <v>1</v>
      </c>
      <c r="I1944" t="s">
        <v>90</v>
      </c>
      <c r="J1944">
        <v>0</v>
      </c>
      <c r="K1944">
        <v>1</v>
      </c>
      <c r="L1944">
        <v>5</v>
      </c>
      <c r="BG1944">
        <v>393</v>
      </c>
      <c r="BI1944" t="s">
        <v>4052</v>
      </c>
      <c r="BJ1944">
        <v>0</v>
      </c>
      <c r="BL1944" t="s">
        <v>4053</v>
      </c>
      <c r="BM1944" s="4">
        <v>43283.587500000001</v>
      </c>
      <c r="BN1944" s="4">
        <v>43283.590810185182</v>
      </c>
      <c r="BO1944" s="4">
        <v>43283.590810185182</v>
      </c>
      <c r="BP1944" t="s">
        <v>92</v>
      </c>
      <c r="BQ1944" t="s">
        <v>93</v>
      </c>
      <c r="BR1944" t="s">
        <v>94</v>
      </c>
    </row>
    <row r="1945" spans="1:70" x14ac:dyDescent="0.3">
      <c r="A1945" t="str">
        <f>"201163B0100"</f>
        <v>201163B0100</v>
      </c>
      <c r="B1945" t="s">
        <v>4054</v>
      </c>
      <c r="C1945">
        <v>20</v>
      </c>
      <c r="D1945" t="s">
        <v>88</v>
      </c>
      <c r="E1945">
        <v>200</v>
      </c>
      <c r="F1945" t="s">
        <v>4051</v>
      </c>
      <c r="G1945">
        <v>1163</v>
      </c>
      <c r="H1945">
        <v>1</v>
      </c>
      <c r="I1945" t="s">
        <v>90</v>
      </c>
      <c r="J1945">
        <v>0</v>
      </c>
      <c r="K1945">
        <v>2</v>
      </c>
      <c r="L1945">
        <v>5</v>
      </c>
      <c r="BG1945">
        <v>184</v>
      </c>
      <c r="BI1945" t="s">
        <v>4052</v>
      </c>
      <c r="BJ1945">
        <v>0</v>
      </c>
      <c r="BL1945" s="2" t="s">
        <v>4055</v>
      </c>
      <c r="BM1945" s="4">
        <v>43283.587500000001</v>
      </c>
      <c r="BN1945" s="4">
        <v>43283.591562499998</v>
      </c>
      <c r="BO1945" s="4">
        <v>43283.591562499998</v>
      </c>
      <c r="BP1945" t="s">
        <v>92</v>
      </c>
      <c r="BQ1945" t="s">
        <v>93</v>
      </c>
      <c r="BR1945" t="s">
        <v>94</v>
      </c>
    </row>
    <row r="1946" spans="1:70" x14ac:dyDescent="0.3">
      <c r="A1946" t="str">
        <f>"201238B0100"</f>
        <v>201238B0100</v>
      </c>
      <c r="B1946" t="s">
        <v>4056</v>
      </c>
      <c r="C1946">
        <v>20</v>
      </c>
      <c r="D1946" t="s">
        <v>88</v>
      </c>
      <c r="E1946">
        <v>225</v>
      </c>
      <c r="F1946" t="s">
        <v>4057</v>
      </c>
      <c r="G1946">
        <v>1238</v>
      </c>
      <c r="H1946">
        <v>1</v>
      </c>
      <c r="I1946" t="s">
        <v>90</v>
      </c>
      <c r="J1946">
        <v>0</v>
      </c>
      <c r="K1946">
        <v>1</v>
      </c>
      <c r="L1946">
        <v>5</v>
      </c>
      <c r="M1946">
        <v>152</v>
      </c>
      <c r="N1946">
        <v>564</v>
      </c>
      <c r="O1946">
        <v>0</v>
      </c>
      <c r="P1946" t="s">
        <v>105</v>
      </c>
      <c r="Q1946">
        <v>321</v>
      </c>
      <c r="R1946">
        <v>41</v>
      </c>
      <c r="S1946">
        <v>2</v>
      </c>
      <c r="T1946">
        <v>10</v>
      </c>
      <c r="U1946">
        <v>1</v>
      </c>
      <c r="V1946">
        <v>1</v>
      </c>
      <c r="W1946">
        <v>10</v>
      </c>
      <c r="X1946">
        <v>128</v>
      </c>
      <c r="Y1946">
        <v>12</v>
      </c>
      <c r="Z1946">
        <v>1</v>
      </c>
      <c r="AC1946">
        <v>3</v>
      </c>
      <c r="AD1946">
        <v>2</v>
      </c>
      <c r="AE1946">
        <v>1</v>
      </c>
      <c r="AF1946">
        <v>0</v>
      </c>
      <c r="AG1946">
        <v>4</v>
      </c>
      <c r="AH1946">
        <v>0</v>
      </c>
      <c r="AI1946">
        <v>3</v>
      </c>
      <c r="AJ1946">
        <v>0</v>
      </c>
      <c r="AK1946">
        <v>1</v>
      </c>
      <c r="AL1946">
        <v>0</v>
      </c>
      <c r="AM1946">
        <v>0</v>
      </c>
      <c r="AN1946">
        <v>0</v>
      </c>
      <c r="BC1946">
        <v>0</v>
      </c>
      <c r="BD1946">
        <v>23</v>
      </c>
      <c r="BE1946">
        <v>564</v>
      </c>
      <c r="BF1946">
        <v>564</v>
      </c>
      <c r="BG1946">
        <v>694</v>
      </c>
      <c r="BJ1946">
        <v>1</v>
      </c>
      <c r="BL1946" t="s">
        <v>4058</v>
      </c>
      <c r="BM1946" s="4">
        <v>43283.34652777778</v>
      </c>
      <c r="BN1946" s="4">
        <v>43283.360358796293</v>
      </c>
      <c r="BO1946" s="4">
        <v>43283.360358796293</v>
      </c>
      <c r="BP1946" t="s">
        <v>92</v>
      </c>
      <c r="BQ1946" t="s">
        <v>93</v>
      </c>
      <c r="BR1946" t="s">
        <v>94</v>
      </c>
    </row>
    <row r="1947" spans="1:70" x14ac:dyDescent="0.3">
      <c r="A1947" t="str">
        <f>"201238C0100"</f>
        <v>201238C0100</v>
      </c>
      <c r="B1947" t="s">
        <v>4059</v>
      </c>
      <c r="C1947">
        <v>20</v>
      </c>
      <c r="D1947" t="s">
        <v>88</v>
      </c>
      <c r="E1947">
        <v>225</v>
      </c>
      <c r="F1947" t="s">
        <v>4057</v>
      </c>
      <c r="G1947">
        <v>1238</v>
      </c>
      <c r="H1947">
        <v>1</v>
      </c>
      <c r="I1947" t="s">
        <v>98</v>
      </c>
      <c r="J1947">
        <v>0</v>
      </c>
      <c r="K1947">
        <v>1</v>
      </c>
      <c r="L1947">
        <v>5</v>
      </c>
      <c r="M1947">
        <v>156</v>
      </c>
      <c r="N1947">
        <v>559</v>
      </c>
      <c r="O1947">
        <v>0</v>
      </c>
      <c r="P1947">
        <v>538</v>
      </c>
      <c r="Q1947">
        <v>302</v>
      </c>
      <c r="R1947">
        <v>46</v>
      </c>
      <c r="S1947">
        <v>0</v>
      </c>
      <c r="T1947">
        <v>6</v>
      </c>
      <c r="U1947">
        <v>1</v>
      </c>
      <c r="V1947">
        <v>1</v>
      </c>
      <c r="W1947">
        <v>10</v>
      </c>
      <c r="X1947">
        <v>153</v>
      </c>
      <c r="Y1947">
        <v>15</v>
      </c>
      <c r="Z1947">
        <v>2</v>
      </c>
      <c r="AC1947">
        <v>2</v>
      </c>
      <c r="AD1947">
        <v>2</v>
      </c>
      <c r="AE1947">
        <v>0</v>
      </c>
      <c r="AF1947">
        <v>0</v>
      </c>
      <c r="AG1947">
        <v>4</v>
      </c>
      <c r="AH1947">
        <v>0</v>
      </c>
      <c r="AI1947">
        <v>4</v>
      </c>
      <c r="AJ1947">
        <v>0</v>
      </c>
      <c r="AK1947">
        <v>1</v>
      </c>
      <c r="AL1947">
        <v>0</v>
      </c>
      <c r="AM1947">
        <v>0</v>
      </c>
      <c r="AN1947">
        <v>0</v>
      </c>
      <c r="BC1947">
        <v>0</v>
      </c>
      <c r="BD1947">
        <v>9</v>
      </c>
      <c r="BE1947">
        <v>558</v>
      </c>
      <c r="BF1947">
        <v>558</v>
      </c>
      <c r="BG1947">
        <v>693</v>
      </c>
      <c r="BJ1947">
        <v>1</v>
      </c>
      <c r="BL1947" t="s">
        <v>4060</v>
      </c>
      <c r="BM1947" s="4">
        <v>43283.34652777778</v>
      </c>
      <c r="BN1947" s="4">
        <v>43283.362511574072</v>
      </c>
      <c r="BO1947" s="4">
        <v>43283.362511574072</v>
      </c>
      <c r="BP1947" t="s">
        <v>92</v>
      </c>
      <c r="BQ1947" t="s">
        <v>93</v>
      </c>
      <c r="BR1947" t="s">
        <v>94</v>
      </c>
    </row>
    <row r="1948" spans="1:70" x14ac:dyDescent="0.3">
      <c r="A1948" t="str">
        <f>"201239B0100"</f>
        <v>201239B0100</v>
      </c>
      <c r="B1948" t="s">
        <v>4061</v>
      </c>
      <c r="C1948">
        <v>20</v>
      </c>
      <c r="D1948" t="s">
        <v>88</v>
      </c>
      <c r="E1948">
        <v>225</v>
      </c>
      <c r="F1948" t="s">
        <v>4057</v>
      </c>
      <c r="G1948">
        <v>1239</v>
      </c>
      <c r="H1948">
        <v>1</v>
      </c>
      <c r="I1948" t="s">
        <v>90</v>
      </c>
      <c r="J1948">
        <v>0</v>
      </c>
      <c r="K1948">
        <v>2</v>
      </c>
      <c r="L1948">
        <v>5</v>
      </c>
      <c r="M1948">
        <v>122</v>
      </c>
      <c r="N1948">
        <v>543</v>
      </c>
      <c r="O1948">
        <v>0</v>
      </c>
      <c r="P1948">
        <v>543</v>
      </c>
      <c r="Q1948">
        <v>334</v>
      </c>
      <c r="R1948">
        <v>31</v>
      </c>
      <c r="S1948">
        <v>4</v>
      </c>
      <c r="T1948">
        <v>2</v>
      </c>
      <c r="U1948">
        <v>0</v>
      </c>
      <c r="V1948">
        <v>3</v>
      </c>
      <c r="W1948">
        <v>0</v>
      </c>
      <c r="X1948">
        <v>138</v>
      </c>
      <c r="Y1948">
        <v>7</v>
      </c>
      <c r="Z1948">
        <v>0</v>
      </c>
      <c r="AC1948">
        <v>3</v>
      </c>
      <c r="AD1948">
        <v>1</v>
      </c>
      <c r="AE1948">
        <v>1</v>
      </c>
      <c r="AF1948">
        <v>0</v>
      </c>
      <c r="AG1948">
        <v>7</v>
      </c>
      <c r="AH1948">
        <v>0</v>
      </c>
      <c r="AI1948">
        <v>2</v>
      </c>
      <c r="AJ1948">
        <v>1</v>
      </c>
      <c r="AK1948">
        <v>1</v>
      </c>
      <c r="AL1948">
        <v>0</v>
      </c>
      <c r="AM1948">
        <v>0</v>
      </c>
      <c r="AN1948">
        <v>0</v>
      </c>
      <c r="BC1948" t="s">
        <v>105</v>
      </c>
      <c r="BD1948">
        <v>19</v>
      </c>
      <c r="BE1948">
        <v>543</v>
      </c>
      <c r="BF1948">
        <v>554</v>
      </c>
      <c r="BG1948">
        <v>644</v>
      </c>
      <c r="BI1948" t="s">
        <v>106</v>
      </c>
      <c r="BJ1948">
        <v>1</v>
      </c>
      <c r="BL1948" t="s">
        <v>4062</v>
      </c>
      <c r="BM1948" s="4">
        <v>43283.345138888886</v>
      </c>
      <c r="BN1948" s="4">
        <v>43283.360671296294</v>
      </c>
      <c r="BO1948" s="4">
        <v>43283.360671296294</v>
      </c>
      <c r="BP1948" t="s">
        <v>92</v>
      </c>
      <c r="BQ1948" t="s">
        <v>93</v>
      </c>
      <c r="BR1948" t="s">
        <v>94</v>
      </c>
    </row>
    <row r="1949" spans="1:70" x14ac:dyDescent="0.3">
      <c r="A1949" t="str">
        <f>"201239C0100"</f>
        <v>201239C0100</v>
      </c>
      <c r="B1949" t="s">
        <v>4063</v>
      </c>
      <c r="C1949">
        <v>20</v>
      </c>
      <c r="D1949" t="s">
        <v>88</v>
      </c>
      <c r="E1949">
        <v>225</v>
      </c>
      <c r="F1949" t="s">
        <v>4057</v>
      </c>
      <c r="G1949">
        <v>1239</v>
      </c>
      <c r="H1949">
        <v>1</v>
      </c>
      <c r="I1949" t="s">
        <v>98</v>
      </c>
      <c r="J1949">
        <v>0</v>
      </c>
      <c r="K1949">
        <v>2</v>
      </c>
      <c r="L1949">
        <v>5</v>
      </c>
      <c r="M1949">
        <v>132</v>
      </c>
      <c r="N1949">
        <v>533</v>
      </c>
      <c r="O1949">
        <v>0</v>
      </c>
      <c r="P1949">
        <v>533</v>
      </c>
      <c r="Q1949">
        <v>311</v>
      </c>
      <c r="R1949">
        <v>24</v>
      </c>
      <c r="S1949">
        <v>4</v>
      </c>
      <c r="T1949">
        <v>2</v>
      </c>
      <c r="U1949">
        <v>1</v>
      </c>
      <c r="V1949">
        <v>0</v>
      </c>
      <c r="W1949">
        <v>2</v>
      </c>
      <c r="X1949">
        <v>140</v>
      </c>
      <c r="Y1949">
        <v>13</v>
      </c>
      <c r="Z1949">
        <v>1</v>
      </c>
      <c r="AC1949">
        <v>2</v>
      </c>
      <c r="AD1949">
        <v>3</v>
      </c>
      <c r="AE1949">
        <v>1</v>
      </c>
      <c r="AF1949">
        <v>0</v>
      </c>
      <c r="AG1949">
        <v>3</v>
      </c>
      <c r="AH1949">
        <v>0</v>
      </c>
      <c r="AI1949">
        <v>1</v>
      </c>
      <c r="AJ1949">
        <v>0</v>
      </c>
      <c r="AK1949">
        <v>0</v>
      </c>
      <c r="AL1949">
        <v>0</v>
      </c>
      <c r="AM1949">
        <v>0</v>
      </c>
      <c r="AN1949">
        <v>0</v>
      </c>
      <c r="BC1949">
        <v>0</v>
      </c>
      <c r="BD1949">
        <v>24</v>
      </c>
      <c r="BE1949">
        <v>533</v>
      </c>
      <c r="BF1949">
        <v>532</v>
      </c>
      <c r="BG1949">
        <v>643</v>
      </c>
      <c r="BJ1949">
        <v>1</v>
      </c>
      <c r="BL1949" s="2" t="s">
        <v>4064</v>
      </c>
      <c r="BM1949" s="4">
        <v>43283.345833333333</v>
      </c>
      <c r="BN1949" s="4">
        <v>43283.360659722224</v>
      </c>
      <c r="BO1949" s="4">
        <v>43283.360659722224</v>
      </c>
      <c r="BP1949" t="s">
        <v>92</v>
      </c>
      <c r="BQ1949" t="s">
        <v>93</v>
      </c>
      <c r="BR1949" t="s">
        <v>94</v>
      </c>
    </row>
    <row r="1950" spans="1:70" x14ac:dyDescent="0.3">
      <c r="A1950" t="str">
        <f>"201240B0100"</f>
        <v>201240B0100</v>
      </c>
      <c r="B1950" t="s">
        <v>4065</v>
      </c>
      <c r="C1950">
        <v>20</v>
      </c>
      <c r="D1950" t="s">
        <v>88</v>
      </c>
      <c r="E1950">
        <v>225</v>
      </c>
      <c r="F1950" t="s">
        <v>4057</v>
      </c>
      <c r="G1950">
        <v>1240</v>
      </c>
      <c r="H1950">
        <v>1</v>
      </c>
      <c r="I1950" t="s">
        <v>90</v>
      </c>
      <c r="J1950">
        <v>0</v>
      </c>
      <c r="K1950">
        <v>2</v>
      </c>
      <c r="L1950">
        <v>5</v>
      </c>
      <c r="M1950">
        <v>140</v>
      </c>
      <c r="N1950">
        <v>509</v>
      </c>
      <c r="O1950">
        <v>0</v>
      </c>
      <c r="P1950">
        <v>509</v>
      </c>
      <c r="Q1950">
        <v>211</v>
      </c>
      <c r="R1950">
        <v>9</v>
      </c>
      <c r="S1950">
        <v>41</v>
      </c>
      <c r="T1950">
        <v>0</v>
      </c>
      <c r="U1950">
        <v>3</v>
      </c>
      <c r="V1950">
        <v>0</v>
      </c>
      <c r="W1950">
        <v>0</v>
      </c>
      <c r="X1950">
        <v>81</v>
      </c>
      <c r="Y1950">
        <v>143</v>
      </c>
      <c r="Z1950">
        <v>6</v>
      </c>
      <c r="AC1950">
        <v>0</v>
      </c>
      <c r="AD1950">
        <v>0</v>
      </c>
      <c r="AE1950">
        <v>0</v>
      </c>
      <c r="AF1950">
        <v>0</v>
      </c>
      <c r="AG1950">
        <v>0</v>
      </c>
      <c r="AH1950">
        <v>0</v>
      </c>
      <c r="AI1950">
        <v>0</v>
      </c>
      <c r="AJ1950">
        <v>0</v>
      </c>
      <c r="AK1950">
        <v>1</v>
      </c>
      <c r="AL1950">
        <v>0</v>
      </c>
      <c r="AM1950">
        <v>0</v>
      </c>
      <c r="AN1950">
        <v>0</v>
      </c>
      <c r="BC1950">
        <v>0</v>
      </c>
      <c r="BD1950">
        <v>14</v>
      </c>
      <c r="BE1950">
        <v>509</v>
      </c>
      <c r="BF1950">
        <v>509</v>
      </c>
      <c r="BG1950">
        <v>627</v>
      </c>
      <c r="BJ1950">
        <v>1</v>
      </c>
      <c r="BL1950" t="s">
        <v>4066</v>
      </c>
      <c r="BM1950" s="4">
        <v>43283.34652777778</v>
      </c>
      <c r="BN1950" s="4">
        <v>43283.383287037039</v>
      </c>
      <c r="BO1950" s="4">
        <v>43283.383287037039</v>
      </c>
      <c r="BP1950" t="s">
        <v>92</v>
      </c>
      <c r="BQ1950" t="s">
        <v>93</v>
      </c>
      <c r="BR1950" t="s">
        <v>94</v>
      </c>
    </row>
    <row r="1951" spans="1:70" x14ac:dyDescent="0.3">
      <c r="A1951" t="str">
        <f>"201240C0100"</f>
        <v>201240C0100</v>
      </c>
      <c r="B1951" t="s">
        <v>4067</v>
      </c>
      <c r="C1951">
        <v>20</v>
      </c>
      <c r="D1951" t="s">
        <v>88</v>
      </c>
      <c r="E1951">
        <v>225</v>
      </c>
      <c r="F1951" t="s">
        <v>4057</v>
      </c>
      <c r="G1951">
        <v>1240</v>
      </c>
      <c r="H1951">
        <v>1</v>
      </c>
      <c r="I1951" t="s">
        <v>98</v>
      </c>
      <c r="J1951">
        <v>0</v>
      </c>
      <c r="K1951">
        <v>2</v>
      </c>
      <c r="L1951">
        <v>5</v>
      </c>
      <c r="M1951">
        <v>123</v>
      </c>
      <c r="N1951">
        <v>525</v>
      </c>
      <c r="O1951">
        <v>0</v>
      </c>
      <c r="P1951">
        <v>525</v>
      </c>
      <c r="Q1951">
        <v>236</v>
      </c>
      <c r="R1951">
        <v>10</v>
      </c>
      <c r="S1951">
        <v>46</v>
      </c>
      <c r="T1951">
        <v>1</v>
      </c>
      <c r="U1951">
        <v>3</v>
      </c>
      <c r="V1951">
        <v>1</v>
      </c>
      <c r="W1951">
        <v>1</v>
      </c>
      <c r="X1951">
        <v>108</v>
      </c>
      <c r="Y1951">
        <v>71</v>
      </c>
      <c r="Z1951">
        <v>2</v>
      </c>
      <c r="AC1951">
        <v>3</v>
      </c>
      <c r="AD1951">
        <v>4</v>
      </c>
      <c r="AE1951">
        <v>0</v>
      </c>
      <c r="AF1951">
        <v>0</v>
      </c>
      <c r="AG1951">
        <v>1</v>
      </c>
      <c r="AH1951">
        <v>0</v>
      </c>
      <c r="AI1951">
        <v>2</v>
      </c>
      <c r="AJ1951">
        <v>0</v>
      </c>
      <c r="AK1951">
        <v>1</v>
      </c>
      <c r="AL1951">
        <v>0</v>
      </c>
      <c r="AM1951">
        <v>1</v>
      </c>
      <c r="AN1951">
        <v>1</v>
      </c>
      <c r="BC1951">
        <v>0</v>
      </c>
      <c r="BD1951">
        <v>14</v>
      </c>
      <c r="BE1951">
        <v>525</v>
      </c>
      <c r="BF1951">
        <v>506</v>
      </c>
      <c r="BG1951">
        <v>626</v>
      </c>
      <c r="BJ1951">
        <v>1</v>
      </c>
      <c r="BL1951" t="s">
        <v>4068</v>
      </c>
      <c r="BM1951" s="4">
        <v>43283.34652777778</v>
      </c>
      <c r="BN1951" s="4">
        <v>43283.381689814814</v>
      </c>
      <c r="BO1951" s="4">
        <v>43283.381689814814</v>
      </c>
      <c r="BP1951" t="s">
        <v>92</v>
      </c>
      <c r="BQ1951" t="s">
        <v>93</v>
      </c>
      <c r="BR1951" t="s">
        <v>94</v>
      </c>
    </row>
    <row r="1952" spans="1:70" x14ac:dyDescent="0.3">
      <c r="A1952" t="str">
        <f>"201254B0100"</f>
        <v>201254B0100</v>
      </c>
      <c r="B1952" t="s">
        <v>4069</v>
      </c>
      <c r="C1952">
        <v>20</v>
      </c>
      <c r="D1952" t="s">
        <v>88</v>
      </c>
      <c r="E1952">
        <v>232</v>
      </c>
      <c r="F1952" t="s">
        <v>4070</v>
      </c>
      <c r="G1952">
        <v>1254</v>
      </c>
      <c r="H1952">
        <v>1</v>
      </c>
      <c r="I1952" t="s">
        <v>90</v>
      </c>
      <c r="J1952">
        <v>0</v>
      </c>
      <c r="K1952">
        <v>1</v>
      </c>
      <c r="L1952">
        <v>5</v>
      </c>
      <c r="M1952">
        <v>96</v>
      </c>
      <c r="N1952">
        <v>364</v>
      </c>
      <c r="O1952">
        <v>8</v>
      </c>
      <c r="P1952">
        <v>364</v>
      </c>
      <c r="Q1952">
        <v>94</v>
      </c>
      <c r="R1952">
        <v>29</v>
      </c>
      <c r="S1952">
        <v>3</v>
      </c>
      <c r="T1952">
        <v>5</v>
      </c>
      <c r="U1952">
        <v>12</v>
      </c>
      <c r="V1952">
        <v>7</v>
      </c>
      <c r="X1952">
        <v>72</v>
      </c>
      <c r="Y1952">
        <v>123</v>
      </c>
      <c r="Z1952">
        <v>2</v>
      </c>
      <c r="AA1952">
        <v>0</v>
      </c>
      <c r="AC1952">
        <v>2</v>
      </c>
      <c r="AD1952">
        <v>1</v>
      </c>
      <c r="AE1952">
        <v>3</v>
      </c>
      <c r="AF1952">
        <v>0</v>
      </c>
      <c r="AG1952">
        <v>0</v>
      </c>
      <c r="AH1952">
        <v>0</v>
      </c>
      <c r="AI1952">
        <v>0</v>
      </c>
      <c r="AJ1952">
        <v>0</v>
      </c>
      <c r="AK1952">
        <v>2</v>
      </c>
      <c r="AL1952">
        <v>2</v>
      </c>
      <c r="AM1952">
        <v>0</v>
      </c>
      <c r="AN1952">
        <v>2</v>
      </c>
      <c r="BC1952">
        <v>0</v>
      </c>
      <c r="BD1952">
        <v>5</v>
      </c>
      <c r="BE1952">
        <v>364</v>
      </c>
      <c r="BF1952">
        <v>364</v>
      </c>
      <c r="BG1952">
        <v>437</v>
      </c>
      <c r="BJ1952">
        <v>1</v>
      </c>
      <c r="BL1952" t="s">
        <v>4071</v>
      </c>
      <c r="BM1952" s="4">
        <v>43283.044062499997</v>
      </c>
      <c r="BN1952" s="4">
        <v>43283.049583333333</v>
      </c>
      <c r="BO1952" s="4">
        <v>43283.049583333333</v>
      </c>
      <c r="BP1952" t="s">
        <v>92</v>
      </c>
      <c r="BQ1952" t="s">
        <v>93</v>
      </c>
      <c r="BR1952" t="s">
        <v>94</v>
      </c>
    </row>
    <row r="1953" spans="1:70" x14ac:dyDescent="0.3">
      <c r="A1953" t="str">
        <f>"201254C0100"</f>
        <v>201254C0100</v>
      </c>
      <c r="B1953" t="s">
        <v>4072</v>
      </c>
      <c r="C1953">
        <v>20</v>
      </c>
      <c r="D1953" t="s">
        <v>88</v>
      </c>
      <c r="E1953">
        <v>232</v>
      </c>
      <c r="F1953" t="s">
        <v>4070</v>
      </c>
      <c r="G1953">
        <v>1254</v>
      </c>
      <c r="H1953">
        <v>1</v>
      </c>
      <c r="I1953" t="s">
        <v>98</v>
      </c>
      <c r="J1953">
        <v>0</v>
      </c>
      <c r="K1953">
        <v>1</v>
      </c>
      <c r="L1953">
        <v>5</v>
      </c>
      <c r="M1953">
        <v>94</v>
      </c>
      <c r="N1953">
        <v>365</v>
      </c>
      <c r="O1953">
        <v>9</v>
      </c>
      <c r="P1953">
        <v>0</v>
      </c>
      <c r="Q1953">
        <v>72</v>
      </c>
      <c r="R1953">
        <v>28</v>
      </c>
      <c r="S1953">
        <v>6</v>
      </c>
      <c r="T1953">
        <v>3</v>
      </c>
      <c r="U1953">
        <v>6</v>
      </c>
      <c r="V1953">
        <v>11</v>
      </c>
      <c r="X1953">
        <v>59</v>
      </c>
      <c r="Y1953">
        <v>148</v>
      </c>
      <c r="Z1953">
        <v>4</v>
      </c>
      <c r="AA1953">
        <v>0</v>
      </c>
      <c r="AC1953">
        <v>4</v>
      </c>
      <c r="AD1953">
        <v>0</v>
      </c>
      <c r="AE1953">
        <v>1</v>
      </c>
      <c r="AF1953">
        <v>0</v>
      </c>
      <c r="AG1953">
        <v>1</v>
      </c>
      <c r="AH1953">
        <v>1</v>
      </c>
      <c r="AI1953">
        <v>2</v>
      </c>
      <c r="AJ1953">
        <v>0</v>
      </c>
      <c r="AK1953">
        <v>4</v>
      </c>
      <c r="AL1953">
        <v>2</v>
      </c>
      <c r="AM1953">
        <v>1</v>
      </c>
      <c r="AN1953">
        <v>0</v>
      </c>
      <c r="BC1953">
        <v>0</v>
      </c>
      <c r="BD1953">
        <v>12</v>
      </c>
      <c r="BE1953" t="s">
        <v>105</v>
      </c>
      <c r="BF1953">
        <v>365</v>
      </c>
      <c r="BG1953">
        <v>437</v>
      </c>
      <c r="BJ1953">
        <v>1</v>
      </c>
      <c r="BL1953" t="s">
        <v>4073</v>
      </c>
      <c r="BM1953" s="4">
        <v>43283.040034722224</v>
      </c>
      <c r="BN1953" s="4">
        <v>43283.045914351853</v>
      </c>
      <c r="BO1953" s="4">
        <v>43283.045914351853</v>
      </c>
      <c r="BP1953" t="s">
        <v>92</v>
      </c>
      <c r="BQ1953" t="s">
        <v>93</v>
      </c>
      <c r="BR1953" t="s">
        <v>94</v>
      </c>
    </row>
    <row r="1954" spans="1:70" x14ac:dyDescent="0.3">
      <c r="A1954" t="str">
        <f>"201255B0100"</f>
        <v>201255B0100</v>
      </c>
      <c r="B1954" t="s">
        <v>4074</v>
      </c>
      <c r="C1954">
        <v>20</v>
      </c>
      <c r="D1954" t="s">
        <v>88</v>
      </c>
      <c r="E1954">
        <v>232</v>
      </c>
      <c r="F1954" t="s">
        <v>4070</v>
      </c>
      <c r="G1954">
        <v>1255</v>
      </c>
      <c r="H1954">
        <v>1</v>
      </c>
      <c r="I1954" t="s">
        <v>90</v>
      </c>
      <c r="J1954">
        <v>0</v>
      </c>
      <c r="K1954">
        <v>1</v>
      </c>
      <c r="L1954">
        <v>5</v>
      </c>
      <c r="M1954">
        <v>153</v>
      </c>
      <c r="N1954">
        <v>543</v>
      </c>
      <c r="O1954">
        <v>9</v>
      </c>
      <c r="P1954">
        <v>543</v>
      </c>
      <c r="Q1954">
        <v>129</v>
      </c>
      <c r="R1954">
        <v>24</v>
      </c>
      <c r="S1954">
        <v>5</v>
      </c>
      <c r="T1954">
        <v>4</v>
      </c>
      <c r="U1954">
        <v>16</v>
      </c>
      <c r="V1954">
        <v>6</v>
      </c>
      <c r="X1954">
        <v>136</v>
      </c>
      <c r="Y1954">
        <v>191</v>
      </c>
      <c r="Z1954">
        <v>2</v>
      </c>
      <c r="AA1954">
        <v>2</v>
      </c>
      <c r="AC1954">
        <v>4</v>
      </c>
      <c r="AD1954">
        <v>0</v>
      </c>
      <c r="AE1954">
        <v>0</v>
      </c>
      <c r="AF1954">
        <v>0</v>
      </c>
      <c r="AG1954">
        <v>1</v>
      </c>
      <c r="AH1954">
        <v>0</v>
      </c>
      <c r="AI1954">
        <v>1</v>
      </c>
      <c r="AJ1954">
        <v>0</v>
      </c>
      <c r="AK1954">
        <v>2</v>
      </c>
      <c r="AL1954">
        <v>0</v>
      </c>
      <c r="AM1954">
        <v>0</v>
      </c>
      <c r="AN1954">
        <v>2</v>
      </c>
      <c r="BC1954">
        <v>0</v>
      </c>
      <c r="BD1954">
        <v>18</v>
      </c>
      <c r="BE1954">
        <v>543</v>
      </c>
      <c r="BF1954">
        <v>543</v>
      </c>
      <c r="BG1954">
        <v>674</v>
      </c>
      <c r="BJ1954">
        <v>1</v>
      </c>
      <c r="BL1954" t="s">
        <v>4075</v>
      </c>
      <c r="BM1954" s="4">
        <v>43283.164675925924</v>
      </c>
      <c r="BN1954" s="4">
        <v>43283.174618055556</v>
      </c>
      <c r="BO1954" s="4">
        <v>43283.174618055556</v>
      </c>
      <c r="BP1954" t="s">
        <v>92</v>
      </c>
      <c r="BQ1954" t="s">
        <v>93</v>
      </c>
      <c r="BR1954" t="s">
        <v>94</v>
      </c>
    </row>
    <row r="1955" spans="1:70" x14ac:dyDescent="0.3">
      <c r="A1955" t="str">
        <f>"201255C0100"</f>
        <v>201255C0100</v>
      </c>
      <c r="B1955" t="s">
        <v>4076</v>
      </c>
      <c r="C1955">
        <v>20</v>
      </c>
      <c r="D1955" t="s">
        <v>88</v>
      </c>
      <c r="E1955">
        <v>232</v>
      </c>
      <c r="F1955" t="s">
        <v>4070</v>
      </c>
      <c r="G1955">
        <v>1255</v>
      </c>
      <c r="H1955">
        <v>1</v>
      </c>
      <c r="I1955" t="s">
        <v>98</v>
      </c>
      <c r="J1955">
        <v>0</v>
      </c>
      <c r="K1955">
        <v>1</v>
      </c>
      <c r="L1955">
        <v>5</v>
      </c>
      <c r="M1955">
        <v>160</v>
      </c>
      <c r="N1955">
        <v>535</v>
      </c>
      <c r="O1955">
        <v>2</v>
      </c>
      <c r="P1955">
        <v>535</v>
      </c>
      <c r="Q1955">
        <v>120</v>
      </c>
      <c r="R1955">
        <v>31</v>
      </c>
      <c r="S1955">
        <v>2</v>
      </c>
      <c r="T1955">
        <v>6</v>
      </c>
      <c r="U1955">
        <v>8</v>
      </c>
      <c r="V1955">
        <v>6</v>
      </c>
      <c r="X1955">
        <v>108</v>
      </c>
      <c r="Y1955">
        <v>209</v>
      </c>
      <c r="Z1955">
        <v>7</v>
      </c>
      <c r="AA1955">
        <v>0</v>
      </c>
      <c r="AC1955">
        <v>3</v>
      </c>
      <c r="AD1955">
        <v>1</v>
      </c>
      <c r="AE1955">
        <v>1</v>
      </c>
      <c r="AF1955">
        <v>1</v>
      </c>
      <c r="AG1955">
        <v>1</v>
      </c>
      <c r="AH1955">
        <v>0</v>
      </c>
      <c r="AI1955">
        <v>1</v>
      </c>
      <c r="AJ1955">
        <v>0</v>
      </c>
      <c r="AK1955">
        <v>5</v>
      </c>
      <c r="AL1955">
        <v>7</v>
      </c>
      <c r="AM1955">
        <v>0</v>
      </c>
      <c r="AN1955">
        <v>1</v>
      </c>
      <c r="BC1955">
        <v>0</v>
      </c>
      <c r="BD1955">
        <v>17</v>
      </c>
      <c r="BE1955">
        <v>535</v>
      </c>
      <c r="BF1955">
        <v>535</v>
      </c>
      <c r="BG1955">
        <v>673</v>
      </c>
      <c r="BJ1955">
        <v>1</v>
      </c>
      <c r="BL1955" t="s">
        <v>4077</v>
      </c>
      <c r="BM1955" s="4">
        <v>43283.161678240744</v>
      </c>
      <c r="BN1955" s="4">
        <v>43283.172731481478</v>
      </c>
      <c r="BO1955" s="4">
        <v>43283.172731481478</v>
      </c>
      <c r="BP1955" t="s">
        <v>92</v>
      </c>
      <c r="BQ1955" t="s">
        <v>93</v>
      </c>
      <c r="BR1955" t="s">
        <v>94</v>
      </c>
    </row>
    <row r="1956" spans="1:70" x14ac:dyDescent="0.3">
      <c r="A1956" t="str">
        <f>"201256B0100"</f>
        <v>201256B0100</v>
      </c>
      <c r="B1956" t="s">
        <v>4078</v>
      </c>
      <c r="C1956">
        <v>20</v>
      </c>
      <c r="D1956" t="s">
        <v>88</v>
      </c>
      <c r="E1956">
        <v>232</v>
      </c>
      <c r="F1956" t="s">
        <v>4070</v>
      </c>
      <c r="G1956">
        <v>1256</v>
      </c>
      <c r="H1956">
        <v>1</v>
      </c>
      <c r="I1956" t="s">
        <v>90</v>
      </c>
      <c r="J1956">
        <v>0</v>
      </c>
      <c r="K1956">
        <v>1</v>
      </c>
      <c r="L1956">
        <v>5</v>
      </c>
      <c r="M1956">
        <v>150</v>
      </c>
      <c r="N1956">
        <v>642</v>
      </c>
      <c r="O1956">
        <v>0</v>
      </c>
      <c r="P1956">
        <v>492</v>
      </c>
      <c r="Q1956">
        <v>122</v>
      </c>
      <c r="R1956">
        <v>18</v>
      </c>
      <c r="S1956">
        <v>8</v>
      </c>
      <c r="T1956">
        <v>3</v>
      </c>
      <c r="U1956">
        <v>7</v>
      </c>
      <c r="V1956">
        <v>0</v>
      </c>
      <c r="X1956">
        <v>75</v>
      </c>
      <c r="Y1956">
        <v>195</v>
      </c>
      <c r="Z1956">
        <v>4</v>
      </c>
      <c r="AA1956">
        <v>14</v>
      </c>
      <c r="AC1956">
        <v>8</v>
      </c>
      <c r="AD1956">
        <v>0</v>
      </c>
      <c r="AE1956">
        <v>0</v>
      </c>
      <c r="AF1956">
        <v>0</v>
      </c>
      <c r="AG1956">
        <v>10</v>
      </c>
      <c r="AH1956">
        <v>0</v>
      </c>
      <c r="AI1956">
        <v>0</v>
      </c>
      <c r="AJ1956">
        <v>0</v>
      </c>
      <c r="AK1956">
        <v>11</v>
      </c>
      <c r="AL1956">
        <v>0</v>
      </c>
      <c r="AM1956">
        <v>0</v>
      </c>
      <c r="AN1956">
        <v>0</v>
      </c>
      <c r="BC1956">
        <v>0</v>
      </c>
      <c r="BD1956">
        <v>15</v>
      </c>
      <c r="BE1956">
        <v>492</v>
      </c>
      <c r="BF1956">
        <v>490</v>
      </c>
      <c r="BG1956">
        <v>620</v>
      </c>
      <c r="BJ1956">
        <v>1</v>
      </c>
      <c r="BL1956" t="s">
        <v>4079</v>
      </c>
      <c r="BM1956" s="4">
        <v>43283.155868055554</v>
      </c>
      <c r="BN1956" s="4">
        <v>43283.165335648147</v>
      </c>
      <c r="BO1956" s="4">
        <v>43283.165335648147</v>
      </c>
      <c r="BP1956" t="s">
        <v>92</v>
      </c>
      <c r="BQ1956" t="s">
        <v>93</v>
      </c>
      <c r="BR1956" t="s">
        <v>94</v>
      </c>
    </row>
    <row r="1957" spans="1:70" x14ac:dyDescent="0.3">
      <c r="A1957" t="str">
        <f>"201256C0100"</f>
        <v>201256C0100</v>
      </c>
      <c r="B1957" t="s">
        <v>4080</v>
      </c>
      <c r="C1957">
        <v>20</v>
      </c>
      <c r="D1957" t="s">
        <v>88</v>
      </c>
      <c r="E1957">
        <v>232</v>
      </c>
      <c r="F1957" t="s">
        <v>4070</v>
      </c>
      <c r="G1957">
        <v>1256</v>
      </c>
      <c r="H1957">
        <v>1</v>
      </c>
      <c r="I1957" t="s">
        <v>98</v>
      </c>
      <c r="J1957">
        <v>0</v>
      </c>
      <c r="K1957">
        <v>1</v>
      </c>
      <c r="L1957">
        <v>5</v>
      </c>
      <c r="M1957" t="s">
        <v>105</v>
      </c>
      <c r="N1957" t="s">
        <v>105</v>
      </c>
      <c r="O1957" t="s">
        <v>105</v>
      </c>
      <c r="P1957" t="s">
        <v>105</v>
      </c>
      <c r="Q1957">
        <v>134</v>
      </c>
      <c r="R1957">
        <v>27</v>
      </c>
      <c r="S1957">
        <v>9</v>
      </c>
      <c r="T1957">
        <v>3</v>
      </c>
      <c r="U1957">
        <v>5</v>
      </c>
      <c r="V1957">
        <v>5</v>
      </c>
      <c r="X1957">
        <v>39</v>
      </c>
      <c r="Y1957">
        <v>221</v>
      </c>
      <c r="Z1957">
        <v>4</v>
      </c>
      <c r="AA1957">
        <v>8</v>
      </c>
      <c r="AC1957">
        <v>0</v>
      </c>
      <c r="AD1957">
        <v>0</v>
      </c>
      <c r="AE1957">
        <v>1</v>
      </c>
      <c r="AF1957">
        <v>0</v>
      </c>
      <c r="AG1957">
        <v>1</v>
      </c>
      <c r="AH1957">
        <v>0</v>
      </c>
      <c r="AI1957">
        <v>0</v>
      </c>
      <c r="AJ1957">
        <v>0</v>
      </c>
      <c r="AK1957">
        <v>9</v>
      </c>
      <c r="AL1957">
        <v>1</v>
      </c>
      <c r="AM1957">
        <v>0</v>
      </c>
      <c r="AN1957">
        <v>2</v>
      </c>
      <c r="BC1957" t="s">
        <v>105</v>
      </c>
      <c r="BD1957">
        <v>17</v>
      </c>
      <c r="BE1957">
        <v>486</v>
      </c>
      <c r="BF1957">
        <v>486</v>
      </c>
      <c r="BG1957">
        <v>620</v>
      </c>
      <c r="BI1957" t="s">
        <v>106</v>
      </c>
      <c r="BJ1957">
        <v>1</v>
      </c>
      <c r="BL1957" t="s">
        <v>4081</v>
      </c>
      <c r="BM1957" s="4">
        <v>43283.154780092591</v>
      </c>
      <c r="BN1957" s="4">
        <v>43283.163912037038</v>
      </c>
      <c r="BO1957" s="4">
        <v>43283.163912037038</v>
      </c>
      <c r="BP1957" t="s">
        <v>92</v>
      </c>
      <c r="BQ1957" t="s">
        <v>93</v>
      </c>
      <c r="BR1957" t="s">
        <v>94</v>
      </c>
    </row>
    <row r="1958" spans="1:70" x14ac:dyDescent="0.3">
      <c r="A1958" t="str">
        <f>"201257B0100"</f>
        <v>201257B0100</v>
      </c>
      <c r="B1958" t="s">
        <v>4082</v>
      </c>
      <c r="C1958">
        <v>20</v>
      </c>
      <c r="D1958" t="s">
        <v>88</v>
      </c>
      <c r="E1958">
        <v>232</v>
      </c>
      <c r="F1958" t="s">
        <v>4070</v>
      </c>
      <c r="G1958">
        <v>1257</v>
      </c>
      <c r="H1958">
        <v>1</v>
      </c>
      <c r="I1958" t="s">
        <v>90</v>
      </c>
      <c r="J1958">
        <v>0</v>
      </c>
      <c r="K1958">
        <v>2</v>
      </c>
      <c r="L1958">
        <v>5</v>
      </c>
      <c r="M1958">
        <v>119</v>
      </c>
      <c r="N1958">
        <v>426</v>
      </c>
      <c r="O1958">
        <v>7</v>
      </c>
      <c r="P1958">
        <v>426</v>
      </c>
      <c r="Q1958">
        <v>99</v>
      </c>
      <c r="R1958">
        <v>26</v>
      </c>
      <c r="S1958">
        <v>5</v>
      </c>
      <c r="T1958">
        <v>1</v>
      </c>
      <c r="U1958">
        <v>12</v>
      </c>
      <c r="V1958">
        <v>8</v>
      </c>
      <c r="X1958">
        <v>39</v>
      </c>
      <c r="Y1958">
        <v>195</v>
      </c>
      <c r="Z1958">
        <v>7</v>
      </c>
      <c r="AA1958">
        <v>3</v>
      </c>
      <c r="AC1958">
        <v>4</v>
      </c>
      <c r="AD1958" t="s">
        <v>105</v>
      </c>
      <c r="AE1958" t="s">
        <v>105</v>
      </c>
      <c r="AF1958" t="s">
        <v>105</v>
      </c>
      <c r="AG1958">
        <v>4</v>
      </c>
      <c r="AH1958" t="s">
        <v>105</v>
      </c>
      <c r="AI1958" t="s">
        <v>105</v>
      </c>
      <c r="AJ1958" t="s">
        <v>105</v>
      </c>
      <c r="AK1958">
        <v>9</v>
      </c>
      <c r="AL1958">
        <v>1</v>
      </c>
      <c r="AM1958" t="s">
        <v>105</v>
      </c>
      <c r="AN1958">
        <v>1</v>
      </c>
      <c r="BC1958" t="s">
        <v>105</v>
      </c>
      <c r="BD1958">
        <v>14</v>
      </c>
      <c r="BE1958">
        <v>426</v>
      </c>
      <c r="BF1958">
        <v>428</v>
      </c>
      <c r="BG1958">
        <v>523</v>
      </c>
      <c r="BI1958" t="s">
        <v>106</v>
      </c>
      <c r="BJ1958">
        <v>1</v>
      </c>
      <c r="BL1958" t="s">
        <v>4083</v>
      </c>
      <c r="BM1958" s="4">
        <v>43283.19326388889</v>
      </c>
      <c r="BN1958" s="4">
        <v>43283.208981481483</v>
      </c>
      <c r="BO1958" s="4">
        <v>43283.208981481483</v>
      </c>
      <c r="BP1958" t="s">
        <v>92</v>
      </c>
      <c r="BQ1958" t="s">
        <v>93</v>
      </c>
      <c r="BR1958" t="s">
        <v>94</v>
      </c>
    </row>
    <row r="1959" spans="1:70" x14ac:dyDescent="0.3">
      <c r="A1959" t="str">
        <f>"201257C0100"</f>
        <v>201257C0100</v>
      </c>
      <c r="B1959" t="s">
        <v>4084</v>
      </c>
      <c r="C1959">
        <v>20</v>
      </c>
      <c r="D1959" t="s">
        <v>88</v>
      </c>
      <c r="E1959">
        <v>232</v>
      </c>
      <c r="F1959" t="s">
        <v>4070</v>
      </c>
      <c r="G1959">
        <v>1257</v>
      </c>
      <c r="H1959">
        <v>1</v>
      </c>
      <c r="I1959" t="s">
        <v>98</v>
      </c>
      <c r="J1959">
        <v>0</v>
      </c>
      <c r="K1959">
        <v>2</v>
      </c>
      <c r="L1959">
        <v>5</v>
      </c>
      <c r="M1959">
        <v>139</v>
      </c>
      <c r="N1959">
        <v>406</v>
      </c>
      <c r="O1959">
        <v>5</v>
      </c>
      <c r="P1959">
        <v>406</v>
      </c>
      <c r="Q1959">
        <v>99</v>
      </c>
      <c r="R1959">
        <v>17</v>
      </c>
      <c r="S1959">
        <v>5</v>
      </c>
      <c r="T1959">
        <v>4</v>
      </c>
      <c r="U1959">
        <v>9</v>
      </c>
      <c r="V1959">
        <v>3</v>
      </c>
      <c r="X1959">
        <v>51</v>
      </c>
      <c r="Y1959">
        <v>183</v>
      </c>
      <c r="Z1959">
        <v>4</v>
      </c>
      <c r="AA1959">
        <v>4</v>
      </c>
      <c r="AC1959">
        <v>6</v>
      </c>
      <c r="AD1959">
        <v>1</v>
      </c>
      <c r="AE1959">
        <v>0</v>
      </c>
      <c r="AF1959">
        <v>0</v>
      </c>
      <c r="AG1959">
        <v>3</v>
      </c>
      <c r="AH1959">
        <v>1</v>
      </c>
      <c r="AI1959">
        <v>0</v>
      </c>
      <c r="AJ1959">
        <v>0</v>
      </c>
      <c r="AK1959">
        <v>7</v>
      </c>
      <c r="AL1959">
        <v>1</v>
      </c>
      <c r="AM1959">
        <v>0</v>
      </c>
      <c r="AN1959">
        <v>0</v>
      </c>
      <c r="BC1959">
        <v>0</v>
      </c>
      <c r="BD1959">
        <v>8</v>
      </c>
      <c r="BE1959">
        <v>406</v>
      </c>
      <c r="BF1959">
        <v>406</v>
      </c>
      <c r="BG1959">
        <v>523</v>
      </c>
      <c r="BJ1959">
        <v>1</v>
      </c>
      <c r="BL1959" t="s">
        <v>4085</v>
      </c>
      <c r="BM1959" s="4">
        <v>43283.202164351853</v>
      </c>
      <c r="BN1959" s="4">
        <v>43283.217037037037</v>
      </c>
      <c r="BO1959" s="4">
        <v>43283.217037037037</v>
      </c>
      <c r="BP1959" t="s">
        <v>92</v>
      </c>
      <c r="BQ1959" t="s">
        <v>93</v>
      </c>
      <c r="BR1959" t="s">
        <v>94</v>
      </c>
    </row>
    <row r="1960" spans="1:70" x14ac:dyDescent="0.3">
      <c r="A1960" t="str">
        <f>"201258B0100"</f>
        <v>201258B0100</v>
      </c>
      <c r="B1960" t="s">
        <v>4086</v>
      </c>
      <c r="C1960">
        <v>20</v>
      </c>
      <c r="D1960" t="s">
        <v>88</v>
      </c>
      <c r="E1960">
        <v>232</v>
      </c>
      <c r="F1960" t="s">
        <v>4070</v>
      </c>
      <c r="G1960">
        <v>1258</v>
      </c>
      <c r="H1960">
        <v>1</v>
      </c>
      <c r="I1960" t="s">
        <v>90</v>
      </c>
      <c r="J1960">
        <v>0</v>
      </c>
      <c r="K1960">
        <v>2</v>
      </c>
      <c r="L1960">
        <v>5</v>
      </c>
      <c r="M1960">
        <v>136</v>
      </c>
      <c r="N1960">
        <v>469</v>
      </c>
      <c r="O1960">
        <v>3</v>
      </c>
      <c r="P1960">
        <v>469</v>
      </c>
      <c r="Q1960">
        <v>193</v>
      </c>
      <c r="R1960">
        <v>21</v>
      </c>
      <c r="S1960">
        <v>1</v>
      </c>
      <c r="T1960">
        <v>29</v>
      </c>
      <c r="U1960">
        <v>18</v>
      </c>
      <c r="V1960">
        <v>3</v>
      </c>
      <c r="X1960">
        <v>84</v>
      </c>
      <c r="Y1960">
        <v>105</v>
      </c>
      <c r="Z1960">
        <v>1</v>
      </c>
      <c r="AA1960">
        <v>3</v>
      </c>
      <c r="AC1960">
        <v>0</v>
      </c>
      <c r="AD1960">
        <v>1</v>
      </c>
      <c r="AE1960">
        <v>0</v>
      </c>
      <c r="AF1960">
        <v>0</v>
      </c>
      <c r="AG1960">
        <v>1</v>
      </c>
      <c r="AH1960">
        <v>0</v>
      </c>
      <c r="AI1960">
        <v>0</v>
      </c>
      <c r="AJ1960">
        <v>0</v>
      </c>
      <c r="AK1960">
        <v>0</v>
      </c>
      <c r="AL1960">
        <v>0</v>
      </c>
      <c r="AM1960">
        <v>0</v>
      </c>
      <c r="AN1960">
        <v>1</v>
      </c>
      <c r="BC1960">
        <v>0</v>
      </c>
      <c r="BD1960">
        <v>8</v>
      </c>
      <c r="BE1960">
        <v>469</v>
      </c>
      <c r="BF1960">
        <v>469</v>
      </c>
      <c r="BG1960">
        <v>583</v>
      </c>
      <c r="BJ1960">
        <v>1</v>
      </c>
      <c r="BL1960" t="s">
        <v>4087</v>
      </c>
      <c r="BM1960" s="4">
        <v>43283.238692129627</v>
      </c>
      <c r="BN1960" s="4">
        <v>43283.260243055556</v>
      </c>
      <c r="BO1960" s="4">
        <v>43283.260243055556</v>
      </c>
      <c r="BP1960" t="s">
        <v>92</v>
      </c>
      <c r="BQ1960" t="s">
        <v>93</v>
      </c>
      <c r="BR1960" t="s">
        <v>94</v>
      </c>
    </row>
    <row r="1961" spans="1:70" x14ac:dyDescent="0.3">
      <c r="A1961" t="str">
        <f>"201258E0100"</f>
        <v>201258E0100</v>
      </c>
      <c r="B1961" s="2" t="s">
        <v>4088</v>
      </c>
      <c r="C1961">
        <v>20</v>
      </c>
      <c r="D1961" t="s">
        <v>88</v>
      </c>
      <c r="E1961">
        <v>232</v>
      </c>
      <c r="F1961" t="s">
        <v>4070</v>
      </c>
      <c r="G1961">
        <v>1258</v>
      </c>
      <c r="H1961">
        <v>1</v>
      </c>
      <c r="I1961" t="s">
        <v>156</v>
      </c>
      <c r="J1961">
        <v>0</v>
      </c>
      <c r="K1961">
        <v>2</v>
      </c>
      <c r="L1961">
        <v>5</v>
      </c>
      <c r="M1961">
        <v>107</v>
      </c>
      <c r="N1961">
        <v>353</v>
      </c>
      <c r="O1961">
        <v>3</v>
      </c>
      <c r="P1961">
        <v>353</v>
      </c>
      <c r="Q1961">
        <v>60</v>
      </c>
      <c r="R1961">
        <v>25</v>
      </c>
      <c r="S1961">
        <v>1</v>
      </c>
      <c r="T1961">
        <v>8</v>
      </c>
      <c r="U1961">
        <v>17</v>
      </c>
      <c r="V1961">
        <v>1</v>
      </c>
      <c r="X1961">
        <v>95</v>
      </c>
      <c r="Y1961">
        <v>128</v>
      </c>
      <c r="Z1961">
        <v>6</v>
      </c>
      <c r="AA1961">
        <v>1</v>
      </c>
      <c r="AC1961">
        <v>0</v>
      </c>
      <c r="AD1961">
        <v>0</v>
      </c>
      <c r="AE1961">
        <v>0</v>
      </c>
      <c r="AF1961">
        <v>0</v>
      </c>
      <c r="AG1961">
        <v>3</v>
      </c>
      <c r="AH1961">
        <v>0</v>
      </c>
      <c r="AI1961">
        <v>1</v>
      </c>
      <c r="AJ1961">
        <v>0</v>
      </c>
      <c r="AK1961">
        <v>1</v>
      </c>
      <c r="AL1961">
        <v>0</v>
      </c>
      <c r="AM1961">
        <v>0</v>
      </c>
      <c r="AN1961">
        <v>0</v>
      </c>
      <c r="BC1961">
        <v>0</v>
      </c>
      <c r="BD1961">
        <v>6</v>
      </c>
      <c r="BE1961" t="s">
        <v>105</v>
      </c>
      <c r="BF1961">
        <v>353</v>
      </c>
      <c r="BG1961">
        <v>438</v>
      </c>
      <c r="BJ1961">
        <v>1</v>
      </c>
      <c r="BL1961" t="s">
        <v>4089</v>
      </c>
      <c r="BM1961" s="4">
        <v>43283.197928240741</v>
      </c>
      <c r="BN1961" s="4">
        <v>43283.213807870372</v>
      </c>
      <c r="BO1961" s="4">
        <v>43283.213807870372</v>
      </c>
      <c r="BP1961" t="s">
        <v>92</v>
      </c>
      <c r="BQ1961" t="s">
        <v>93</v>
      </c>
      <c r="BR1961" t="s">
        <v>94</v>
      </c>
    </row>
    <row r="1962" spans="1:70" x14ac:dyDescent="0.3">
      <c r="A1962" t="str">
        <f>"201258E0200"</f>
        <v>201258E0200</v>
      </c>
      <c r="B1962" s="2" t="s">
        <v>4090</v>
      </c>
      <c r="C1962">
        <v>20</v>
      </c>
      <c r="D1962" t="s">
        <v>88</v>
      </c>
      <c r="E1962">
        <v>232</v>
      </c>
      <c r="F1962" t="s">
        <v>4070</v>
      </c>
      <c r="G1962">
        <v>1258</v>
      </c>
      <c r="H1962">
        <v>2</v>
      </c>
      <c r="I1962" t="s">
        <v>156</v>
      </c>
      <c r="J1962">
        <v>0</v>
      </c>
      <c r="K1962">
        <v>2</v>
      </c>
      <c r="L1962">
        <v>5</v>
      </c>
      <c r="BG1962">
        <v>383</v>
      </c>
      <c r="BI1962" t="s">
        <v>407</v>
      </c>
      <c r="BJ1962">
        <v>0</v>
      </c>
      <c r="BL1962" t="s">
        <v>4091</v>
      </c>
      <c r="BM1962" s="4">
        <v>43283.354513888888</v>
      </c>
      <c r="BN1962" s="4">
        <v>43283.37903935185</v>
      </c>
      <c r="BO1962" s="4">
        <v>43283.37903935185</v>
      </c>
      <c r="BP1962" t="s">
        <v>92</v>
      </c>
      <c r="BQ1962" t="s">
        <v>93</v>
      </c>
      <c r="BR1962" t="s">
        <v>94</v>
      </c>
    </row>
    <row r="1963" spans="1:70" x14ac:dyDescent="0.3">
      <c r="A1963" t="str">
        <f>"201259B0100"</f>
        <v>201259B0100</v>
      </c>
      <c r="B1963" t="s">
        <v>4092</v>
      </c>
      <c r="C1963">
        <v>20</v>
      </c>
      <c r="D1963" t="s">
        <v>88</v>
      </c>
      <c r="E1963">
        <v>232</v>
      </c>
      <c r="F1963" t="s">
        <v>4070</v>
      </c>
      <c r="G1963">
        <v>1259</v>
      </c>
      <c r="H1963">
        <v>1</v>
      </c>
      <c r="I1963" t="s">
        <v>90</v>
      </c>
      <c r="J1963">
        <v>0</v>
      </c>
      <c r="K1963">
        <v>2</v>
      </c>
      <c r="L1963">
        <v>5</v>
      </c>
      <c r="M1963">
        <v>77</v>
      </c>
      <c r="N1963" t="s">
        <v>105</v>
      </c>
      <c r="O1963">
        <v>406</v>
      </c>
      <c r="P1963">
        <v>406</v>
      </c>
      <c r="Q1963">
        <v>59</v>
      </c>
      <c r="R1963">
        <v>31</v>
      </c>
      <c r="S1963">
        <v>1</v>
      </c>
      <c r="T1963">
        <v>3</v>
      </c>
      <c r="U1963">
        <v>7</v>
      </c>
      <c r="V1963">
        <v>1</v>
      </c>
      <c r="X1963">
        <v>105</v>
      </c>
      <c r="Y1963">
        <v>189</v>
      </c>
      <c r="Z1963">
        <v>3</v>
      </c>
      <c r="AA1963">
        <v>1</v>
      </c>
      <c r="AC1963">
        <v>1</v>
      </c>
      <c r="AD1963">
        <v>0</v>
      </c>
      <c r="AE1963">
        <v>0</v>
      </c>
      <c r="AF1963">
        <v>0</v>
      </c>
      <c r="AG1963">
        <v>0</v>
      </c>
      <c r="AH1963">
        <v>1</v>
      </c>
      <c r="AI1963">
        <v>0</v>
      </c>
      <c r="AJ1963">
        <v>0</v>
      </c>
      <c r="AK1963">
        <v>1</v>
      </c>
      <c r="AL1963">
        <v>1</v>
      </c>
      <c r="AM1963">
        <v>0</v>
      </c>
      <c r="AN1963">
        <v>0</v>
      </c>
      <c r="BC1963">
        <v>0</v>
      </c>
      <c r="BD1963">
        <v>1</v>
      </c>
      <c r="BE1963">
        <v>406</v>
      </c>
      <c r="BF1963">
        <v>405</v>
      </c>
      <c r="BG1963">
        <v>461</v>
      </c>
      <c r="BJ1963">
        <v>1</v>
      </c>
      <c r="BL1963" t="s">
        <v>4093</v>
      </c>
      <c r="BM1963" s="4">
        <v>43283.356296296297</v>
      </c>
      <c r="BN1963" s="4">
        <v>43283.388171296298</v>
      </c>
      <c r="BO1963" s="4">
        <v>43283.388171296298</v>
      </c>
      <c r="BP1963" t="s">
        <v>92</v>
      </c>
      <c r="BQ1963" t="s">
        <v>93</v>
      </c>
      <c r="BR1963" t="s">
        <v>94</v>
      </c>
    </row>
    <row r="1964" spans="1:70" x14ac:dyDescent="0.3">
      <c r="A1964" t="str">
        <f>"201259E0100"</f>
        <v>201259E0100</v>
      </c>
      <c r="B1964" s="2" t="s">
        <v>4094</v>
      </c>
      <c r="C1964">
        <v>20</v>
      </c>
      <c r="D1964" t="s">
        <v>88</v>
      </c>
      <c r="E1964">
        <v>232</v>
      </c>
      <c r="F1964" t="s">
        <v>4070</v>
      </c>
      <c r="G1964">
        <v>1259</v>
      </c>
      <c r="H1964">
        <v>1</v>
      </c>
      <c r="I1964" t="s">
        <v>156</v>
      </c>
      <c r="J1964">
        <v>0</v>
      </c>
      <c r="K1964">
        <v>2</v>
      </c>
      <c r="L1964">
        <v>5</v>
      </c>
      <c r="M1964">
        <v>91</v>
      </c>
      <c r="N1964">
        <v>517</v>
      </c>
      <c r="O1964">
        <v>4</v>
      </c>
      <c r="P1964">
        <v>517</v>
      </c>
      <c r="Q1964">
        <v>207</v>
      </c>
      <c r="R1964">
        <v>13</v>
      </c>
      <c r="S1964">
        <v>5</v>
      </c>
      <c r="T1964">
        <v>1</v>
      </c>
      <c r="U1964">
        <v>2</v>
      </c>
      <c r="V1964">
        <v>3</v>
      </c>
      <c r="X1964">
        <v>127</v>
      </c>
      <c r="Y1964">
        <v>136</v>
      </c>
      <c r="Z1964">
        <v>1</v>
      </c>
      <c r="AA1964">
        <v>1</v>
      </c>
      <c r="AC1964">
        <v>2</v>
      </c>
      <c r="AD1964">
        <v>0</v>
      </c>
      <c r="AE1964">
        <v>0</v>
      </c>
      <c r="AF1964">
        <v>0</v>
      </c>
      <c r="AG1964">
        <v>3</v>
      </c>
      <c r="AH1964">
        <v>0</v>
      </c>
      <c r="AI1964">
        <v>2</v>
      </c>
      <c r="AJ1964">
        <v>0</v>
      </c>
      <c r="AK1964">
        <v>1</v>
      </c>
      <c r="AL1964">
        <v>0</v>
      </c>
      <c r="AM1964">
        <v>0</v>
      </c>
      <c r="AN1964">
        <v>0</v>
      </c>
      <c r="BC1964">
        <v>0</v>
      </c>
      <c r="BD1964">
        <v>13</v>
      </c>
      <c r="BE1964">
        <v>517</v>
      </c>
      <c r="BF1964">
        <v>517</v>
      </c>
      <c r="BG1964">
        <v>586</v>
      </c>
      <c r="BJ1964">
        <v>1</v>
      </c>
      <c r="BL1964" t="s">
        <v>4095</v>
      </c>
      <c r="BM1964" s="4">
        <v>43283.083958333336</v>
      </c>
      <c r="BN1964" s="4">
        <v>43283.088252314818</v>
      </c>
      <c r="BO1964" s="4">
        <v>43283.088252314818</v>
      </c>
      <c r="BP1964" t="s">
        <v>92</v>
      </c>
      <c r="BQ1964" t="s">
        <v>93</v>
      </c>
      <c r="BR1964" t="s">
        <v>94</v>
      </c>
    </row>
    <row r="1965" spans="1:70" x14ac:dyDescent="0.3">
      <c r="A1965" t="str">
        <f>"201259E0200"</f>
        <v>201259E0200</v>
      </c>
      <c r="B1965" s="2" t="s">
        <v>4096</v>
      </c>
      <c r="C1965">
        <v>20</v>
      </c>
      <c r="D1965" t="s">
        <v>88</v>
      </c>
      <c r="E1965">
        <v>232</v>
      </c>
      <c r="F1965" t="s">
        <v>4070</v>
      </c>
      <c r="G1965">
        <v>1259</v>
      </c>
      <c r="H1965">
        <v>2</v>
      </c>
      <c r="I1965" t="s">
        <v>156</v>
      </c>
      <c r="J1965">
        <v>0</v>
      </c>
      <c r="K1965">
        <v>2</v>
      </c>
      <c r="L1965">
        <v>5</v>
      </c>
      <c r="M1965" t="s">
        <v>105</v>
      </c>
      <c r="N1965">
        <v>407</v>
      </c>
      <c r="O1965">
        <v>2</v>
      </c>
      <c r="P1965">
        <v>407</v>
      </c>
      <c r="Q1965">
        <v>80</v>
      </c>
      <c r="R1965">
        <v>46</v>
      </c>
      <c r="S1965">
        <v>7</v>
      </c>
      <c r="T1965">
        <v>2</v>
      </c>
      <c r="U1965" t="s">
        <v>127</v>
      </c>
      <c r="V1965">
        <v>1</v>
      </c>
      <c r="X1965">
        <v>75</v>
      </c>
      <c r="Y1965">
        <v>184</v>
      </c>
      <c r="Z1965">
        <v>1</v>
      </c>
      <c r="AA1965">
        <v>0</v>
      </c>
      <c r="AC1965">
        <v>0</v>
      </c>
      <c r="AD1965">
        <v>0</v>
      </c>
      <c r="AE1965">
        <v>0</v>
      </c>
      <c r="AF1965">
        <v>0</v>
      </c>
      <c r="AG1965">
        <v>3</v>
      </c>
      <c r="AH1965">
        <v>1</v>
      </c>
      <c r="AI1965">
        <v>1</v>
      </c>
      <c r="AJ1965">
        <v>0</v>
      </c>
      <c r="AK1965">
        <v>1</v>
      </c>
      <c r="AL1965">
        <v>0</v>
      </c>
      <c r="AM1965">
        <v>0</v>
      </c>
      <c r="AN1965">
        <v>0</v>
      </c>
      <c r="BC1965">
        <v>0</v>
      </c>
      <c r="BD1965">
        <v>5</v>
      </c>
      <c r="BE1965">
        <v>407</v>
      </c>
      <c r="BF1965">
        <v>407</v>
      </c>
      <c r="BG1965">
        <v>468</v>
      </c>
      <c r="BI1965" t="s">
        <v>106</v>
      </c>
      <c r="BJ1965">
        <v>1</v>
      </c>
      <c r="BL1965" t="s">
        <v>4097</v>
      </c>
      <c r="BM1965" s="4">
        <v>43283.360879629632</v>
      </c>
      <c r="BN1965" s="4">
        <v>43283.390474537038</v>
      </c>
      <c r="BO1965" s="4">
        <v>43283.390474537038</v>
      </c>
      <c r="BP1965" t="s">
        <v>92</v>
      </c>
      <c r="BQ1965" t="s">
        <v>93</v>
      </c>
      <c r="BR1965" t="s">
        <v>94</v>
      </c>
    </row>
    <row r="1966" spans="1:70" x14ac:dyDescent="0.3">
      <c r="A1966" t="str">
        <f>"201259E0300"</f>
        <v>201259E0300</v>
      </c>
      <c r="B1966" s="2" t="s">
        <v>4098</v>
      </c>
      <c r="C1966">
        <v>20</v>
      </c>
      <c r="D1966" t="s">
        <v>88</v>
      </c>
      <c r="E1966">
        <v>232</v>
      </c>
      <c r="F1966" t="s">
        <v>4070</v>
      </c>
      <c r="G1966">
        <v>1259</v>
      </c>
      <c r="H1966">
        <v>3</v>
      </c>
      <c r="I1966" t="s">
        <v>156</v>
      </c>
      <c r="J1966">
        <v>0</v>
      </c>
      <c r="K1966">
        <v>2</v>
      </c>
      <c r="L1966">
        <v>5</v>
      </c>
      <c r="BG1966">
        <v>700</v>
      </c>
      <c r="BI1966" t="s">
        <v>122</v>
      </c>
      <c r="BJ1966">
        <v>0</v>
      </c>
      <c r="BL1966" t="s">
        <v>4099</v>
      </c>
      <c r="BM1966" s="4">
        <v>43283.404282407406</v>
      </c>
      <c r="BN1966" s="4">
        <v>43283.41375</v>
      </c>
      <c r="BO1966" s="4">
        <v>43283.41375</v>
      </c>
      <c r="BP1966" t="s">
        <v>92</v>
      </c>
      <c r="BQ1966" t="s">
        <v>93</v>
      </c>
      <c r="BR1966" t="s">
        <v>94</v>
      </c>
    </row>
    <row r="1967" spans="1:70" x14ac:dyDescent="0.3">
      <c r="A1967" t="str">
        <f>"201260B0100"</f>
        <v>201260B0100</v>
      </c>
      <c r="B1967" t="s">
        <v>4100</v>
      </c>
      <c r="C1967">
        <v>20</v>
      </c>
      <c r="D1967" t="s">
        <v>88</v>
      </c>
      <c r="E1967">
        <v>232</v>
      </c>
      <c r="F1967" t="s">
        <v>4070</v>
      </c>
      <c r="G1967">
        <v>1260</v>
      </c>
      <c r="H1967">
        <v>1</v>
      </c>
      <c r="I1967" t="s">
        <v>90</v>
      </c>
      <c r="J1967">
        <v>0</v>
      </c>
      <c r="K1967">
        <v>2</v>
      </c>
      <c r="L1967">
        <v>5</v>
      </c>
      <c r="M1967">
        <v>101</v>
      </c>
      <c r="N1967">
        <v>562</v>
      </c>
      <c r="O1967">
        <v>0</v>
      </c>
      <c r="P1967">
        <v>562</v>
      </c>
      <c r="Q1967">
        <v>71</v>
      </c>
      <c r="R1967">
        <v>17</v>
      </c>
      <c r="S1967">
        <v>11</v>
      </c>
      <c r="T1967">
        <v>11</v>
      </c>
      <c r="U1967">
        <v>4</v>
      </c>
      <c r="V1967">
        <v>24</v>
      </c>
      <c r="X1967">
        <v>249</v>
      </c>
      <c r="Y1967">
        <v>163</v>
      </c>
      <c r="Z1967">
        <v>0</v>
      </c>
      <c r="AA1967">
        <v>1</v>
      </c>
      <c r="AC1967">
        <v>0</v>
      </c>
      <c r="AD1967">
        <v>0</v>
      </c>
      <c r="AE1967">
        <v>0</v>
      </c>
      <c r="AF1967">
        <v>0</v>
      </c>
      <c r="AG1967">
        <v>0</v>
      </c>
      <c r="AH1967">
        <v>0</v>
      </c>
      <c r="AI1967">
        <v>1</v>
      </c>
      <c r="AJ1967">
        <v>0</v>
      </c>
      <c r="AK1967">
        <v>0</v>
      </c>
      <c r="AL1967">
        <v>0</v>
      </c>
      <c r="AM1967">
        <v>0</v>
      </c>
      <c r="AN1967">
        <v>0</v>
      </c>
      <c r="BC1967">
        <v>0</v>
      </c>
      <c r="BD1967">
        <v>10</v>
      </c>
      <c r="BE1967">
        <v>562</v>
      </c>
      <c r="BF1967">
        <v>562</v>
      </c>
      <c r="BG1967">
        <v>642</v>
      </c>
      <c r="BJ1967">
        <v>1</v>
      </c>
      <c r="BL1967" t="s">
        <v>4101</v>
      </c>
      <c r="BM1967" s="4">
        <v>43283.389953703707</v>
      </c>
      <c r="BN1967" s="4">
        <v>43283.393564814818</v>
      </c>
      <c r="BO1967" s="4">
        <v>43283.393564814818</v>
      </c>
      <c r="BP1967" t="s">
        <v>92</v>
      </c>
      <c r="BQ1967" t="s">
        <v>93</v>
      </c>
      <c r="BR1967" t="s">
        <v>94</v>
      </c>
    </row>
    <row r="1968" spans="1:70" x14ac:dyDescent="0.3">
      <c r="A1968" t="str">
        <f>"201260C0100"</f>
        <v>201260C0100</v>
      </c>
      <c r="B1968" t="s">
        <v>4102</v>
      </c>
      <c r="C1968">
        <v>20</v>
      </c>
      <c r="D1968" t="s">
        <v>88</v>
      </c>
      <c r="E1968">
        <v>232</v>
      </c>
      <c r="F1968" t="s">
        <v>4070</v>
      </c>
      <c r="G1968">
        <v>1260</v>
      </c>
      <c r="H1968">
        <v>1</v>
      </c>
      <c r="I1968" t="s">
        <v>98</v>
      </c>
      <c r="J1968">
        <v>0</v>
      </c>
      <c r="K1968">
        <v>2</v>
      </c>
      <c r="L1968">
        <v>5</v>
      </c>
      <c r="M1968">
        <v>81</v>
      </c>
      <c r="N1968">
        <v>582</v>
      </c>
      <c r="O1968">
        <v>1</v>
      </c>
      <c r="P1968">
        <v>582</v>
      </c>
      <c r="Q1968">
        <v>43</v>
      </c>
      <c r="R1968">
        <v>39</v>
      </c>
      <c r="S1968">
        <v>11</v>
      </c>
      <c r="T1968">
        <v>8</v>
      </c>
      <c r="U1968">
        <v>4</v>
      </c>
      <c r="V1968">
        <v>19</v>
      </c>
      <c r="X1968">
        <v>270</v>
      </c>
      <c r="Y1968">
        <v>160</v>
      </c>
      <c r="Z1968">
        <v>0</v>
      </c>
      <c r="AA1968">
        <v>1</v>
      </c>
      <c r="AC1968">
        <v>0</v>
      </c>
      <c r="AD1968">
        <v>0</v>
      </c>
      <c r="AE1968">
        <v>0</v>
      </c>
      <c r="AF1968">
        <v>0</v>
      </c>
      <c r="AG1968">
        <v>2</v>
      </c>
      <c r="AH1968">
        <v>3</v>
      </c>
      <c r="AI1968">
        <v>3</v>
      </c>
      <c r="AJ1968">
        <v>1</v>
      </c>
      <c r="AK1968">
        <v>1</v>
      </c>
      <c r="AL1968">
        <v>0</v>
      </c>
      <c r="AM1968">
        <v>0</v>
      </c>
      <c r="AN1968">
        <v>0</v>
      </c>
      <c r="BC1968">
        <v>0</v>
      </c>
      <c r="BD1968">
        <v>19</v>
      </c>
      <c r="BE1968">
        <v>582</v>
      </c>
      <c r="BF1968">
        <v>584</v>
      </c>
      <c r="BG1968">
        <v>642</v>
      </c>
      <c r="BJ1968">
        <v>1</v>
      </c>
      <c r="BL1968" t="s">
        <v>4103</v>
      </c>
      <c r="BM1968" s="4">
        <v>43283.389305555553</v>
      </c>
      <c r="BN1968" s="4">
        <v>43283.397418981483</v>
      </c>
      <c r="BO1968" s="4">
        <v>43283.397418981483</v>
      </c>
      <c r="BP1968" t="s">
        <v>92</v>
      </c>
      <c r="BQ1968" t="s">
        <v>93</v>
      </c>
      <c r="BR1968" t="s">
        <v>94</v>
      </c>
    </row>
    <row r="1969" spans="1:70" x14ac:dyDescent="0.3">
      <c r="A1969" t="str">
        <f>"201261B0100"</f>
        <v>201261B0100</v>
      </c>
      <c r="B1969" t="s">
        <v>4104</v>
      </c>
      <c r="C1969">
        <v>20</v>
      </c>
      <c r="D1969" t="s">
        <v>88</v>
      </c>
      <c r="E1969">
        <v>232</v>
      </c>
      <c r="F1969" t="s">
        <v>4070</v>
      </c>
      <c r="G1969">
        <v>1261</v>
      </c>
      <c r="H1969">
        <v>1</v>
      </c>
      <c r="I1969" t="s">
        <v>90</v>
      </c>
      <c r="J1969">
        <v>0</v>
      </c>
      <c r="K1969">
        <v>2</v>
      </c>
      <c r="L1969">
        <v>5</v>
      </c>
      <c r="M1969">
        <v>138</v>
      </c>
      <c r="N1969">
        <v>591</v>
      </c>
      <c r="O1969">
        <v>1</v>
      </c>
      <c r="P1969">
        <v>591</v>
      </c>
      <c r="Q1969">
        <v>170</v>
      </c>
      <c r="R1969">
        <v>63</v>
      </c>
      <c r="S1969">
        <v>1</v>
      </c>
      <c r="T1969">
        <v>0</v>
      </c>
      <c r="U1969">
        <v>7</v>
      </c>
      <c r="V1969">
        <v>6</v>
      </c>
      <c r="X1969">
        <v>138</v>
      </c>
      <c r="Y1969">
        <v>187</v>
      </c>
      <c r="Z1969">
        <v>1</v>
      </c>
      <c r="AA1969">
        <v>0</v>
      </c>
      <c r="AC1969">
        <v>4</v>
      </c>
      <c r="AD1969">
        <v>0</v>
      </c>
      <c r="AE1969">
        <v>1</v>
      </c>
      <c r="AF1969">
        <v>0</v>
      </c>
      <c r="AG1969">
        <v>0</v>
      </c>
      <c r="AH1969">
        <v>1</v>
      </c>
      <c r="AI1969">
        <v>0</v>
      </c>
      <c r="AJ1969">
        <v>0</v>
      </c>
      <c r="AK1969">
        <v>1</v>
      </c>
      <c r="AL1969">
        <v>0</v>
      </c>
      <c r="AM1969">
        <v>0</v>
      </c>
      <c r="AN1969">
        <v>0</v>
      </c>
      <c r="BC1969">
        <v>0</v>
      </c>
      <c r="BD1969">
        <v>11</v>
      </c>
      <c r="BE1969">
        <v>591</v>
      </c>
      <c r="BF1969">
        <v>591</v>
      </c>
      <c r="BG1969">
        <v>707</v>
      </c>
      <c r="BJ1969">
        <v>1</v>
      </c>
      <c r="BL1969" t="s">
        <v>4105</v>
      </c>
      <c r="BM1969" s="4">
        <v>43283.22792824074</v>
      </c>
      <c r="BN1969" s="4">
        <v>43283.248935185184</v>
      </c>
      <c r="BO1969" s="4">
        <v>43283.248935185184</v>
      </c>
      <c r="BP1969" t="s">
        <v>92</v>
      </c>
      <c r="BQ1969" t="s">
        <v>93</v>
      </c>
      <c r="BR1969" t="s">
        <v>94</v>
      </c>
    </row>
    <row r="1970" spans="1:70" x14ac:dyDescent="0.3">
      <c r="A1970" t="str">
        <f>"201261C0100"</f>
        <v>201261C0100</v>
      </c>
      <c r="B1970" t="s">
        <v>4106</v>
      </c>
      <c r="C1970">
        <v>20</v>
      </c>
      <c r="D1970" t="s">
        <v>88</v>
      </c>
      <c r="E1970">
        <v>232</v>
      </c>
      <c r="F1970" t="s">
        <v>4070</v>
      </c>
      <c r="G1970">
        <v>1261</v>
      </c>
      <c r="H1970">
        <v>1</v>
      </c>
      <c r="I1970" t="s">
        <v>98</v>
      </c>
      <c r="J1970">
        <v>0</v>
      </c>
      <c r="K1970">
        <v>2</v>
      </c>
      <c r="L1970">
        <v>5</v>
      </c>
      <c r="M1970">
        <v>170</v>
      </c>
      <c r="N1970">
        <v>559</v>
      </c>
      <c r="O1970">
        <v>3</v>
      </c>
      <c r="P1970">
        <v>559</v>
      </c>
      <c r="Q1970">
        <v>175</v>
      </c>
      <c r="R1970">
        <v>36</v>
      </c>
      <c r="S1970">
        <v>3</v>
      </c>
      <c r="T1970">
        <v>4</v>
      </c>
      <c r="U1970">
        <v>7</v>
      </c>
      <c r="V1970">
        <v>5</v>
      </c>
      <c r="X1970">
        <v>149</v>
      </c>
      <c r="Y1970">
        <v>159</v>
      </c>
      <c r="Z1970">
        <v>4</v>
      </c>
      <c r="AA1970">
        <v>1</v>
      </c>
      <c r="AC1970">
        <v>0</v>
      </c>
      <c r="AD1970">
        <v>0</v>
      </c>
      <c r="AE1970">
        <v>1</v>
      </c>
      <c r="AF1970">
        <v>0</v>
      </c>
      <c r="AG1970">
        <v>1</v>
      </c>
      <c r="AH1970">
        <v>0</v>
      </c>
      <c r="AI1970">
        <v>1</v>
      </c>
      <c r="AJ1970">
        <v>0</v>
      </c>
      <c r="AK1970">
        <v>0</v>
      </c>
      <c r="AL1970">
        <v>0</v>
      </c>
      <c r="AM1970">
        <v>0</v>
      </c>
      <c r="AN1970">
        <v>1</v>
      </c>
      <c r="BC1970">
        <v>0</v>
      </c>
      <c r="BD1970">
        <v>12</v>
      </c>
      <c r="BE1970">
        <v>559</v>
      </c>
      <c r="BF1970">
        <v>559</v>
      </c>
      <c r="BG1970">
        <v>707</v>
      </c>
      <c r="BJ1970">
        <v>1</v>
      </c>
      <c r="BL1970" t="s">
        <v>4107</v>
      </c>
      <c r="BM1970" s="4">
        <v>43283.235833333332</v>
      </c>
      <c r="BN1970" s="4">
        <v>43283.259247685186</v>
      </c>
      <c r="BO1970" s="4">
        <v>43283.259247685186</v>
      </c>
      <c r="BP1970" t="s">
        <v>92</v>
      </c>
      <c r="BQ1970" t="s">
        <v>93</v>
      </c>
      <c r="BR1970" t="s">
        <v>94</v>
      </c>
    </row>
    <row r="1971" spans="1:70" x14ac:dyDescent="0.3">
      <c r="A1971" t="str">
        <f>"201262B0100"</f>
        <v>201262B0100</v>
      </c>
      <c r="B1971" t="s">
        <v>4108</v>
      </c>
      <c r="C1971">
        <v>20</v>
      </c>
      <c r="D1971" t="s">
        <v>88</v>
      </c>
      <c r="E1971">
        <v>232</v>
      </c>
      <c r="F1971" t="s">
        <v>4070</v>
      </c>
      <c r="G1971">
        <v>1262</v>
      </c>
      <c r="H1971">
        <v>1</v>
      </c>
      <c r="I1971" t="s">
        <v>90</v>
      </c>
      <c r="J1971">
        <v>0</v>
      </c>
      <c r="K1971">
        <v>2</v>
      </c>
      <c r="L1971">
        <v>5</v>
      </c>
      <c r="M1971">
        <v>96</v>
      </c>
      <c r="N1971">
        <v>342</v>
      </c>
      <c r="O1971">
        <v>0</v>
      </c>
      <c r="P1971">
        <v>342</v>
      </c>
      <c r="Q1971">
        <v>90</v>
      </c>
      <c r="R1971">
        <v>33</v>
      </c>
      <c r="S1971">
        <v>13</v>
      </c>
      <c r="T1971">
        <v>2</v>
      </c>
      <c r="U1971">
        <v>13</v>
      </c>
      <c r="V1971">
        <v>4</v>
      </c>
      <c r="X1971">
        <v>68</v>
      </c>
      <c r="Y1971">
        <v>94</v>
      </c>
      <c r="Z1971">
        <v>12</v>
      </c>
      <c r="AA1971">
        <v>0</v>
      </c>
      <c r="AC1971">
        <v>0</v>
      </c>
      <c r="AD1971">
        <v>0</v>
      </c>
      <c r="AE1971">
        <v>0</v>
      </c>
      <c r="AF1971">
        <v>0</v>
      </c>
      <c r="AG1971">
        <v>0</v>
      </c>
      <c r="AH1971">
        <v>2</v>
      </c>
      <c r="AI1971">
        <v>0</v>
      </c>
      <c r="AJ1971">
        <v>0</v>
      </c>
      <c r="AK1971">
        <v>0</v>
      </c>
      <c r="AL1971">
        <v>0</v>
      </c>
      <c r="AM1971">
        <v>0</v>
      </c>
      <c r="AN1971">
        <v>0</v>
      </c>
      <c r="BC1971">
        <v>0</v>
      </c>
      <c r="BD1971">
        <v>11</v>
      </c>
      <c r="BE1971">
        <v>342</v>
      </c>
      <c r="BF1971">
        <v>342</v>
      </c>
      <c r="BG1971">
        <v>416</v>
      </c>
      <c r="BJ1971">
        <v>1</v>
      </c>
      <c r="BL1971" t="s">
        <v>4109</v>
      </c>
      <c r="BM1971" s="4">
        <v>43283.237025462964</v>
      </c>
      <c r="BN1971" s="4">
        <v>43283.263692129629</v>
      </c>
      <c r="BO1971" s="4">
        <v>43283.263692129629</v>
      </c>
      <c r="BP1971" t="s">
        <v>92</v>
      </c>
      <c r="BQ1971" t="s">
        <v>93</v>
      </c>
      <c r="BR1971" t="s">
        <v>94</v>
      </c>
    </row>
    <row r="1972" spans="1:70" x14ac:dyDescent="0.3">
      <c r="A1972" t="str">
        <f>"201262C0100"</f>
        <v>201262C0100</v>
      </c>
      <c r="B1972" t="s">
        <v>4110</v>
      </c>
      <c r="C1972">
        <v>20</v>
      </c>
      <c r="D1972" t="s">
        <v>88</v>
      </c>
      <c r="E1972">
        <v>232</v>
      </c>
      <c r="F1972" t="s">
        <v>4070</v>
      </c>
      <c r="G1972">
        <v>1262</v>
      </c>
      <c r="H1972">
        <v>1</v>
      </c>
      <c r="I1972" t="s">
        <v>98</v>
      </c>
      <c r="J1972">
        <v>0</v>
      </c>
      <c r="K1972">
        <v>2</v>
      </c>
      <c r="L1972">
        <v>5</v>
      </c>
      <c r="M1972">
        <v>86</v>
      </c>
      <c r="N1972">
        <v>351</v>
      </c>
      <c r="O1972">
        <v>0</v>
      </c>
      <c r="P1972">
        <v>351</v>
      </c>
      <c r="Q1972">
        <v>73</v>
      </c>
      <c r="R1972">
        <v>32</v>
      </c>
      <c r="S1972">
        <v>18</v>
      </c>
      <c r="T1972">
        <v>3</v>
      </c>
      <c r="U1972">
        <v>4</v>
      </c>
      <c r="V1972">
        <v>3</v>
      </c>
      <c r="X1972">
        <v>103</v>
      </c>
      <c r="Y1972">
        <v>87</v>
      </c>
      <c r="Z1972">
        <v>5</v>
      </c>
      <c r="AA1972">
        <v>1</v>
      </c>
      <c r="AC1972">
        <v>2</v>
      </c>
      <c r="AD1972">
        <v>0</v>
      </c>
      <c r="AE1972">
        <v>1</v>
      </c>
      <c r="AF1972">
        <v>0</v>
      </c>
      <c r="AG1972">
        <v>1</v>
      </c>
      <c r="AH1972">
        <v>0</v>
      </c>
      <c r="AI1972">
        <v>0</v>
      </c>
      <c r="AJ1972">
        <v>1</v>
      </c>
      <c r="AK1972">
        <v>1</v>
      </c>
      <c r="AL1972">
        <v>0</v>
      </c>
      <c r="AM1972">
        <v>1</v>
      </c>
      <c r="AN1972">
        <v>0</v>
      </c>
      <c r="BC1972" t="s">
        <v>105</v>
      </c>
      <c r="BD1972">
        <v>15</v>
      </c>
      <c r="BE1972">
        <v>351</v>
      </c>
      <c r="BF1972">
        <v>351</v>
      </c>
      <c r="BG1972">
        <v>415</v>
      </c>
      <c r="BI1972" t="s">
        <v>106</v>
      </c>
      <c r="BJ1972">
        <v>1</v>
      </c>
      <c r="BL1972" t="s">
        <v>4111</v>
      </c>
      <c r="BM1972" s="4">
        <v>43283.23238425926</v>
      </c>
      <c r="BN1972" s="4">
        <v>43283.254641203705</v>
      </c>
      <c r="BO1972" s="4">
        <v>43283.254641203705</v>
      </c>
      <c r="BP1972" t="s">
        <v>92</v>
      </c>
      <c r="BQ1972" t="s">
        <v>93</v>
      </c>
      <c r="BR1972" t="s">
        <v>94</v>
      </c>
    </row>
    <row r="1973" spans="1:70" x14ac:dyDescent="0.3">
      <c r="A1973" t="str">
        <f>"201263B0100"</f>
        <v>201263B0100</v>
      </c>
      <c r="B1973" t="s">
        <v>4112</v>
      </c>
      <c r="C1973">
        <v>20</v>
      </c>
      <c r="D1973" t="s">
        <v>88</v>
      </c>
      <c r="E1973">
        <v>232</v>
      </c>
      <c r="F1973" t="s">
        <v>4070</v>
      </c>
      <c r="G1973">
        <v>1263</v>
      </c>
      <c r="H1973">
        <v>1</v>
      </c>
      <c r="I1973" t="s">
        <v>90</v>
      </c>
      <c r="J1973">
        <v>0</v>
      </c>
      <c r="K1973">
        <v>2</v>
      </c>
      <c r="L1973">
        <v>5</v>
      </c>
      <c r="M1973">
        <v>133</v>
      </c>
      <c r="N1973">
        <v>514</v>
      </c>
      <c r="O1973">
        <v>0</v>
      </c>
      <c r="P1973">
        <v>514</v>
      </c>
      <c r="Q1973">
        <v>112</v>
      </c>
      <c r="R1973">
        <v>36</v>
      </c>
      <c r="S1973">
        <v>3</v>
      </c>
      <c r="T1973">
        <v>3</v>
      </c>
      <c r="U1973">
        <v>6</v>
      </c>
      <c r="V1973">
        <v>7</v>
      </c>
      <c r="X1973">
        <v>76</v>
      </c>
      <c r="Y1973">
        <v>268</v>
      </c>
      <c r="Z1973">
        <v>0</v>
      </c>
      <c r="AA1973">
        <v>1</v>
      </c>
      <c r="AC1973">
        <v>0</v>
      </c>
      <c r="AD1973">
        <v>0</v>
      </c>
      <c r="AE1973">
        <v>0</v>
      </c>
      <c r="AF1973">
        <v>0</v>
      </c>
      <c r="AG1973">
        <v>0</v>
      </c>
      <c r="AH1973">
        <v>0</v>
      </c>
      <c r="AI1973">
        <v>0</v>
      </c>
      <c r="AJ1973">
        <v>0</v>
      </c>
      <c r="AK1973">
        <v>0</v>
      </c>
      <c r="AL1973">
        <v>0</v>
      </c>
      <c r="AM1973">
        <v>0</v>
      </c>
      <c r="AN1973">
        <v>0</v>
      </c>
      <c r="BC1973">
        <v>0</v>
      </c>
      <c r="BD1973">
        <v>2</v>
      </c>
      <c r="BE1973">
        <v>514</v>
      </c>
      <c r="BF1973">
        <v>514</v>
      </c>
      <c r="BG1973">
        <v>625</v>
      </c>
      <c r="BJ1973">
        <v>1</v>
      </c>
      <c r="BL1973" t="s">
        <v>4113</v>
      </c>
      <c r="BM1973" s="4">
        <v>43283.246817129628</v>
      </c>
      <c r="BN1973" s="4">
        <v>43283.27003472222</v>
      </c>
      <c r="BO1973" s="4">
        <v>43283.27003472222</v>
      </c>
      <c r="BP1973" t="s">
        <v>92</v>
      </c>
      <c r="BQ1973" t="s">
        <v>93</v>
      </c>
      <c r="BR1973" t="s">
        <v>94</v>
      </c>
    </row>
    <row r="1974" spans="1:70" x14ac:dyDescent="0.3">
      <c r="A1974" t="str">
        <f>"201263E0100"</f>
        <v>201263E0100</v>
      </c>
      <c r="B1974" s="2" t="s">
        <v>4114</v>
      </c>
      <c r="C1974">
        <v>20</v>
      </c>
      <c r="D1974" t="s">
        <v>88</v>
      </c>
      <c r="E1974">
        <v>232</v>
      </c>
      <c r="F1974" t="s">
        <v>4070</v>
      </c>
      <c r="G1974">
        <v>1263</v>
      </c>
      <c r="H1974">
        <v>1</v>
      </c>
      <c r="I1974" t="s">
        <v>156</v>
      </c>
      <c r="J1974">
        <v>0</v>
      </c>
      <c r="K1974">
        <v>2</v>
      </c>
      <c r="L1974">
        <v>5</v>
      </c>
      <c r="M1974">
        <v>92</v>
      </c>
      <c r="N1974">
        <v>386</v>
      </c>
      <c r="O1974">
        <v>0</v>
      </c>
      <c r="P1974">
        <v>386</v>
      </c>
      <c r="Q1974">
        <v>34</v>
      </c>
      <c r="R1974">
        <v>22</v>
      </c>
      <c r="S1974">
        <v>23</v>
      </c>
      <c r="T1974">
        <v>5</v>
      </c>
      <c r="U1974">
        <v>4</v>
      </c>
      <c r="V1974">
        <v>4</v>
      </c>
      <c r="X1974">
        <v>85</v>
      </c>
      <c r="Y1974">
        <v>192</v>
      </c>
      <c r="Z1974">
        <v>6</v>
      </c>
      <c r="AA1974">
        <v>0</v>
      </c>
      <c r="AC1974">
        <v>0</v>
      </c>
      <c r="AD1974">
        <v>0</v>
      </c>
      <c r="AE1974">
        <v>0</v>
      </c>
      <c r="AF1974">
        <v>0</v>
      </c>
      <c r="AG1974">
        <v>2</v>
      </c>
      <c r="AH1974">
        <v>0</v>
      </c>
      <c r="AI1974">
        <v>0</v>
      </c>
      <c r="AJ1974">
        <v>0</v>
      </c>
      <c r="AK1974">
        <v>0</v>
      </c>
      <c r="AL1974">
        <v>1</v>
      </c>
      <c r="AM1974">
        <v>0</v>
      </c>
      <c r="AN1974">
        <v>0</v>
      </c>
      <c r="BC1974">
        <v>0</v>
      </c>
      <c r="BD1974">
        <v>8</v>
      </c>
      <c r="BE1974">
        <v>386</v>
      </c>
      <c r="BF1974">
        <v>386</v>
      </c>
      <c r="BG1974">
        <v>456</v>
      </c>
      <c r="BJ1974">
        <v>1</v>
      </c>
      <c r="BL1974" t="s">
        <v>4115</v>
      </c>
      <c r="BM1974" s="4">
        <v>43283.234618055554</v>
      </c>
      <c r="BN1974" s="4">
        <v>43283.261284722219</v>
      </c>
      <c r="BO1974" s="4">
        <v>43283.261284722219</v>
      </c>
      <c r="BP1974" t="s">
        <v>92</v>
      </c>
      <c r="BQ1974" t="s">
        <v>93</v>
      </c>
      <c r="BR1974" t="s">
        <v>94</v>
      </c>
    </row>
    <row r="1975" spans="1:70" x14ac:dyDescent="0.3">
      <c r="A1975" t="str">
        <f>"201263E0200"</f>
        <v>201263E0200</v>
      </c>
      <c r="B1975" s="2" t="s">
        <v>4116</v>
      </c>
      <c r="C1975">
        <v>20</v>
      </c>
      <c r="D1975" t="s">
        <v>88</v>
      </c>
      <c r="E1975">
        <v>232</v>
      </c>
      <c r="F1975" t="s">
        <v>4070</v>
      </c>
      <c r="G1975">
        <v>1263</v>
      </c>
      <c r="H1975">
        <v>2</v>
      </c>
      <c r="I1975" t="s">
        <v>156</v>
      </c>
      <c r="J1975">
        <v>0</v>
      </c>
      <c r="K1975">
        <v>2</v>
      </c>
      <c r="L1975">
        <v>5</v>
      </c>
      <c r="M1975">
        <v>106</v>
      </c>
      <c r="N1975">
        <v>362</v>
      </c>
      <c r="O1975">
        <v>1</v>
      </c>
      <c r="P1975">
        <v>362</v>
      </c>
      <c r="Q1975">
        <v>120</v>
      </c>
      <c r="R1975">
        <v>14</v>
      </c>
      <c r="S1975">
        <v>2</v>
      </c>
      <c r="T1975">
        <v>0</v>
      </c>
      <c r="U1975">
        <v>17</v>
      </c>
      <c r="V1975">
        <v>3</v>
      </c>
      <c r="X1975">
        <v>36</v>
      </c>
      <c r="Y1975">
        <v>155</v>
      </c>
      <c r="Z1975">
        <v>0</v>
      </c>
      <c r="AA1975">
        <v>0</v>
      </c>
      <c r="AC1975">
        <v>0</v>
      </c>
      <c r="AD1975">
        <v>0</v>
      </c>
      <c r="AE1975">
        <v>1</v>
      </c>
      <c r="AF1975">
        <v>0</v>
      </c>
      <c r="AG1975">
        <v>0</v>
      </c>
      <c r="AH1975">
        <v>0</v>
      </c>
      <c r="AI1975">
        <v>0</v>
      </c>
      <c r="AJ1975">
        <v>3</v>
      </c>
      <c r="AK1975">
        <v>2</v>
      </c>
      <c r="AL1975">
        <v>0</v>
      </c>
      <c r="AM1975">
        <v>0</v>
      </c>
      <c r="AN1975">
        <v>0</v>
      </c>
      <c r="BC1975">
        <v>0</v>
      </c>
      <c r="BD1975">
        <v>8</v>
      </c>
      <c r="BE1975">
        <v>362</v>
      </c>
      <c r="BF1975">
        <v>361</v>
      </c>
      <c r="BG1975">
        <v>446</v>
      </c>
      <c r="BJ1975">
        <v>1</v>
      </c>
      <c r="BL1975" t="s">
        <v>4117</v>
      </c>
      <c r="BM1975" s="4">
        <v>43283.242164351854</v>
      </c>
      <c r="BN1975" s="4">
        <v>43283.266539351855</v>
      </c>
      <c r="BO1975" s="4">
        <v>43283.266539351855</v>
      </c>
      <c r="BP1975" t="s">
        <v>92</v>
      </c>
      <c r="BQ1975" t="s">
        <v>93</v>
      </c>
      <c r="BR1975" t="s">
        <v>94</v>
      </c>
    </row>
    <row r="1976" spans="1:70" x14ac:dyDescent="0.3">
      <c r="A1976" t="str">
        <f>"201264B0100"</f>
        <v>201264B0100</v>
      </c>
      <c r="B1976" t="s">
        <v>4118</v>
      </c>
      <c r="C1976">
        <v>20</v>
      </c>
      <c r="D1976" t="s">
        <v>88</v>
      </c>
      <c r="E1976">
        <v>232</v>
      </c>
      <c r="F1976" t="s">
        <v>4070</v>
      </c>
      <c r="G1976">
        <v>1264</v>
      </c>
      <c r="H1976">
        <v>1</v>
      </c>
      <c r="I1976" t="s">
        <v>90</v>
      </c>
      <c r="J1976">
        <v>0</v>
      </c>
      <c r="K1976">
        <v>2</v>
      </c>
      <c r="L1976">
        <v>5</v>
      </c>
      <c r="M1976">
        <v>138</v>
      </c>
      <c r="N1976">
        <v>508</v>
      </c>
      <c r="O1976">
        <v>0</v>
      </c>
      <c r="P1976">
        <v>508</v>
      </c>
      <c r="Q1976">
        <v>67</v>
      </c>
      <c r="R1976">
        <v>41</v>
      </c>
      <c r="S1976">
        <v>10</v>
      </c>
      <c r="T1976">
        <v>3</v>
      </c>
      <c r="U1976">
        <v>42</v>
      </c>
      <c r="V1976">
        <v>13</v>
      </c>
      <c r="X1976">
        <v>27</v>
      </c>
      <c r="Y1976">
        <v>291</v>
      </c>
      <c r="Z1976">
        <v>0</v>
      </c>
      <c r="AA1976">
        <v>0</v>
      </c>
      <c r="AC1976">
        <v>0</v>
      </c>
      <c r="AD1976">
        <v>0</v>
      </c>
      <c r="AE1976">
        <v>0</v>
      </c>
      <c r="AF1976">
        <v>0</v>
      </c>
      <c r="AG1976">
        <v>2</v>
      </c>
      <c r="AH1976">
        <v>9</v>
      </c>
      <c r="AI1976">
        <v>2</v>
      </c>
      <c r="AJ1976">
        <v>0</v>
      </c>
      <c r="AK1976">
        <v>0</v>
      </c>
      <c r="AL1976">
        <v>1</v>
      </c>
      <c r="AM1976">
        <v>0</v>
      </c>
      <c r="AN1976">
        <v>0</v>
      </c>
      <c r="BC1976">
        <v>0</v>
      </c>
      <c r="BD1976">
        <v>0</v>
      </c>
      <c r="BE1976">
        <v>508</v>
      </c>
      <c r="BF1976">
        <v>508</v>
      </c>
      <c r="BG1976">
        <v>624</v>
      </c>
      <c r="BJ1976">
        <v>1</v>
      </c>
      <c r="BL1976" t="s">
        <v>4119</v>
      </c>
      <c r="BM1976" s="4">
        <v>43283.24454861111</v>
      </c>
      <c r="BN1976" s="4">
        <v>43283.266909722224</v>
      </c>
      <c r="BO1976" s="4">
        <v>43283.266909722224</v>
      </c>
      <c r="BP1976" t="s">
        <v>92</v>
      </c>
      <c r="BQ1976" t="s">
        <v>93</v>
      </c>
      <c r="BR1976" t="s">
        <v>94</v>
      </c>
    </row>
    <row r="1977" spans="1:70" x14ac:dyDescent="0.3">
      <c r="A1977" t="str">
        <f>"201264C0100"</f>
        <v>201264C0100</v>
      </c>
      <c r="B1977" t="s">
        <v>4120</v>
      </c>
      <c r="C1977">
        <v>20</v>
      </c>
      <c r="D1977" t="s">
        <v>88</v>
      </c>
      <c r="E1977">
        <v>232</v>
      </c>
      <c r="F1977" t="s">
        <v>4070</v>
      </c>
      <c r="G1977">
        <v>1264</v>
      </c>
      <c r="H1977">
        <v>1</v>
      </c>
      <c r="I1977" t="s">
        <v>98</v>
      </c>
      <c r="J1977">
        <v>0</v>
      </c>
      <c r="K1977">
        <v>2</v>
      </c>
      <c r="L1977">
        <v>5</v>
      </c>
      <c r="M1977">
        <v>121</v>
      </c>
      <c r="N1977">
        <v>523</v>
      </c>
      <c r="O1977">
        <v>1</v>
      </c>
      <c r="P1977">
        <v>523</v>
      </c>
      <c r="Q1977">
        <v>62</v>
      </c>
      <c r="R1977">
        <v>32</v>
      </c>
      <c r="S1977">
        <v>10</v>
      </c>
      <c r="T1977">
        <v>4</v>
      </c>
      <c r="U1977">
        <v>33</v>
      </c>
      <c r="V1977">
        <v>4</v>
      </c>
      <c r="X1977">
        <v>54</v>
      </c>
      <c r="Y1977">
        <v>302</v>
      </c>
      <c r="Z1977">
        <v>2</v>
      </c>
      <c r="AA1977">
        <v>0</v>
      </c>
      <c r="AC1977">
        <v>0</v>
      </c>
      <c r="AD1977">
        <v>0</v>
      </c>
      <c r="AE1977">
        <v>0</v>
      </c>
      <c r="AF1977">
        <v>0</v>
      </c>
      <c r="AG1977">
        <v>1</v>
      </c>
      <c r="AH1977">
        <v>1</v>
      </c>
      <c r="AI1977">
        <v>1</v>
      </c>
      <c r="AJ1977">
        <v>1</v>
      </c>
      <c r="AK1977">
        <v>2</v>
      </c>
      <c r="AL1977">
        <v>1</v>
      </c>
      <c r="AM1977">
        <v>0</v>
      </c>
      <c r="AN1977">
        <v>1</v>
      </c>
      <c r="BC1977">
        <v>0</v>
      </c>
      <c r="BD1977">
        <v>12</v>
      </c>
      <c r="BE1977">
        <v>523</v>
      </c>
      <c r="BF1977">
        <v>523</v>
      </c>
      <c r="BG1977">
        <v>623</v>
      </c>
      <c r="BJ1977">
        <v>1</v>
      </c>
      <c r="BL1977" t="s">
        <v>4121</v>
      </c>
      <c r="BM1977" s="4">
        <v>43283.248333333337</v>
      </c>
      <c r="BN1977" s="4">
        <v>43283.272534722222</v>
      </c>
      <c r="BO1977" s="4">
        <v>43283.272534722222</v>
      </c>
      <c r="BP1977" t="s">
        <v>92</v>
      </c>
      <c r="BQ1977" t="s">
        <v>93</v>
      </c>
      <c r="BR1977" t="s">
        <v>94</v>
      </c>
    </row>
    <row r="1978" spans="1:70" x14ac:dyDescent="0.3">
      <c r="A1978" t="str">
        <f>"201265B0100"</f>
        <v>201265B0100</v>
      </c>
      <c r="B1978" t="s">
        <v>4122</v>
      </c>
      <c r="C1978">
        <v>20</v>
      </c>
      <c r="D1978" t="s">
        <v>88</v>
      </c>
      <c r="E1978">
        <v>232</v>
      </c>
      <c r="F1978" t="s">
        <v>4070</v>
      </c>
      <c r="G1978">
        <v>1265</v>
      </c>
      <c r="H1978">
        <v>1</v>
      </c>
      <c r="I1978" t="s">
        <v>90</v>
      </c>
      <c r="J1978">
        <v>0</v>
      </c>
      <c r="K1978">
        <v>2</v>
      </c>
      <c r="L1978">
        <v>5</v>
      </c>
      <c r="M1978">
        <v>109</v>
      </c>
      <c r="N1978">
        <v>439</v>
      </c>
      <c r="O1978">
        <v>1</v>
      </c>
      <c r="P1978">
        <v>439</v>
      </c>
      <c r="Q1978">
        <v>54</v>
      </c>
      <c r="R1978">
        <v>31</v>
      </c>
      <c r="S1978">
        <v>3</v>
      </c>
      <c r="T1978">
        <v>2</v>
      </c>
      <c r="U1978">
        <v>8</v>
      </c>
      <c r="V1978">
        <v>1</v>
      </c>
      <c r="X1978">
        <v>166</v>
      </c>
      <c r="Y1978">
        <v>147</v>
      </c>
      <c r="Z1978">
        <v>1</v>
      </c>
      <c r="AA1978">
        <v>1</v>
      </c>
      <c r="AC1978">
        <v>0</v>
      </c>
      <c r="AD1978">
        <v>0</v>
      </c>
      <c r="AE1978">
        <v>0</v>
      </c>
      <c r="AF1978">
        <v>0</v>
      </c>
      <c r="AG1978">
        <v>1</v>
      </c>
      <c r="AH1978">
        <v>0</v>
      </c>
      <c r="AI1978">
        <v>0</v>
      </c>
      <c r="AJ1978">
        <v>0</v>
      </c>
      <c r="AK1978">
        <v>2</v>
      </c>
      <c r="AL1978">
        <v>0</v>
      </c>
      <c r="AM1978">
        <v>0</v>
      </c>
      <c r="AN1978">
        <v>0</v>
      </c>
      <c r="BC1978">
        <v>0</v>
      </c>
      <c r="BD1978">
        <v>22</v>
      </c>
      <c r="BE1978">
        <v>439</v>
      </c>
      <c r="BF1978">
        <v>439</v>
      </c>
      <c r="BG1978">
        <v>526</v>
      </c>
      <c r="BJ1978">
        <v>1</v>
      </c>
      <c r="BL1978" t="s">
        <v>4123</v>
      </c>
      <c r="BM1978" s="4">
        <v>43283.257453703707</v>
      </c>
      <c r="BN1978" s="4">
        <v>43283.283032407409</v>
      </c>
      <c r="BO1978" s="4">
        <v>43283.283032407409</v>
      </c>
      <c r="BP1978" t="s">
        <v>92</v>
      </c>
      <c r="BQ1978" t="s">
        <v>93</v>
      </c>
      <c r="BR1978" t="s">
        <v>94</v>
      </c>
    </row>
    <row r="1979" spans="1:70" x14ac:dyDescent="0.3">
      <c r="A1979" t="str">
        <f>"201265E0100"</f>
        <v>201265E0100</v>
      </c>
      <c r="B1979" s="2" t="s">
        <v>4124</v>
      </c>
      <c r="C1979">
        <v>20</v>
      </c>
      <c r="D1979" t="s">
        <v>88</v>
      </c>
      <c r="E1979">
        <v>232</v>
      </c>
      <c r="F1979" t="s">
        <v>4070</v>
      </c>
      <c r="G1979">
        <v>1265</v>
      </c>
      <c r="H1979">
        <v>1</v>
      </c>
      <c r="I1979" t="s">
        <v>156</v>
      </c>
      <c r="J1979">
        <v>0</v>
      </c>
      <c r="K1979">
        <v>2</v>
      </c>
      <c r="L1979">
        <v>5</v>
      </c>
      <c r="M1979">
        <v>73</v>
      </c>
      <c r="N1979">
        <v>253</v>
      </c>
      <c r="O1979">
        <v>2</v>
      </c>
      <c r="P1979">
        <v>253</v>
      </c>
      <c r="Q1979">
        <v>4</v>
      </c>
      <c r="R1979">
        <v>19</v>
      </c>
      <c r="S1979">
        <v>1</v>
      </c>
      <c r="T1979">
        <v>0</v>
      </c>
      <c r="U1979">
        <v>8</v>
      </c>
      <c r="V1979">
        <v>1</v>
      </c>
      <c r="X1979">
        <v>89</v>
      </c>
      <c r="Y1979">
        <v>121</v>
      </c>
      <c r="Z1979">
        <v>3</v>
      </c>
      <c r="AA1979">
        <v>0</v>
      </c>
      <c r="AC1979">
        <v>0</v>
      </c>
      <c r="AD1979">
        <v>0</v>
      </c>
      <c r="AE1979">
        <v>0</v>
      </c>
      <c r="AF1979">
        <v>0</v>
      </c>
      <c r="AG1979">
        <v>0</v>
      </c>
      <c r="AH1979">
        <v>0</v>
      </c>
      <c r="AI1979">
        <v>0</v>
      </c>
      <c r="AJ1979">
        <v>0</v>
      </c>
      <c r="AK1979">
        <v>0</v>
      </c>
      <c r="AL1979">
        <v>2</v>
      </c>
      <c r="AM1979">
        <v>0</v>
      </c>
      <c r="AN1979">
        <v>0</v>
      </c>
      <c r="BC1979">
        <v>0</v>
      </c>
      <c r="BD1979">
        <v>5</v>
      </c>
      <c r="BE1979">
        <v>253</v>
      </c>
      <c r="BF1979">
        <v>253</v>
      </c>
      <c r="BG1979">
        <v>304</v>
      </c>
      <c r="BJ1979">
        <v>1</v>
      </c>
      <c r="BL1979" t="s">
        <v>4125</v>
      </c>
      <c r="BM1979" s="4">
        <v>43283.25571759259</v>
      </c>
      <c r="BN1979" s="4">
        <v>43283.294305555559</v>
      </c>
      <c r="BO1979" s="4">
        <v>43283.294305555559</v>
      </c>
      <c r="BP1979" t="s">
        <v>92</v>
      </c>
      <c r="BQ1979" t="s">
        <v>93</v>
      </c>
      <c r="BR1979" t="s">
        <v>94</v>
      </c>
    </row>
    <row r="1980" spans="1:70" x14ac:dyDescent="0.3">
      <c r="A1980" t="str">
        <f>"201278B0100"</f>
        <v>201278B0100</v>
      </c>
      <c r="B1980" t="s">
        <v>4126</v>
      </c>
      <c r="C1980">
        <v>20</v>
      </c>
      <c r="D1980" t="s">
        <v>88</v>
      </c>
      <c r="E1980">
        <v>237</v>
      </c>
      <c r="F1980" t="s">
        <v>4127</v>
      </c>
      <c r="G1980">
        <v>1278</v>
      </c>
      <c r="H1980">
        <v>1</v>
      </c>
      <c r="I1980" t="s">
        <v>90</v>
      </c>
      <c r="J1980">
        <v>0</v>
      </c>
      <c r="K1980">
        <v>2</v>
      </c>
      <c r="L1980">
        <v>5</v>
      </c>
      <c r="M1980">
        <v>265</v>
      </c>
      <c r="N1980">
        <v>385</v>
      </c>
      <c r="O1980">
        <v>0</v>
      </c>
      <c r="P1980">
        <v>385</v>
      </c>
      <c r="Q1980">
        <v>5</v>
      </c>
      <c r="R1980">
        <v>100</v>
      </c>
      <c r="S1980">
        <v>198</v>
      </c>
      <c r="U1980">
        <v>14</v>
      </c>
      <c r="V1980">
        <v>5</v>
      </c>
      <c r="W1980">
        <v>1</v>
      </c>
      <c r="Y1980">
        <v>34</v>
      </c>
      <c r="Z1980">
        <v>1</v>
      </c>
      <c r="AC1980">
        <v>5</v>
      </c>
      <c r="AD1980">
        <v>4</v>
      </c>
      <c r="AE1980">
        <v>0</v>
      </c>
      <c r="AF1980">
        <v>0</v>
      </c>
      <c r="AK1980">
        <v>4</v>
      </c>
      <c r="AL1980">
        <v>0</v>
      </c>
      <c r="AM1980">
        <v>0</v>
      </c>
      <c r="AN1980">
        <v>1</v>
      </c>
      <c r="BC1980">
        <v>0</v>
      </c>
      <c r="BD1980">
        <v>13</v>
      </c>
      <c r="BE1980">
        <v>385</v>
      </c>
      <c r="BF1980">
        <v>385</v>
      </c>
      <c r="BG1980">
        <v>628</v>
      </c>
      <c r="BJ1980">
        <v>1</v>
      </c>
      <c r="BL1980" t="s">
        <v>4128</v>
      </c>
      <c r="BM1980" s="4">
        <v>43283.09375</v>
      </c>
      <c r="BN1980" s="4">
        <v>43283.103125000001</v>
      </c>
      <c r="BO1980" s="4">
        <v>43283.103125000001</v>
      </c>
      <c r="BP1980" t="s">
        <v>92</v>
      </c>
      <c r="BQ1980" t="s">
        <v>93</v>
      </c>
      <c r="BR1980" t="s">
        <v>94</v>
      </c>
    </row>
    <row r="1981" spans="1:70" x14ac:dyDescent="0.3">
      <c r="A1981" t="str">
        <f>"201279B0100"</f>
        <v>201279B0100</v>
      </c>
      <c r="B1981" t="s">
        <v>4129</v>
      </c>
      <c r="C1981">
        <v>20</v>
      </c>
      <c r="D1981" t="s">
        <v>88</v>
      </c>
      <c r="E1981">
        <v>237</v>
      </c>
      <c r="F1981" t="s">
        <v>4127</v>
      </c>
      <c r="G1981">
        <v>1279</v>
      </c>
      <c r="H1981">
        <v>1</v>
      </c>
      <c r="I1981" t="s">
        <v>90</v>
      </c>
      <c r="J1981">
        <v>0</v>
      </c>
      <c r="K1981">
        <v>2</v>
      </c>
      <c r="L1981">
        <v>5</v>
      </c>
      <c r="M1981">
        <v>150</v>
      </c>
      <c r="N1981">
        <v>223</v>
      </c>
      <c r="O1981">
        <v>3</v>
      </c>
      <c r="P1981">
        <v>223</v>
      </c>
      <c r="Q1981">
        <v>4</v>
      </c>
      <c r="R1981">
        <v>38</v>
      </c>
      <c r="S1981">
        <v>135</v>
      </c>
      <c r="U1981">
        <v>10</v>
      </c>
      <c r="V1981">
        <v>4</v>
      </c>
      <c r="W1981">
        <v>0</v>
      </c>
      <c r="Y1981">
        <v>13</v>
      </c>
      <c r="Z1981">
        <v>0</v>
      </c>
      <c r="AC1981">
        <v>3</v>
      </c>
      <c r="AD1981">
        <v>0</v>
      </c>
      <c r="AE1981">
        <v>0</v>
      </c>
      <c r="AF1981">
        <v>0</v>
      </c>
      <c r="AK1981">
        <v>0</v>
      </c>
      <c r="AL1981">
        <v>0</v>
      </c>
      <c r="AM1981">
        <v>0</v>
      </c>
      <c r="AN1981">
        <v>0</v>
      </c>
      <c r="BC1981">
        <v>0</v>
      </c>
      <c r="BD1981">
        <v>16</v>
      </c>
      <c r="BE1981">
        <v>223</v>
      </c>
      <c r="BF1981">
        <v>223</v>
      </c>
      <c r="BG1981">
        <v>351</v>
      </c>
      <c r="BJ1981">
        <v>1</v>
      </c>
      <c r="BL1981" t="s">
        <v>4130</v>
      </c>
      <c r="BM1981" s="4">
        <v>43283.094444444447</v>
      </c>
      <c r="BN1981" s="4">
        <v>43283.100069444445</v>
      </c>
      <c r="BO1981" s="4">
        <v>43283.100069444445</v>
      </c>
      <c r="BP1981" t="s">
        <v>92</v>
      </c>
      <c r="BQ1981" t="s">
        <v>93</v>
      </c>
      <c r="BR1981" t="s">
        <v>94</v>
      </c>
    </row>
    <row r="1982" spans="1:70" x14ac:dyDescent="0.3">
      <c r="A1982" t="str">
        <f>"201281B0100"</f>
        <v>201281B0100</v>
      </c>
      <c r="B1982" t="s">
        <v>4131</v>
      </c>
      <c r="C1982">
        <v>20</v>
      </c>
      <c r="D1982" t="s">
        <v>88</v>
      </c>
      <c r="E1982">
        <v>237</v>
      </c>
      <c r="F1982" t="s">
        <v>4127</v>
      </c>
      <c r="G1982">
        <v>1281</v>
      </c>
      <c r="H1982">
        <v>1</v>
      </c>
      <c r="I1982" t="s">
        <v>90</v>
      </c>
      <c r="J1982">
        <v>0</v>
      </c>
      <c r="K1982">
        <v>2</v>
      </c>
      <c r="L1982">
        <v>5</v>
      </c>
      <c r="M1982">
        <v>115</v>
      </c>
      <c r="N1982">
        <v>166</v>
      </c>
      <c r="O1982">
        <v>2</v>
      </c>
      <c r="P1982">
        <v>166</v>
      </c>
      <c r="Q1982">
        <v>0</v>
      </c>
      <c r="R1982">
        <v>84</v>
      </c>
      <c r="S1982">
        <v>20</v>
      </c>
      <c r="U1982">
        <v>9</v>
      </c>
      <c r="V1982">
        <v>1</v>
      </c>
      <c r="W1982">
        <v>0</v>
      </c>
      <c r="Y1982">
        <v>42</v>
      </c>
      <c r="Z1982">
        <v>0</v>
      </c>
      <c r="AC1982">
        <v>0</v>
      </c>
      <c r="AD1982">
        <v>0</v>
      </c>
      <c r="AE1982">
        <v>0</v>
      </c>
      <c r="AF1982">
        <v>0</v>
      </c>
      <c r="AK1982">
        <v>0</v>
      </c>
      <c r="AL1982">
        <v>3</v>
      </c>
      <c r="AM1982">
        <v>0</v>
      </c>
      <c r="AN1982">
        <v>0</v>
      </c>
      <c r="BC1982">
        <v>0</v>
      </c>
      <c r="BD1982">
        <v>7</v>
      </c>
      <c r="BE1982">
        <v>166</v>
      </c>
      <c r="BF1982">
        <v>166</v>
      </c>
      <c r="BG1982">
        <v>259</v>
      </c>
      <c r="BJ1982">
        <v>1</v>
      </c>
      <c r="BL1982" t="s">
        <v>4132</v>
      </c>
      <c r="BM1982" s="4">
        <v>43283.403391203705</v>
      </c>
      <c r="BN1982" s="4">
        <v>43283.405960648146</v>
      </c>
      <c r="BO1982" s="4">
        <v>43283.405960648146</v>
      </c>
      <c r="BP1982" t="s">
        <v>339</v>
      </c>
      <c r="BQ1982" t="s">
        <v>340</v>
      </c>
      <c r="BR1982" t="s">
        <v>94</v>
      </c>
    </row>
    <row r="1983" spans="1:70" x14ac:dyDescent="0.3">
      <c r="A1983" t="str">
        <f>"201294B0100"</f>
        <v>201294B0100</v>
      </c>
      <c r="B1983" t="s">
        <v>4133</v>
      </c>
      <c r="C1983">
        <v>20</v>
      </c>
      <c r="D1983" t="s">
        <v>88</v>
      </c>
      <c r="E1983">
        <v>245</v>
      </c>
      <c r="F1983" t="s">
        <v>4134</v>
      </c>
      <c r="G1983">
        <v>1294</v>
      </c>
      <c r="H1983">
        <v>1</v>
      </c>
      <c r="I1983" t="s">
        <v>90</v>
      </c>
      <c r="J1983">
        <v>0</v>
      </c>
      <c r="K1983">
        <v>2</v>
      </c>
      <c r="L1983">
        <v>5</v>
      </c>
      <c r="M1983">
        <v>90</v>
      </c>
      <c r="N1983">
        <v>372</v>
      </c>
      <c r="O1983">
        <v>0</v>
      </c>
      <c r="P1983">
        <v>372</v>
      </c>
      <c r="Q1983">
        <v>1</v>
      </c>
      <c r="R1983">
        <v>179</v>
      </c>
      <c r="S1983">
        <v>1</v>
      </c>
      <c r="T1983">
        <v>1</v>
      </c>
      <c r="U1983">
        <v>2</v>
      </c>
      <c r="V1983">
        <v>1</v>
      </c>
      <c r="X1983">
        <v>0</v>
      </c>
      <c r="Y1983">
        <v>179</v>
      </c>
      <c r="Z1983">
        <v>3</v>
      </c>
      <c r="AC1983">
        <v>0</v>
      </c>
      <c r="AD1983">
        <v>0</v>
      </c>
      <c r="AE1983">
        <v>0</v>
      </c>
      <c r="AF1983">
        <v>0</v>
      </c>
      <c r="AG1983">
        <v>0</v>
      </c>
      <c r="AH1983">
        <v>1</v>
      </c>
      <c r="AI1983">
        <v>0</v>
      </c>
      <c r="AJ1983">
        <v>0</v>
      </c>
      <c r="AK1983">
        <v>0</v>
      </c>
      <c r="AL1983">
        <v>0</v>
      </c>
      <c r="AM1983">
        <v>0</v>
      </c>
      <c r="AN1983">
        <v>0</v>
      </c>
      <c r="BC1983">
        <v>0</v>
      </c>
      <c r="BD1983">
        <v>4</v>
      </c>
      <c r="BE1983">
        <v>372</v>
      </c>
      <c r="BF1983">
        <v>372</v>
      </c>
      <c r="BG1983">
        <v>440</v>
      </c>
      <c r="BJ1983">
        <v>1</v>
      </c>
      <c r="BL1983" t="s">
        <v>4135</v>
      </c>
      <c r="BM1983" s="4">
        <v>43283.324305555558</v>
      </c>
      <c r="BN1983" s="4">
        <v>43283.349374999998</v>
      </c>
      <c r="BO1983" s="4">
        <v>43283.349374999998</v>
      </c>
      <c r="BP1983" t="s">
        <v>92</v>
      </c>
      <c r="BQ1983" t="s">
        <v>93</v>
      </c>
      <c r="BR1983" t="s">
        <v>94</v>
      </c>
    </row>
    <row r="1984" spans="1:70" x14ac:dyDescent="0.3">
      <c r="A1984" t="str">
        <f>"201294C0100"</f>
        <v>201294C0100</v>
      </c>
      <c r="B1984" t="s">
        <v>4136</v>
      </c>
      <c r="C1984">
        <v>20</v>
      </c>
      <c r="D1984" t="s">
        <v>88</v>
      </c>
      <c r="E1984">
        <v>245</v>
      </c>
      <c r="F1984" t="s">
        <v>4134</v>
      </c>
      <c r="G1984">
        <v>1294</v>
      </c>
      <c r="H1984">
        <v>1</v>
      </c>
      <c r="I1984" t="s">
        <v>98</v>
      </c>
      <c r="J1984">
        <v>0</v>
      </c>
      <c r="K1984">
        <v>2</v>
      </c>
      <c r="L1984">
        <v>5</v>
      </c>
      <c r="M1984">
        <v>85</v>
      </c>
      <c r="N1984" t="s">
        <v>127</v>
      </c>
      <c r="O1984">
        <v>0</v>
      </c>
      <c r="P1984">
        <v>377</v>
      </c>
      <c r="Q1984">
        <v>0</v>
      </c>
      <c r="R1984">
        <v>208</v>
      </c>
      <c r="S1984">
        <v>2</v>
      </c>
      <c r="T1984">
        <v>0</v>
      </c>
      <c r="U1984">
        <v>1</v>
      </c>
      <c r="V1984">
        <v>1</v>
      </c>
      <c r="X1984">
        <v>1</v>
      </c>
      <c r="Y1984">
        <v>156</v>
      </c>
      <c r="Z1984">
        <v>0</v>
      </c>
      <c r="AC1984">
        <v>0</v>
      </c>
      <c r="AD1984">
        <v>0</v>
      </c>
      <c r="AE1984">
        <v>0</v>
      </c>
      <c r="AF1984">
        <v>0</v>
      </c>
      <c r="AG1984">
        <v>0</v>
      </c>
      <c r="AH1984">
        <v>4</v>
      </c>
      <c r="AI1984">
        <v>1</v>
      </c>
      <c r="AJ1984">
        <v>0</v>
      </c>
      <c r="AK1984">
        <v>0</v>
      </c>
      <c r="AL1984">
        <v>0</v>
      </c>
      <c r="AM1984">
        <v>0</v>
      </c>
      <c r="AN1984">
        <v>0</v>
      </c>
      <c r="BC1984">
        <v>0</v>
      </c>
      <c r="BD1984">
        <v>3</v>
      </c>
      <c r="BE1984">
        <v>377</v>
      </c>
      <c r="BF1984">
        <v>377</v>
      </c>
      <c r="BG1984">
        <v>440</v>
      </c>
      <c r="BJ1984">
        <v>1</v>
      </c>
      <c r="BL1984" t="s">
        <v>4137</v>
      </c>
      <c r="BM1984" s="4">
        <v>43283.324305555558</v>
      </c>
      <c r="BN1984" s="4">
        <v>43283.34888888889</v>
      </c>
      <c r="BO1984" s="4">
        <v>43283.34888888889</v>
      </c>
      <c r="BP1984" t="s">
        <v>92</v>
      </c>
      <c r="BQ1984" t="s">
        <v>93</v>
      </c>
      <c r="BR1984" t="s">
        <v>94</v>
      </c>
    </row>
    <row r="1985" spans="1:70" x14ac:dyDescent="0.3">
      <c r="A1985" t="str">
        <f>"201295B0100"</f>
        <v>201295B0100</v>
      </c>
      <c r="B1985" t="s">
        <v>4138</v>
      </c>
      <c r="C1985">
        <v>20</v>
      </c>
      <c r="D1985" t="s">
        <v>88</v>
      </c>
      <c r="E1985">
        <v>245</v>
      </c>
      <c r="F1985" t="s">
        <v>4134</v>
      </c>
      <c r="G1985">
        <v>1295</v>
      </c>
      <c r="H1985">
        <v>1</v>
      </c>
      <c r="I1985" t="s">
        <v>90</v>
      </c>
      <c r="J1985">
        <v>0</v>
      </c>
      <c r="K1985">
        <v>2</v>
      </c>
      <c r="L1985">
        <v>5</v>
      </c>
      <c r="M1985">
        <v>161</v>
      </c>
      <c r="N1985">
        <v>236</v>
      </c>
      <c r="O1985">
        <v>0</v>
      </c>
      <c r="P1985">
        <v>236</v>
      </c>
      <c r="Q1985">
        <v>1</v>
      </c>
      <c r="R1985">
        <v>114</v>
      </c>
      <c r="S1985">
        <v>2</v>
      </c>
      <c r="T1985">
        <v>0</v>
      </c>
      <c r="U1985">
        <v>3</v>
      </c>
      <c r="V1985">
        <v>0</v>
      </c>
      <c r="X1985">
        <v>0</v>
      </c>
      <c r="Y1985">
        <v>96</v>
      </c>
      <c r="Z1985">
        <v>1</v>
      </c>
      <c r="AC1985">
        <v>0</v>
      </c>
      <c r="AD1985">
        <v>0</v>
      </c>
      <c r="AE1985">
        <v>0</v>
      </c>
      <c r="AF1985">
        <v>0</v>
      </c>
      <c r="AG1985">
        <v>2</v>
      </c>
      <c r="AH1985">
        <v>1</v>
      </c>
      <c r="AI1985">
        <v>0</v>
      </c>
      <c r="AJ1985">
        <v>0</v>
      </c>
      <c r="AK1985">
        <v>1</v>
      </c>
      <c r="AL1985">
        <v>0</v>
      </c>
      <c r="AM1985">
        <v>0</v>
      </c>
      <c r="AN1985">
        <v>1</v>
      </c>
      <c r="BC1985">
        <v>0</v>
      </c>
      <c r="BD1985">
        <v>14</v>
      </c>
      <c r="BE1985" t="s">
        <v>105</v>
      </c>
      <c r="BF1985">
        <v>236</v>
      </c>
      <c r="BG1985">
        <v>375</v>
      </c>
      <c r="BJ1985">
        <v>1</v>
      </c>
      <c r="BL1985" t="s">
        <v>4139</v>
      </c>
      <c r="BM1985" s="4">
        <v>43283.324999999997</v>
      </c>
      <c r="BN1985" s="4">
        <v>43283.346608796295</v>
      </c>
      <c r="BO1985" s="4">
        <v>43283.346608796295</v>
      </c>
      <c r="BP1985" t="s">
        <v>92</v>
      </c>
      <c r="BQ1985" t="s">
        <v>93</v>
      </c>
      <c r="BR1985" t="s">
        <v>94</v>
      </c>
    </row>
    <row r="1986" spans="1:70" x14ac:dyDescent="0.3">
      <c r="A1986" t="str">
        <f>"201310B0100"</f>
        <v>201310B0100</v>
      </c>
      <c r="B1986" t="s">
        <v>4140</v>
      </c>
      <c r="C1986">
        <v>20</v>
      </c>
      <c r="D1986" t="s">
        <v>88</v>
      </c>
      <c r="E1986">
        <v>252</v>
      </c>
      <c r="F1986" t="s">
        <v>4141</v>
      </c>
      <c r="G1986">
        <v>1310</v>
      </c>
      <c r="H1986">
        <v>1</v>
      </c>
      <c r="I1986" t="s">
        <v>90</v>
      </c>
      <c r="J1986">
        <v>0</v>
      </c>
      <c r="K1986">
        <v>2</v>
      </c>
      <c r="L1986">
        <v>5</v>
      </c>
      <c r="M1986">
        <v>111</v>
      </c>
      <c r="N1986">
        <v>324</v>
      </c>
      <c r="O1986">
        <v>0</v>
      </c>
      <c r="P1986">
        <v>324</v>
      </c>
      <c r="Q1986">
        <v>134</v>
      </c>
      <c r="R1986">
        <v>16</v>
      </c>
      <c r="S1986">
        <v>3</v>
      </c>
      <c r="T1986">
        <v>3</v>
      </c>
      <c r="V1986">
        <v>1</v>
      </c>
      <c r="W1986">
        <v>143</v>
      </c>
      <c r="X1986">
        <v>1</v>
      </c>
      <c r="AC1986">
        <v>5</v>
      </c>
      <c r="AD1986">
        <v>1</v>
      </c>
      <c r="AE1986">
        <v>2</v>
      </c>
      <c r="AF1986">
        <v>0</v>
      </c>
      <c r="AG1986">
        <v>1</v>
      </c>
      <c r="AH1986">
        <v>2</v>
      </c>
      <c r="AI1986">
        <v>1</v>
      </c>
      <c r="AJ1986">
        <v>0</v>
      </c>
      <c r="BC1986">
        <v>0</v>
      </c>
      <c r="BD1986">
        <v>12</v>
      </c>
      <c r="BE1986">
        <v>324</v>
      </c>
      <c r="BF1986">
        <v>325</v>
      </c>
      <c r="BG1986">
        <v>413</v>
      </c>
      <c r="BJ1986">
        <v>1</v>
      </c>
      <c r="BL1986" t="s">
        <v>4142</v>
      </c>
      <c r="BM1986" s="4">
        <v>43283.333333333336</v>
      </c>
      <c r="BN1986" s="4">
        <v>43283.352650462963</v>
      </c>
      <c r="BO1986" s="4">
        <v>43283.352650462963</v>
      </c>
      <c r="BP1986" t="s">
        <v>92</v>
      </c>
      <c r="BQ1986" t="s">
        <v>93</v>
      </c>
      <c r="BR1986" t="s">
        <v>94</v>
      </c>
    </row>
    <row r="1987" spans="1:70" x14ac:dyDescent="0.3">
      <c r="A1987" t="str">
        <f>"201310C0100"</f>
        <v>201310C0100</v>
      </c>
      <c r="B1987" t="s">
        <v>4143</v>
      </c>
      <c r="C1987">
        <v>20</v>
      </c>
      <c r="D1987" t="s">
        <v>88</v>
      </c>
      <c r="E1987">
        <v>252</v>
      </c>
      <c r="F1987" t="s">
        <v>4141</v>
      </c>
      <c r="G1987">
        <v>1310</v>
      </c>
      <c r="H1987">
        <v>1</v>
      </c>
      <c r="I1987" t="s">
        <v>98</v>
      </c>
      <c r="J1987">
        <v>0</v>
      </c>
      <c r="K1987">
        <v>2</v>
      </c>
      <c r="L1987">
        <v>5</v>
      </c>
      <c r="M1987">
        <v>133</v>
      </c>
      <c r="N1987">
        <v>301</v>
      </c>
      <c r="O1987">
        <v>0</v>
      </c>
      <c r="P1987">
        <v>301</v>
      </c>
      <c r="Q1987">
        <v>115</v>
      </c>
      <c r="R1987">
        <v>8</v>
      </c>
      <c r="S1987">
        <v>2</v>
      </c>
      <c r="T1987">
        <v>4</v>
      </c>
      <c r="V1987">
        <v>4</v>
      </c>
      <c r="W1987">
        <v>148</v>
      </c>
      <c r="X1987">
        <v>2</v>
      </c>
      <c r="AC1987">
        <v>1</v>
      </c>
      <c r="AD1987">
        <v>2</v>
      </c>
      <c r="AE1987">
        <v>0</v>
      </c>
      <c r="AF1987">
        <v>0</v>
      </c>
      <c r="AG1987">
        <v>1</v>
      </c>
      <c r="AH1987">
        <v>0</v>
      </c>
      <c r="AI1987">
        <v>0</v>
      </c>
      <c r="AJ1987">
        <v>0</v>
      </c>
      <c r="BC1987">
        <v>1</v>
      </c>
      <c r="BD1987">
        <v>13</v>
      </c>
      <c r="BE1987">
        <v>301</v>
      </c>
      <c r="BF1987">
        <v>301</v>
      </c>
      <c r="BG1987">
        <v>412</v>
      </c>
      <c r="BJ1987">
        <v>1</v>
      </c>
      <c r="BL1987" t="s">
        <v>4144</v>
      </c>
      <c r="BM1987" s="4">
        <v>43283.513888888891</v>
      </c>
      <c r="BN1987" s="4">
        <v>43283.522129629629</v>
      </c>
      <c r="BO1987" s="4">
        <v>43283.522129629629</v>
      </c>
      <c r="BP1987" t="s">
        <v>92</v>
      </c>
      <c r="BQ1987" t="s">
        <v>93</v>
      </c>
      <c r="BR1987" t="s">
        <v>94</v>
      </c>
    </row>
    <row r="1988" spans="1:70" x14ac:dyDescent="0.3">
      <c r="A1988" t="str">
        <f>"201310E0100"</f>
        <v>201310E0100</v>
      </c>
      <c r="B1988" s="2" t="s">
        <v>4145</v>
      </c>
      <c r="C1988">
        <v>20</v>
      </c>
      <c r="D1988" t="s">
        <v>88</v>
      </c>
      <c r="E1988">
        <v>252</v>
      </c>
      <c r="F1988" t="s">
        <v>4141</v>
      </c>
      <c r="G1988">
        <v>1310</v>
      </c>
      <c r="H1988">
        <v>1</v>
      </c>
      <c r="I1988" t="s">
        <v>156</v>
      </c>
      <c r="J1988">
        <v>0</v>
      </c>
      <c r="K1988">
        <v>2</v>
      </c>
      <c r="L1988">
        <v>5</v>
      </c>
      <c r="M1988">
        <v>99</v>
      </c>
      <c r="N1988">
        <v>294</v>
      </c>
      <c r="O1988">
        <v>1</v>
      </c>
      <c r="P1988">
        <v>294</v>
      </c>
      <c r="Q1988">
        <v>53</v>
      </c>
      <c r="R1988">
        <v>31</v>
      </c>
      <c r="S1988">
        <v>1</v>
      </c>
      <c r="T1988">
        <v>2</v>
      </c>
      <c r="V1988">
        <v>0</v>
      </c>
      <c r="W1988">
        <v>187</v>
      </c>
      <c r="X1988">
        <v>1</v>
      </c>
      <c r="AC1988">
        <v>0</v>
      </c>
      <c r="AD1988">
        <v>2</v>
      </c>
      <c r="AE1988">
        <v>0</v>
      </c>
      <c r="AF1988">
        <v>1</v>
      </c>
      <c r="AG1988">
        <v>0</v>
      </c>
      <c r="AH1988">
        <v>1</v>
      </c>
      <c r="AI1988">
        <v>0</v>
      </c>
      <c r="AJ1988">
        <v>0</v>
      </c>
      <c r="BC1988">
        <v>0</v>
      </c>
      <c r="BD1988">
        <v>15</v>
      </c>
      <c r="BE1988">
        <v>294</v>
      </c>
      <c r="BF1988">
        <v>294</v>
      </c>
      <c r="BG1988">
        <v>371</v>
      </c>
      <c r="BJ1988">
        <v>1</v>
      </c>
      <c r="BL1988" t="s">
        <v>4146</v>
      </c>
      <c r="BM1988" s="4">
        <v>43283.522916666669</v>
      </c>
      <c r="BN1988" s="4">
        <v>43283.527118055557</v>
      </c>
      <c r="BO1988" s="4">
        <v>43283.527118055557</v>
      </c>
      <c r="BP1988" t="s">
        <v>92</v>
      </c>
      <c r="BQ1988" t="s">
        <v>93</v>
      </c>
      <c r="BR1988" t="s">
        <v>94</v>
      </c>
    </row>
    <row r="1989" spans="1:70" x14ac:dyDescent="0.3">
      <c r="A1989" t="str">
        <f>"201311B0100"</f>
        <v>201311B0100</v>
      </c>
      <c r="B1989" t="s">
        <v>4147</v>
      </c>
      <c r="C1989">
        <v>20</v>
      </c>
      <c r="D1989" t="s">
        <v>88</v>
      </c>
      <c r="E1989">
        <v>252</v>
      </c>
      <c r="F1989" t="s">
        <v>4141</v>
      </c>
      <c r="G1989">
        <v>1311</v>
      </c>
      <c r="H1989">
        <v>1</v>
      </c>
      <c r="I1989" t="s">
        <v>90</v>
      </c>
      <c r="J1989">
        <v>0</v>
      </c>
      <c r="K1989">
        <v>2</v>
      </c>
      <c r="L1989">
        <v>5</v>
      </c>
      <c r="M1989">
        <v>208</v>
      </c>
      <c r="N1989">
        <v>507</v>
      </c>
      <c r="O1989">
        <v>2</v>
      </c>
      <c r="P1989">
        <v>507</v>
      </c>
      <c r="Q1989">
        <v>123</v>
      </c>
      <c r="R1989">
        <v>37</v>
      </c>
      <c r="S1989">
        <v>4</v>
      </c>
      <c r="T1989">
        <v>6</v>
      </c>
      <c r="V1989">
        <v>4</v>
      </c>
      <c r="W1989">
        <v>308</v>
      </c>
      <c r="X1989">
        <v>8</v>
      </c>
      <c r="AC1989">
        <v>0</v>
      </c>
      <c r="AD1989">
        <v>0</v>
      </c>
      <c r="AE1989">
        <v>1</v>
      </c>
      <c r="AF1989">
        <v>0</v>
      </c>
      <c r="AG1989">
        <v>1</v>
      </c>
      <c r="AH1989">
        <v>0</v>
      </c>
      <c r="AI1989">
        <v>0</v>
      </c>
      <c r="AJ1989">
        <v>0</v>
      </c>
      <c r="BC1989">
        <v>0</v>
      </c>
      <c r="BD1989">
        <v>15</v>
      </c>
      <c r="BE1989">
        <v>507</v>
      </c>
      <c r="BF1989">
        <v>507</v>
      </c>
      <c r="BG1989">
        <v>693</v>
      </c>
      <c r="BJ1989">
        <v>1</v>
      </c>
      <c r="BL1989" t="s">
        <v>4148</v>
      </c>
      <c r="BM1989" s="4">
        <v>43283.522222222222</v>
      </c>
      <c r="BN1989" s="4">
        <v>43283.529861111114</v>
      </c>
      <c r="BO1989" s="4">
        <v>43283.529861111114</v>
      </c>
      <c r="BP1989" t="s">
        <v>92</v>
      </c>
      <c r="BQ1989" t="s">
        <v>93</v>
      </c>
      <c r="BR1989" t="s">
        <v>94</v>
      </c>
    </row>
    <row r="1990" spans="1:70" x14ac:dyDescent="0.3">
      <c r="A1990" t="str">
        <f>"201312B0100"</f>
        <v>201312B0100</v>
      </c>
      <c r="B1990" t="s">
        <v>4149</v>
      </c>
      <c r="C1990">
        <v>20</v>
      </c>
      <c r="D1990" t="s">
        <v>88</v>
      </c>
      <c r="E1990">
        <v>252</v>
      </c>
      <c r="F1990" t="s">
        <v>4141</v>
      </c>
      <c r="G1990">
        <v>1312</v>
      </c>
      <c r="H1990">
        <v>1</v>
      </c>
      <c r="I1990" t="s">
        <v>90</v>
      </c>
      <c r="J1990">
        <v>0</v>
      </c>
      <c r="K1990">
        <v>2</v>
      </c>
      <c r="L1990">
        <v>5</v>
      </c>
      <c r="M1990">
        <v>76</v>
      </c>
      <c r="N1990">
        <v>179</v>
      </c>
      <c r="O1990">
        <v>2</v>
      </c>
      <c r="P1990">
        <v>179</v>
      </c>
      <c r="Q1990">
        <v>54</v>
      </c>
      <c r="R1990">
        <v>18</v>
      </c>
      <c r="S1990">
        <v>1</v>
      </c>
      <c r="T1990">
        <v>1</v>
      </c>
      <c r="V1990">
        <v>0</v>
      </c>
      <c r="W1990">
        <v>90</v>
      </c>
      <c r="X1990">
        <v>0</v>
      </c>
      <c r="AC1990">
        <v>4</v>
      </c>
      <c r="AD1990">
        <v>1</v>
      </c>
      <c r="AE1990">
        <v>4</v>
      </c>
      <c r="AF1990">
        <v>0</v>
      </c>
      <c r="AG1990">
        <v>0</v>
      </c>
      <c r="AH1990">
        <v>0</v>
      </c>
      <c r="AI1990">
        <v>0</v>
      </c>
      <c r="AJ1990">
        <v>0</v>
      </c>
      <c r="BC1990">
        <v>0</v>
      </c>
      <c r="BD1990">
        <v>6</v>
      </c>
      <c r="BE1990">
        <v>179</v>
      </c>
      <c r="BF1990">
        <v>179</v>
      </c>
      <c r="BG1990">
        <v>233</v>
      </c>
      <c r="BJ1990">
        <v>1</v>
      </c>
      <c r="BL1990" t="s">
        <v>4150</v>
      </c>
      <c r="BM1990" s="4">
        <v>43283.520138888889</v>
      </c>
      <c r="BN1990" s="4">
        <v>43283.523946759262</v>
      </c>
      <c r="BO1990" s="4">
        <v>43283.523946759262</v>
      </c>
      <c r="BP1990" t="s">
        <v>92</v>
      </c>
      <c r="BQ1990" t="s">
        <v>93</v>
      </c>
      <c r="BR1990" t="s">
        <v>94</v>
      </c>
    </row>
    <row r="1991" spans="1:70" x14ac:dyDescent="0.3">
      <c r="A1991" t="str">
        <f>"201313B0100"</f>
        <v>201313B0100</v>
      </c>
      <c r="B1991" t="s">
        <v>4151</v>
      </c>
      <c r="C1991">
        <v>20</v>
      </c>
      <c r="D1991" t="s">
        <v>88</v>
      </c>
      <c r="E1991">
        <v>252</v>
      </c>
      <c r="F1991" t="s">
        <v>4141</v>
      </c>
      <c r="G1991">
        <v>1313</v>
      </c>
      <c r="H1991">
        <v>1</v>
      </c>
      <c r="I1991" t="s">
        <v>90</v>
      </c>
      <c r="J1991">
        <v>0</v>
      </c>
      <c r="K1991">
        <v>2</v>
      </c>
      <c r="L1991">
        <v>5</v>
      </c>
      <c r="M1991">
        <v>67</v>
      </c>
      <c r="N1991">
        <v>252</v>
      </c>
      <c r="O1991">
        <v>5</v>
      </c>
      <c r="P1991">
        <v>252</v>
      </c>
      <c r="Q1991">
        <v>87</v>
      </c>
      <c r="R1991">
        <v>23</v>
      </c>
      <c r="S1991">
        <v>1</v>
      </c>
      <c r="T1991">
        <v>2</v>
      </c>
      <c r="V1991">
        <v>2</v>
      </c>
      <c r="W1991">
        <v>127</v>
      </c>
      <c r="X1991">
        <v>0</v>
      </c>
      <c r="AC1991">
        <v>0</v>
      </c>
      <c r="AD1991">
        <v>1</v>
      </c>
      <c r="AE1991">
        <v>0</v>
      </c>
      <c r="AF1991">
        <v>0</v>
      </c>
      <c r="AG1991">
        <v>0</v>
      </c>
      <c r="AH1991">
        <v>0</v>
      </c>
      <c r="AI1991">
        <v>0</v>
      </c>
      <c r="AJ1991">
        <v>0</v>
      </c>
      <c r="BC1991">
        <v>0</v>
      </c>
      <c r="BD1991">
        <v>9</v>
      </c>
      <c r="BE1991">
        <v>252</v>
      </c>
      <c r="BF1991">
        <v>252</v>
      </c>
      <c r="BG1991">
        <v>297</v>
      </c>
      <c r="BJ1991">
        <v>1</v>
      </c>
      <c r="BL1991" t="s">
        <v>4152</v>
      </c>
      <c r="BM1991" s="4">
        <v>43283.519444444442</v>
      </c>
      <c r="BN1991" s="4">
        <v>43283.522499999999</v>
      </c>
      <c r="BO1991" s="4">
        <v>43283.522499999999</v>
      </c>
      <c r="BP1991" t="s">
        <v>92</v>
      </c>
      <c r="BQ1991" t="s">
        <v>93</v>
      </c>
      <c r="BR1991" t="s">
        <v>94</v>
      </c>
    </row>
    <row r="1992" spans="1:70" x14ac:dyDescent="0.3">
      <c r="A1992" t="str">
        <f>"201320B0100"</f>
        <v>201320B0100</v>
      </c>
      <c r="B1992" t="s">
        <v>4153</v>
      </c>
      <c r="C1992">
        <v>20</v>
      </c>
      <c r="D1992" t="s">
        <v>88</v>
      </c>
      <c r="E1992">
        <v>258</v>
      </c>
      <c r="F1992" t="s">
        <v>4154</v>
      </c>
      <c r="G1992">
        <v>1320</v>
      </c>
      <c r="H1992">
        <v>1</v>
      </c>
      <c r="I1992" t="s">
        <v>90</v>
      </c>
      <c r="J1992">
        <v>0</v>
      </c>
      <c r="K1992">
        <v>1</v>
      </c>
      <c r="L1992">
        <v>5</v>
      </c>
      <c r="M1992">
        <v>141</v>
      </c>
      <c r="N1992">
        <v>394</v>
      </c>
      <c r="O1992">
        <v>0</v>
      </c>
      <c r="P1992">
        <v>394</v>
      </c>
      <c r="Q1992">
        <v>192</v>
      </c>
      <c r="R1992">
        <v>134</v>
      </c>
      <c r="S1992">
        <v>1</v>
      </c>
      <c r="T1992">
        <v>0</v>
      </c>
      <c r="U1992">
        <v>36</v>
      </c>
      <c r="V1992">
        <v>1</v>
      </c>
      <c r="X1992">
        <v>0</v>
      </c>
      <c r="Y1992">
        <v>12</v>
      </c>
      <c r="Z1992">
        <v>0</v>
      </c>
      <c r="AC1992">
        <v>3</v>
      </c>
      <c r="AD1992">
        <v>1</v>
      </c>
      <c r="AE1992">
        <v>0</v>
      </c>
      <c r="AF1992">
        <v>0</v>
      </c>
      <c r="AG1992">
        <v>0</v>
      </c>
      <c r="AH1992">
        <v>3</v>
      </c>
      <c r="AI1992">
        <v>0</v>
      </c>
      <c r="AJ1992">
        <v>0</v>
      </c>
      <c r="AK1992">
        <v>0</v>
      </c>
      <c r="AL1992">
        <v>0</v>
      </c>
      <c r="AM1992">
        <v>0</v>
      </c>
      <c r="AN1992">
        <v>0</v>
      </c>
      <c r="BC1992">
        <v>0</v>
      </c>
      <c r="BD1992">
        <v>11</v>
      </c>
      <c r="BE1992">
        <v>394</v>
      </c>
      <c r="BF1992">
        <v>394</v>
      </c>
      <c r="BG1992">
        <v>514</v>
      </c>
      <c r="BJ1992">
        <v>1</v>
      </c>
      <c r="BL1992" t="s">
        <v>4155</v>
      </c>
      <c r="BM1992" s="4">
        <v>43283.408333333333</v>
      </c>
      <c r="BN1992" s="4">
        <v>43283.416041666664</v>
      </c>
      <c r="BO1992" s="4">
        <v>43283.416041666664</v>
      </c>
      <c r="BP1992" t="s">
        <v>92</v>
      </c>
      <c r="BQ1992" t="s">
        <v>93</v>
      </c>
      <c r="BR1992" t="s">
        <v>94</v>
      </c>
    </row>
    <row r="1993" spans="1:70" x14ac:dyDescent="0.3">
      <c r="A1993" t="str">
        <f>"201320C0100"</f>
        <v>201320C0100</v>
      </c>
      <c r="B1993" t="s">
        <v>4156</v>
      </c>
      <c r="C1993">
        <v>20</v>
      </c>
      <c r="D1993" t="s">
        <v>88</v>
      </c>
      <c r="E1993">
        <v>258</v>
      </c>
      <c r="F1993" t="s">
        <v>4154</v>
      </c>
      <c r="G1993">
        <v>1320</v>
      </c>
      <c r="H1993">
        <v>1</v>
      </c>
      <c r="I1993" t="s">
        <v>98</v>
      </c>
      <c r="J1993">
        <v>0</v>
      </c>
      <c r="K1993">
        <v>1</v>
      </c>
      <c r="L1993">
        <v>5</v>
      </c>
      <c r="M1993">
        <v>159</v>
      </c>
      <c r="N1993">
        <v>377</v>
      </c>
      <c r="O1993">
        <v>0</v>
      </c>
      <c r="P1993">
        <v>378</v>
      </c>
      <c r="Q1993">
        <v>131</v>
      </c>
      <c r="R1993">
        <v>171</v>
      </c>
      <c r="S1993">
        <v>3</v>
      </c>
      <c r="T1993">
        <v>0</v>
      </c>
      <c r="U1993">
        <v>43</v>
      </c>
      <c r="V1993">
        <v>0</v>
      </c>
      <c r="X1993">
        <v>1</v>
      </c>
      <c r="Y1993">
        <v>10</v>
      </c>
      <c r="Z1993">
        <v>0</v>
      </c>
      <c r="AC1993">
        <v>2</v>
      </c>
      <c r="AD1993">
        <v>1</v>
      </c>
      <c r="AE1993">
        <v>1</v>
      </c>
      <c r="AF1993">
        <v>0</v>
      </c>
      <c r="AG1993">
        <v>0</v>
      </c>
      <c r="AH1993">
        <v>2</v>
      </c>
      <c r="AI1993">
        <v>0</v>
      </c>
      <c r="AJ1993">
        <v>0</v>
      </c>
      <c r="AK1993">
        <v>0</v>
      </c>
      <c r="AL1993">
        <v>1</v>
      </c>
      <c r="AM1993">
        <v>1</v>
      </c>
      <c r="AN1993">
        <v>0</v>
      </c>
      <c r="BC1993">
        <v>0</v>
      </c>
      <c r="BD1993">
        <v>11</v>
      </c>
      <c r="BE1993">
        <v>378</v>
      </c>
      <c r="BF1993">
        <v>378</v>
      </c>
      <c r="BG1993">
        <v>514</v>
      </c>
      <c r="BJ1993">
        <v>1</v>
      </c>
      <c r="BL1993" t="s">
        <v>4157</v>
      </c>
      <c r="BM1993" s="4">
        <v>43283.397222222222</v>
      </c>
      <c r="BN1993" s="4">
        <v>43283.410856481481</v>
      </c>
      <c r="BO1993" s="4">
        <v>43283.410856481481</v>
      </c>
      <c r="BP1993" t="s">
        <v>92</v>
      </c>
      <c r="BQ1993" t="s">
        <v>93</v>
      </c>
      <c r="BR1993" t="s">
        <v>94</v>
      </c>
    </row>
    <row r="1994" spans="1:70" x14ac:dyDescent="0.3">
      <c r="A1994" t="str">
        <f>"201320C0200"</f>
        <v>201320C0200</v>
      </c>
      <c r="B1994" t="s">
        <v>4158</v>
      </c>
      <c r="C1994">
        <v>20</v>
      </c>
      <c r="D1994" t="s">
        <v>88</v>
      </c>
      <c r="E1994">
        <v>258</v>
      </c>
      <c r="F1994" t="s">
        <v>4154</v>
      </c>
      <c r="G1994">
        <v>1320</v>
      </c>
      <c r="H1994">
        <v>2</v>
      </c>
      <c r="I1994" t="s">
        <v>98</v>
      </c>
      <c r="J1994">
        <v>0</v>
      </c>
      <c r="K1994">
        <v>1</v>
      </c>
      <c r="L1994">
        <v>5</v>
      </c>
      <c r="M1994">
        <v>170</v>
      </c>
      <c r="N1994">
        <v>365</v>
      </c>
      <c r="O1994">
        <v>0</v>
      </c>
      <c r="P1994">
        <v>365</v>
      </c>
      <c r="Q1994">
        <v>124</v>
      </c>
      <c r="R1994">
        <v>178</v>
      </c>
      <c r="S1994">
        <v>0</v>
      </c>
      <c r="T1994">
        <v>1</v>
      </c>
      <c r="U1994">
        <v>28</v>
      </c>
      <c r="V1994">
        <v>0</v>
      </c>
      <c r="X1994">
        <v>1</v>
      </c>
      <c r="Y1994">
        <v>8</v>
      </c>
      <c r="Z1994">
        <v>0</v>
      </c>
      <c r="AC1994">
        <v>0</v>
      </c>
      <c r="AD1994">
        <v>0</v>
      </c>
      <c r="AE1994">
        <v>0</v>
      </c>
      <c r="AF1994">
        <v>0</v>
      </c>
      <c r="AG1994">
        <v>2</v>
      </c>
      <c r="AH1994">
        <v>8</v>
      </c>
      <c r="AI1994">
        <v>0</v>
      </c>
      <c r="AJ1994">
        <v>0</v>
      </c>
      <c r="AK1994">
        <v>0</v>
      </c>
      <c r="AL1994">
        <v>0</v>
      </c>
      <c r="AM1994">
        <v>0</v>
      </c>
      <c r="AN1994">
        <v>1</v>
      </c>
      <c r="BC1994">
        <v>0</v>
      </c>
      <c r="BD1994">
        <v>14</v>
      </c>
      <c r="BE1994">
        <v>365</v>
      </c>
      <c r="BF1994">
        <v>365</v>
      </c>
      <c r="BG1994">
        <v>513</v>
      </c>
      <c r="BJ1994">
        <v>1</v>
      </c>
      <c r="BL1994" t="s">
        <v>4159</v>
      </c>
      <c r="BM1994" s="4">
        <v>43283.401388888888</v>
      </c>
      <c r="BN1994" s="4">
        <v>43283.408530092594</v>
      </c>
      <c r="BO1994" s="4">
        <v>43283.408530092594</v>
      </c>
      <c r="BP1994" t="s">
        <v>92</v>
      </c>
      <c r="BQ1994" t="s">
        <v>93</v>
      </c>
      <c r="BR1994" t="s">
        <v>94</v>
      </c>
    </row>
    <row r="1995" spans="1:70" x14ac:dyDescent="0.3">
      <c r="A1995" t="str">
        <f>"201321B0100"</f>
        <v>201321B0100</v>
      </c>
      <c r="B1995" t="s">
        <v>4160</v>
      </c>
      <c r="C1995">
        <v>20</v>
      </c>
      <c r="D1995" t="s">
        <v>88</v>
      </c>
      <c r="E1995">
        <v>258</v>
      </c>
      <c r="F1995" t="s">
        <v>4154</v>
      </c>
      <c r="G1995">
        <v>1321</v>
      </c>
      <c r="H1995">
        <v>1</v>
      </c>
      <c r="I1995" t="s">
        <v>90</v>
      </c>
      <c r="J1995">
        <v>0</v>
      </c>
      <c r="K1995">
        <v>2</v>
      </c>
      <c r="L1995">
        <v>5</v>
      </c>
      <c r="M1995">
        <v>147</v>
      </c>
      <c r="N1995">
        <v>190</v>
      </c>
      <c r="O1995">
        <v>3</v>
      </c>
      <c r="P1995">
        <v>190</v>
      </c>
      <c r="Q1995">
        <v>85</v>
      </c>
      <c r="R1995">
        <v>78</v>
      </c>
      <c r="S1995">
        <v>6</v>
      </c>
      <c r="T1995">
        <v>0</v>
      </c>
      <c r="U1995">
        <v>6</v>
      </c>
      <c r="V1995">
        <v>0</v>
      </c>
      <c r="X1995">
        <v>0</v>
      </c>
      <c r="Y1995">
        <v>1</v>
      </c>
      <c r="Z1995">
        <v>1</v>
      </c>
      <c r="AC1995">
        <v>2</v>
      </c>
      <c r="AD1995">
        <v>0</v>
      </c>
      <c r="AE1995">
        <v>0</v>
      </c>
      <c r="AF1995">
        <v>0</v>
      </c>
      <c r="AG1995">
        <v>0</v>
      </c>
      <c r="AH1995">
        <v>3</v>
      </c>
      <c r="AI1995">
        <v>0</v>
      </c>
      <c r="AJ1995">
        <v>0</v>
      </c>
      <c r="AK1995">
        <v>2</v>
      </c>
      <c r="AL1995">
        <v>1</v>
      </c>
      <c r="AM1995">
        <v>0</v>
      </c>
      <c r="AN1995">
        <v>0</v>
      </c>
      <c r="BC1995">
        <v>0</v>
      </c>
      <c r="BD1995">
        <v>5</v>
      </c>
      <c r="BE1995">
        <v>190</v>
      </c>
      <c r="BF1995">
        <v>190</v>
      </c>
      <c r="BG1995">
        <v>315</v>
      </c>
      <c r="BJ1995">
        <v>1</v>
      </c>
      <c r="BL1995" t="s">
        <v>4161</v>
      </c>
      <c r="BM1995" s="4">
        <v>43283.241296296299</v>
      </c>
      <c r="BN1995" s="4">
        <v>43283.263703703706</v>
      </c>
      <c r="BO1995" s="4">
        <v>43283.263703703706</v>
      </c>
      <c r="BP1995" t="s">
        <v>339</v>
      </c>
      <c r="BQ1995" t="s">
        <v>340</v>
      </c>
      <c r="BR1995" t="s">
        <v>94</v>
      </c>
    </row>
    <row r="1996" spans="1:70" x14ac:dyDescent="0.3">
      <c r="A1996" t="str">
        <f>"201324B0100"</f>
        <v>201324B0100</v>
      </c>
      <c r="B1996" t="s">
        <v>4162</v>
      </c>
      <c r="C1996">
        <v>20</v>
      </c>
      <c r="D1996" t="s">
        <v>88</v>
      </c>
      <c r="E1996">
        <v>260</v>
      </c>
      <c r="F1996" t="s">
        <v>4163</v>
      </c>
      <c r="G1996">
        <v>1324</v>
      </c>
      <c r="H1996">
        <v>1</v>
      </c>
      <c r="I1996" t="s">
        <v>90</v>
      </c>
      <c r="J1996">
        <v>0</v>
      </c>
      <c r="K1996">
        <v>2</v>
      </c>
      <c r="L1996">
        <v>5</v>
      </c>
      <c r="M1996">
        <v>161</v>
      </c>
      <c r="N1996">
        <v>535</v>
      </c>
      <c r="O1996">
        <v>0</v>
      </c>
      <c r="P1996">
        <v>535</v>
      </c>
      <c r="Q1996">
        <v>188</v>
      </c>
      <c r="R1996">
        <v>123</v>
      </c>
      <c r="S1996">
        <v>9</v>
      </c>
      <c r="T1996">
        <v>6</v>
      </c>
      <c r="U1996">
        <v>170</v>
      </c>
      <c r="V1996">
        <v>0</v>
      </c>
      <c r="W1996">
        <v>2</v>
      </c>
      <c r="X1996">
        <v>0</v>
      </c>
      <c r="Y1996">
        <v>7</v>
      </c>
      <c r="Z1996">
        <v>2</v>
      </c>
      <c r="AC1996">
        <v>4</v>
      </c>
      <c r="AD1996">
        <v>2</v>
      </c>
      <c r="AE1996">
        <v>1</v>
      </c>
      <c r="AF1996">
        <v>0</v>
      </c>
      <c r="AK1996">
        <v>1</v>
      </c>
      <c r="AL1996">
        <v>1</v>
      </c>
      <c r="AM1996">
        <v>0</v>
      </c>
      <c r="AN1996">
        <v>0</v>
      </c>
      <c r="AT1996">
        <v>1</v>
      </c>
      <c r="BC1996">
        <v>1</v>
      </c>
      <c r="BD1996">
        <v>18</v>
      </c>
      <c r="BE1996">
        <v>535</v>
      </c>
      <c r="BF1996">
        <v>536</v>
      </c>
      <c r="BG1996">
        <v>674</v>
      </c>
      <c r="BJ1996">
        <v>1</v>
      </c>
      <c r="BL1996" t="s">
        <v>4164</v>
      </c>
      <c r="BM1996" s="4">
        <v>43283.568055555559</v>
      </c>
      <c r="BN1996" s="4">
        <v>43283.574166666665</v>
      </c>
      <c r="BO1996" s="4">
        <v>43283.574166666665</v>
      </c>
      <c r="BP1996" t="s">
        <v>92</v>
      </c>
      <c r="BQ1996" t="s">
        <v>93</v>
      </c>
      <c r="BR1996" t="s">
        <v>94</v>
      </c>
    </row>
    <row r="1997" spans="1:70" x14ac:dyDescent="0.3">
      <c r="A1997" t="str">
        <f>"201324E0100"</f>
        <v>201324E0100</v>
      </c>
      <c r="B1997" s="2" t="s">
        <v>4165</v>
      </c>
      <c r="C1997">
        <v>20</v>
      </c>
      <c r="D1997" t="s">
        <v>88</v>
      </c>
      <c r="E1997">
        <v>260</v>
      </c>
      <c r="F1997" t="s">
        <v>4163</v>
      </c>
      <c r="G1997">
        <v>1324</v>
      </c>
      <c r="H1997">
        <v>1</v>
      </c>
      <c r="I1997" t="s">
        <v>156</v>
      </c>
      <c r="J1997">
        <v>0</v>
      </c>
      <c r="K1997">
        <v>2</v>
      </c>
      <c r="L1997">
        <v>5</v>
      </c>
      <c r="M1997">
        <v>71</v>
      </c>
      <c r="N1997">
        <v>217</v>
      </c>
      <c r="O1997">
        <v>2</v>
      </c>
      <c r="P1997">
        <v>217</v>
      </c>
      <c r="Q1997">
        <v>186</v>
      </c>
      <c r="R1997">
        <v>3</v>
      </c>
      <c r="S1997">
        <v>1</v>
      </c>
      <c r="T1997">
        <v>1</v>
      </c>
      <c r="U1997">
        <v>6</v>
      </c>
      <c r="V1997">
        <v>0</v>
      </c>
      <c r="W1997">
        <v>4</v>
      </c>
      <c r="X1997">
        <v>3</v>
      </c>
      <c r="Y1997">
        <v>3</v>
      </c>
      <c r="Z1997">
        <v>0</v>
      </c>
      <c r="AC1997">
        <v>1</v>
      </c>
      <c r="AD1997">
        <v>4</v>
      </c>
      <c r="AE1997">
        <v>0</v>
      </c>
      <c r="AF1997">
        <v>0</v>
      </c>
      <c r="AK1997">
        <v>0</v>
      </c>
      <c r="AL1997">
        <v>0</v>
      </c>
      <c r="AM1997">
        <v>0</v>
      </c>
      <c r="AN1997">
        <v>0</v>
      </c>
      <c r="AT1997">
        <v>0</v>
      </c>
      <c r="BC1997">
        <v>0</v>
      </c>
      <c r="BD1997">
        <v>4</v>
      </c>
      <c r="BE1997">
        <v>216</v>
      </c>
      <c r="BF1997">
        <v>216</v>
      </c>
      <c r="BG1997">
        <v>265</v>
      </c>
      <c r="BJ1997">
        <v>1</v>
      </c>
      <c r="BL1997" t="s">
        <v>4166</v>
      </c>
      <c r="BM1997" s="4">
        <v>43283.570833333331</v>
      </c>
      <c r="BN1997" s="4">
        <v>43283.577939814815</v>
      </c>
      <c r="BO1997" s="4">
        <v>43283.577939814815</v>
      </c>
      <c r="BP1997" t="s">
        <v>92</v>
      </c>
      <c r="BQ1997" t="s">
        <v>93</v>
      </c>
      <c r="BR1997" t="s">
        <v>94</v>
      </c>
    </row>
    <row r="1998" spans="1:70" x14ac:dyDescent="0.3">
      <c r="A1998" t="str">
        <f>"201325B0100"</f>
        <v>201325B0100</v>
      </c>
      <c r="B1998" t="s">
        <v>4167</v>
      </c>
      <c r="C1998">
        <v>20</v>
      </c>
      <c r="D1998" t="s">
        <v>88</v>
      </c>
      <c r="E1998">
        <v>260</v>
      </c>
      <c r="F1998" t="s">
        <v>4163</v>
      </c>
      <c r="G1998">
        <v>1325</v>
      </c>
      <c r="H1998">
        <v>1</v>
      </c>
      <c r="I1998" t="s">
        <v>90</v>
      </c>
      <c r="J1998">
        <v>0</v>
      </c>
      <c r="K1998">
        <v>2</v>
      </c>
      <c r="L1998">
        <v>5</v>
      </c>
      <c r="M1998">
        <v>177</v>
      </c>
      <c r="N1998">
        <v>337</v>
      </c>
      <c r="O1998">
        <v>1</v>
      </c>
      <c r="P1998">
        <v>336</v>
      </c>
      <c r="Q1998">
        <v>59</v>
      </c>
      <c r="R1998">
        <v>80</v>
      </c>
      <c r="S1998">
        <v>2</v>
      </c>
      <c r="T1998">
        <v>29</v>
      </c>
      <c r="U1998">
        <v>109</v>
      </c>
      <c r="V1998">
        <v>0</v>
      </c>
      <c r="W1998">
        <v>2</v>
      </c>
      <c r="X1998">
        <v>1</v>
      </c>
      <c r="Y1998">
        <v>18</v>
      </c>
      <c r="Z1998">
        <v>1</v>
      </c>
      <c r="AC1998">
        <v>0</v>
      </c>
      <c r="AD1998">
        <v>0</v>
      </c>
      <c r="AE1998">
        <v>0</v>
      </c>
      <c r="AF1998">
        <v>0</v>
      </c>
      <c r="AK1998">
        <v>7</v>
      </c>
      <c r="AL1998">
        <v>8</v>
      </c>
      <c r="AM1998">
        <v>1</v>
      </c>
      <c r="AN1998">
        <v>0</v>
      </c>
      <c r="AT1998">
        <v>1</v>
      </c>
      <c r="BC1998" t="s">
        <v>105</v>
      </c>
      <c r="BD1998">
        <v>18</v>
      </c>
      <c r="BE1998">
        <v>514</v>
      </c>
      <c r="BF1998">
        <v>336</v>
      </c>
      <c r="BG1998">
        <v>492</v>
      </c>
      <c r="BI1998" t="s">
        <v>106</v>
      </c>
      <c r="BJ1998">
        <v>1</v>
      </c>
      <c r="BL1998" t="s">
        <v>4168</v>
      </c>
      <c r="BM1998" s="4">
        <v>43283.588888888888</v>
      </c>
      <c r="BN1998" s="4">
        <v>43283.594201388885</v>
      </c>
      <c r="BO1998" s="4">
        <v>43283.594201388885</v>
      </c>
      <c r="BP1998" t="s">
        <v>92</v>
      </c>
      <c r="BQ1998" t="s">
        <v>93</v>
      </c>
      <c r="BR1998" t="s">
        <v>94</v>
      </c>
    </row>
    <row r="1999" spans="1:70" x14ac:dyDescent="0.3">
      <c r="A1999" t="str">
        <f>"201325C0100"</f>
        <v>201325C0100</v>
      </c>
      <c r="B1999" t="s">
        <v>4169</v>
      </c>
      <c r="C1999">
        <v>20</v>
      </c>
      <c r="D1999" t="s">
        <v>88</v>
      </c>
      <c r="E1999">
        <v>260</v>
      </c>
      <c r="F1999" t="s">
        <v>4163</v>
      </c>
      <c r="G1999">
        <v>1325</v>
      </c>
      <c r="H1999">
        <v>1</v>
      </c>
      <c r="I1999" t="s">
        <v>98</v>
      </c>
      <c r="J1999">
        <v>0</v>
      </c>
      <c r="K1999">
        <v>2</v>
      </c>
      <c r="L1999">
        <v>5</v>
      </c>
      <c r="M1999">
        <v>200</v>
      </c>
      <c r="N1999">
        <v>313</v>
      </c>
      <c r="O1999">
        <v>0</v>
      </c>
      <c r="P1999" t="s">
        <v>105</v>
      </c>
      <c r="Q1999">
        <v>47</v>
      </c>
      <c r="R1999">
        <v>85</v>
      </c>
      <c r="S1999">
        <v>4</v>
      </c>
      <c r="T1999">
        <v>20</v>
      </c>
      <c r="U1999">
        <v>109</v>
      </c>
      <c r="V1999">
        <v>0</v>
      </c>
      <c r="W1999">
        <v>1</v>
      </c>
      <c r="X1999">
        <v>0</v>
      </c>
      <c r="Y1999">
        <v>11</v>
      </c>
      <c r="Z1999">
        <v>0</v>
      </c>
      <c r="AC1999">
        <v>2</v>
      </c>
      <c r="AD1999">
        <v>2</v>
      </c>
      <c r="AE1999">
        <v>0</v>
      </c>
      <c r="AF1999">
        <v>0</v>
      </c>
      <c r="AK1999">
        <v>9</v>
      </c>
      <c r="AL1999">
        <v>2</v>
      </c>
      <c r="AM1999">
        <v>0</v>
      </c>
      <c r="AN1999">
        <v>0</v>
      </c>
      <c r="AT1999">
        <v>12</v>
      </c>
      <c r="BC1999" t="s">
        <v>105</v>
      </c>
      <c r="BD1999">
        <v>10</v>
      </c>
      <c r="BE1999">
        <v>314</v>
      </c>
      <c r="BF1999">
        <v>314</v>
      </c>
      <c r="BG1999">
        <v>491</v>
      </c>
      <c r="BI1999" t="s">
        <v>106</v>
      </c>
      <c r="BJ1999">
        <v>1</v>
      </c>
      <c r="BL1999" t="s">
        <v>4170</v>
      </c>
      <c r="BM1999" s="4">
        <v>43283.568055555559</v>
      </c>
      <c r="BN1999" s="4">
        <v>43283.573495370372</v>
      </c>
      <c r="BO1999" s="4">
        <v>43283.573495370372</v>
      </c>
      <c r="BP1999" t="s">
        <v>92</v>
      </c>
      <c r="BQ1999" t="s">
        <v>93</v>
      </c>
      <c r="BR1999" t="s">
        <v>94</v>
      </c>
    </row>
    <row r="2000" spans="1:70" x14ac:dyDescent="0.3">
      <c r="A2000" t="str">
        <f>"201326B0100"</f>
        <v>201326B0100</v>
      </c>
      <c r="B2000" t="s">
        <v>4171</v>
      </c>
      <c r="C2000">
        <v>20</v>
      </c>
      <c r="D2000" t="s">
        <v>88</v>
      </c>
      <c r="E2000">
        <v>260</v>
      </c>
      <c r="F2000" t="s">
        <v>4163</v>
      </c>
      <c r="G2000">
        <v>1326</v>
      </c>
      <c r="H2000">
        <v>1</v>
      </c>
      <c r="I2000" t="s">
        <v>90</v>
      </c>
      <c r="J2000">
        <v>0</v>
      </c>
      <c r="K2000">
        <v>2</v>
      </c>
      <c r="L2000">
        <v>5</v>
      </c>
      <c r="M2000">
        <v>100</v>
      </c>
      <c r="N2000">
        <v>400</v>
      </c>
      <c r="O2000">
        <v>3</v>
      </c>
      <c r="P2000">
        <v>400</v>
      </c>
      <c r="Q2000">
        <v>73</v>
      </c>
      <c r="R2000">
        <v>126</v>
      </c>
      <c r="S2000">
        <v>1</v>
      </c>
      <c r="T2000">
        <v>10</v>
      </c>
      <c r="U2000">
        <v>96</v>
      </c>
      <c r="V2000" t="s">
        <v>105</v>
      </c>
      <c r="W2000">
        <v>1</v>
      </c>
      <c r="X2000" t="s">
        <v>105</v>
      </c>
      <c r="Y2000">
        <v>27</v>
      </c>
      <c r="Z2000">
        <v>3</v>
      </c>
      <c r="AC2000" t="s">
        <v>105</v>
      </c>
      <c r="AD2000" t="s">
        <v>105</v>
      </c>
      <c r="AE2000" t="s">
        <v>105</v>
      </c>
      <c r="AF2000" t="s">
        <v>105</v>
      </c>
      <c r="AK2000" t="s">
        <v>105</v>
      </c>
      <c r="AL2000">
        <v>1</v>
      </c>
      <c r="AM2000" t="s">
        <v>105</v>
      </c>
      <c r="AN2000" t="s">
        <v>105</v>
      </c>
      <c r="AT2000">
        <v>3</v>
      </c>
      <c r="BC2000">
        <v>6</v>
      </c>
      <c r="BD2000">
        <v>0</v>
      </c>
      <c r="BE2000">
        <v>347</v>
      </c>
      <c r="BF2000">
        <v>347</v>
      </c>
      <c r="BG2000">
        <v>425</v>
      </c>
      <c r="BI2000" t="s">
        <v>106</v>
      </c>
      <c r="BJ2000">
        <v>1</v>
      </c>
      <c r="BL2000" t="s">
        <v>4172</v>
      </c>
      <c r="BM2000" s="4">
        <v>43283.571527777778</v>
      </c>
      <c r="BN2000" s="4">
        <v>43283.583680555559</v>
      </c>
      <c r="BO2000" s="4">
        <v>43283.583680555559</v>
      </c>
      <c r="BP2000" t="s">
        <v>92</v>
      </c>
      <c r="BQ2000" t="s">
        <v>93</v>
      </c>
      <c r="BR2000" t="s">
        <v>94</v>
      </c>
    </row>
    <row r="2001" spans="1:70" x14ac:dyDescent="0.3">
      <c r="A2001" t="str">
        <f>"201326E0100"</f>
        <v>201326E0100</v>
      </c>
      <c r="B2001" s="2" t="s">
        <v>4173</v>
      </c>
      <c r="C2001">
        <v>20</v>
      </c>
      <c r="D2001" t="s">
        <v>88</v>
      </c>
      <c r="E2001">
        <v>260</v>
      </c>
      <c r="F2001" t="s">
        <v>4163</v>
      </c>
      <c r="G2001">
        <v>1326</v>
      </c>
      <c r="H2001">
        <v>1</v>
      </c>
      <c r="I2001" t="s">
        <v>156</v>
      </c>
      <c r="J2001">
        <v>0</v>
      </c>
      <c r="K2001">
        <v>2</v>
      </c>
      <c r="L2001">
        <v>5</v>
      </c>
      <c r="M2001">
        <v>166</v>
      </c>
      <c r="N2001">
        <v>524</v>
      </c>
      <c r="O2001">
        <v>2</v>
      </c>
      <c r="P2001">
        <v>524</v>
      </c>
      <c r="Q2001">
        <v>148</v>
      </c>
      <c r="R2001">
        <v>201</v>
      </c>
      <c r="S2001">
        <v>3</v>
      </c>
      <c r="T2001" t="s">
        <v>105</v>
      </c>
      <c r="U2001">
        <v>123</v>
      </c>
      <c r="V2001">
        <v>2</v>
      </c>
      <c r="W2001">
        <v>7</v>
      </c>
      <c r="X2001" t="s">
        <v>105</v>
      </c>
      <c r="Y2001">
        <v>9</v>
      </c>
      <c r="Z2001">
        <v>3</v>
      </c>
      <c r="AC2001">
        <v>3</v>
      </c>
      <c r="AD2001" t="s">
        <v>105</v>
      </c>
      <c r="AE2001" t="s">
        <v>105</v>
      </c>
      <c r="AF2001" t="s">
        <v>105</v>
      </c>
      <c r="AK2001" t="s">
        <v>105</v>
      </c>
      <c r="AL2001" t="s">
        <v>105</v>
      </c>
      <c r="AM2001" t="s">
        <v>105</v>
      </c>
      <c r="AN2001" t="s">
        <v>105</v>
      </c>
      <c r="AT2001">
        <v>2</v>
      </c>
      <c r="BC2001" t="s">
        <v>105</v>
      </c>
      <c r="BD2001">
        <v>23</v>
      </c>
      <c r="BE2001">
        <v>524</v>
      </c>
      <c r="BF2001">
        <v>524</v>
      </c>
      <c r="BG2001">
        <v>668</v>
      </c>
      <c r="BI2001" t="s">
        <v>106</v>
      </c>
      <c r="BJ2001">
        <v>1</v>
      </c>
      <c r="BL2001" t="s">
        <v>4174</v>
      </c>
      <c r="BM2001" s="4">
        <v>43283.568055555559</v>
      </c>
      <c r="BN2001" s="4">
        <v>43283.573240740741</v>
      </c>
      <c r="BO2001" s="4">
        <v>43283.573240740741</v>
      </c>
      <c r="BP2001" t="s">
        <v>92</v>
      </c>
      <c r="BQ2001" t="s">
        <v>93</v>
      </c>
      <c r="BR2001" t="s">
        <v>94</v>
      </c>
    </row>
    <row r="2002" spans="1:70" x14ac:dyDescent="0.3">
      <c r="A2002" t="str">
        <f>"201327B0100"</f>
        <v>201327B0100</v>
      </c>
      <c r="B2002" t="s">
        <v>4175</v>
      </c>
      <c r="C2002">
        <v>20</v>
      </c>
      <c r="D2002" t="s">
        <v>88</v>
      </c>
      <c r="E2002">
        <v>260</v>
      </c>
      <c r="F2002" t="s">
        <v>4163</v>
      </c>
      <c r="G2002">
        <v>1327</v>
      </c>
      <c r="H2002">
        <v>1</v>
      </c>
      <c r="I2002" t="s">
        <v>90</v>
      </c>
      <c r="J2002">
        <v>0</v>
      </c>
      <c r="K2002">
        <v>2</v>
      </c>
      <c r="L2002">
        <v>5</v>
      </c>
      <c r="M2002">
        <v>135</v>
      </c>
      <c r="N2002">
        <v>353</v>
      </c>
      <c r="O2002">
        <v>3</v>
      </c>
      <c r="P2002">
        <v>353</v>
      </c>
      <c r="Q2002">
        <v>71</v>
      </c>
      <c r="R2002">
        <v>113</v>
      </c>
      <c r="S2002">
        <v>19</v>
      </c>
      <c r="T2002">
        <v>5</v>
      </c>
      <c r="U2002">
        <v>112</v>
      </c>
      <c r="V2002">
        <v>2</v>
      </c>
      <c r="W2002">
        <v>1</v>
      </c>
      <c r="X2002">
        <v>1</v>
      </c>
      <c r="Y2002">
        <v>14</v>
      </c>
      <c r="Z2002">
        <v>0</v>
      </c>
      <c r="AC2002">
        <v>2</v>
      </c>
      <c r="AD2002">
        <v>1</v>
      </c>
      <c r="AE2002">
        <v>1</v>
      </c>
      <c r="AF2002">
        <v>0</v>
      </c>
      <c r="AK2002">
        <v>2</v>
      </c>
      <c r="AL2002">
        <v>0</v>
      </c>
      <c r="AM2002">
        <v>1</v>
      </c>
      <c r="AN2002">
        <v>0</v>
      </c>
      <c r="AT2002">
        <v>0</v>
      </c>
      <c r="BC2002">
        <v>0</v>
      </c>
      <c r="BD2002">
        <v>9</v>
      </c>
      <c r="BE2002">
        <v>353</v>
      </c>
      <c r="BF2002">
        <v>354</v>
      </c>
      <c r="BG2002">
        <v>465</v>
      </c>
      <c r="BJ2002">
        <v>1</v>
      </c>
      <c r="BL2002" t="s">
        <v>4176</v>
      </c>
      <c r="BM2002" s="4">
        <v>43283.570138888892</v>
      </c>
      <c r="BN2002" s="4">
        <v>43283.573738425926</v>
      </c>
      <c r="BO2002" s="4">
        <v>43283.573738425926</v>
      </c>
      <c r="BP2002" t="s">
        <v>92</v>
      </c>
      <c r="BQ2002" t="s">
        <v>93</v>
      </c>
      <c r="BR2002" t="s">
        <v>94</v>
      </c>
    </row>
    <row r="2003" spans="1:70" x14ac:dyDescent="0.3">
      <c r="A2003" t="str">
        <f>"201327E0100"</f>
        <v>201327E0100</v>
      </c>
      <c r="B2003" s="2" t="s">
        <v>4177</v>
      </c>
      <c r="C2003">
        <v>20</v>
      </c>
      <c r="D2003" t="s">
        <v>88</v>
      </c>
      <c r="E2003">
        <v>260</v>
      </c>
      <c r="F2003" t="s">
        <v>4163</v>
      </c>
      <c r="G2003">
        <v>1327</v>
      </c>
      <c r="H2003">
        <v>1</v>
      </c>
      <c r="I2003" t="s">
        <v>156</v>
      </c>
      <c r="J2003">
        <v>0</v>
      </c>
      <c r="K2003">
        <v>2</v>
      </c>
      <c r="L2003">
        <v>5</v>
      </c>
      <c r="M2003">
        <v>63</v>
      </c>
      <c r="N2003">
        <v>161</v>
      </c>
      <c r="O2003">
        <v>0</v>
      </c>
      <c r="P2003" t="s">
        <v>127</v>
      </c>
      <c r="Q2003">
        <v>72</v>
      </c>
      <c r="R2003">
        <v>20</v>
      </c>
      <c r="S2003" t="s">
        <v>105</v>
      </c>
      <c r="T2003" t="s">
        <v>105</v>
      </c>
      <c r="U2003">
        <v>60</v>
      </c>
      <c r="V2003" t="s">
        <v>105</v>
      </c>
      <c r="W2003" t="s">
        <v>105</v>
      </c>
      <c r="X2003">
        <v>1</v>
      </c>
      <c r="Y2003" t="s">
        <v>105</v>
      </c>
      <c r="Z2003" t="s">
        <v>105</v>
      </c>
      <c r="AC2003" t="s">
        <v>105</v>
      </c>
      <c r="AD2003" t="s">
        <v>105</v>
      </c>
      <c r="AE2003" t="s">
        <v>105</v>
      </c>
      <c r="AF2003" t="s">
        <v>105</v>
      </c>
      <c r="AK2003">
        <v>2</v>
      </c>
      <c r="AL2003" t="s">
        <v>105</v>
      </c>
      <c r="AM2003" t="s">
        <v>105</v>
      </c>
      <c r="AN2003" t="s">
        <v>105</v>
      </c>
      <c r="AT2003" t="s">
        <v>105</v>
      </c>
      <c r="BC2003" t="s">
        <v>105</v>
      </c>
      <c r="BD2003">
        <v>6</v>
      </c>
      <c r="BE2003">
        <v>161</v>
      </c>
      <c r="BF2003">
        <v>161</v>
      </c>
      <c r="BG2003">
        <v>202</v>
      </c>
      <c r="BI2003" t="s">
        <v>106</v>
      </c>
      <c r="BJ2003">
        <v>1</v>
      </c>
      <c r="BL2003" t="s">
        <v>4178</v>
      </c>
      <c r="BM2003" s="4">
        <v>43283.568749999999</v>
      </c>
      <c r="BN2003" s="4">
        <v>43283.576886574076</v>
      </c>
      <c r="BO2003" s="4">
        <v>43283.576886574076</v>
      </c>
      <c r="BP2003" t="s">
        <v>92</v>
      </c>
      <c r="BQ2003" t="s">
        <v>93</v>
      </c>
      <c r="BR2003" t="s">
        <v>94</v>
      </c>
    </row>
    <row r="2004" spans="1:70" x14ac:dyDescent="0.3">
      <c r="A2004" t="str">
        <f>"201328B0100"</f>
        <v>201328B0100</v>
      </c>
      <c r="B2004" t="s">
        <v>4179</v>
      </c>
      <c r="C2004">
        <v>20</v>
      </c>
      <c r="D2004" t="s">
        <v>88</v>
      </c>
      <c r="E2004">
        <v>260</v>
      </c>
      <c r="F2004" t="s">
        <v>4163</v>
      </c>
      <c r="G2004">
        <v>1328</v>
      </c>
      <c r="H2004">
        <v>1</v>
      </c>
      <c r="I2004" t="s">
        <v>90</v>
      </c>
      <c r="J2004">
        <v>0</v>
      </c>
      <c r="K2004">
        <v>2</v>
      </c>
      <c r="L2004">
        <v>5</v>
      </c>
      <c r="M2004">
        <v>42</v>
      </c>
      <c r="N2004">
        <v>132</v>
      </c>
      <c r="O2004">
        <v>2</v>
      </c>
      <c r="P2004">
        <v>132</v>
      </c>
      <c r="Q2004">
        <v>31</v>
      </c>
      <c r="R2004">
        <v>43</v>
      </c>
      <c r="S2004">
        <v>14</v>
      </c>
      <c r="T2004">
        <v>1</v>
      </c>
      <c r="U2004">
        <v>27</v>
      </c>
      <c r="V2004">
        <v>1</v>
      </c>
      <c r="W2004">
        <v>6</v>
      </c>
      <c r="X2004">
        <v>0</v>
      </c>
      <c r="Y2004">
        <v>2</v>
      </c>
      <c r="Z2004">
        <v>1</v>
      </c>
      <c r="AC2004">
        <v>0</v>
      </c>
      <c r="AD2004">
        <v>0</v>
      </c>
      <c r="AE2004">
        <v>0</v>
      </c>
      <c r="AF2004">
        <v>0</v>
      </c>
      <c r="AK2004">
        <v>1</v>
      </c>
      <c r="AL2004">
        <v>1</v>
      </c>
      <c r="AM2004">
        <v>0</v>
      </c>
      <c r="AN2004">
        <v>0</v>
      </c>
      <c r="AT2004">
        <v>0</v>
      </c>
      <c r="BC2004">
        <v>0</v>
      </c>
      <c r="BD2004">
        <v>4</v>
      </c>
      <c r="BE2004">
        <v>132</v>
      </c>
      <c r="BF2004">
        <v>132</v>
      </c>
      <c r="BG2004">
        <v>152</v>
      </c>
      <c r="BJ2004">
        <v>1</v>
      </c>
      <c r="BL2004" t="s">
        <v>4180</v>
      </c>
      <c r="BM2004" s="4">
        <v>43283.570833333331</v>
      </c>
      <c r="BN2004" s="4">
        <v>43283.575266203705</v>
      </c>
      <c r="BO2004" s="4">
        <v>43283.575266203705</v>
      </c>
      <c r="BP2004" t="s">
        <v>92</v>
      </c>
      <c r="BQ2004" t="s">
        <v>93</v>
      </c>
      <c r="BR2004" t="s">
        <v>94</v>
      </c>
    </row>
    <row r="2005" spans="1:70" x14ac:dyDescent="0.3">
      <c r="A2005" t="str">
        <f>"201329B0100"</f>
        <v>201329B0100</v>
      </c>
      <c r="B2005" t="s">
        <v>4181</v>
      </c>
      <c r="C2005">
        <v>20</v>
      </c>
      <c r="D2005" t="s">
        <v>88</v>
      </c>
      <c r="E2005">
        <v>260</v>
      </c>
      <c r="F2005" t="s">
        <v>4163</v>
      </c>
      <c r="G2005">
        <v>1329</v>
      </c>
      <c r="H2005">
        <v>1</v>
      </c>
      <c r="I2005" t="s">
        <v>90</v>
      </c>
      <c r="J2005">
        <v>0</v>
      </c>
      <c r="K2005">
        <v>2</v>
      </c>
      <c r="L2005">
        <v>5</v>
      </c>
      <c r="BG2005">
        <v>254</v>
      </c>
      <c r="BI2005" t="s">
        <v>122</v>
      </c>
      <c r="BJ2005">
        <v>0</v>
      </c>
      <c r="BL2005" t="s">
        <v>4182</v>
      </c>
      <c r="BM2005" s="4">
        <v>43283.808333333334</v>
      </c>
      <c r="BN2005" s="4">
        <v>43283.809467592589</v>
      </c>
      <c r="BO2005" s="4">
        <v>43283.809467592589</v>
      </c>
      <c r="BP2005" t="s">
        <v>92</v>
      </c>
      <c r="BQ2005" t="s">
        <v>93</v>
      </c>
      <c r="BR2005" t="s">
        <v>94</v>
      </c>
    </row>
    <row r="2006" spans="1:70" x14ac:dyDescent="0.3">
      <c r="A2006" t="str">
        <f>"201330B0100"</f>
        <v>201330B0100</v>
      </c>
      <c r="B2006" t="s">
        <v>4183</v>
      </c>
      <c r="C2006">
        <v>20</v>
      </c>
      <c r="D2006" t="s">
        <v>88</v>
      </c>
      <c r="E2006">
        <v>260</v>
      </c>
      <c r="F2006" t="s">
        <v>4163</v>
      </c>
      <c r="G2006">
        <v>1330</v>
      </c>
      <c r="H2006">
        <v>1</v>
      </c>
      <c r="I2006" t="s">
        <v>90</v>
      </c>
      <c r="J2006">
        <v>0</v>
      </c>
      <c r="K2006">
        <v>2</v>
      </c>
      <c r="L2006">
        <v>5</v>
      </c>
      <c r="M2006">
        <v>89</v>
      </c>
      <c r="N2006">
        <v>253</v>
      </c>
      <c r="O2006">
        <v>0</v>
      </c>
      <c r="P2006">
        <v>253</v>
      </c>
      <c r="Q2006">
        <v>129</v>
      </c>
      <c r="R2006">
        <v>51</v>
      </c>
      <c r="S2006">
        <v>0</v>
      </c>
      <c r="T2006">
        <v>12</v>
      </c>
      <c r="U2006">
        <v>19</v>
      </c>
      <c r="V2006">
        <v>0</v>
      </c>
      <c r="W2006">
        <v>1</v>
      </c>
      <c r="X2006">
        <v>1</v>
      </c>
      <c r="Y2006">
        <v>8</v>
      </c>
      <c r="Z2006">
        <v>1</v>
      </c>
      <c r="AC2006">
        <v>1</v>
      </c>
      <c r="AD2006">
        <v>2</v>
      </c>
      <c r="AE2006">
        <v>2</v>
      </c>
      <c r="AF2006">
        <v>0</v>
      </c>
      <c r="AK2006">
        <v>1</v>
      </c>
      <c r="AL2006">
        <v>7</v>
      </c>
      <c r="AM2006">
        <v>0</v>
      </c>
      <c r="AN2006">
        <v>0</v>
      </c>
      <c r="AT2006">
        <v>3</v>
      </c>
      <c r="BC2006">
        <v>0</v>
      </c>
      <c r="BD2006">
        <v>15</v>
      </c>
      <c r="BE2006">
        <v>253</v>
      </c>
      <c r="BF2006">
        <v>253</v>
      </c>
      <c r="BG2006">
        <v>320</v>
      </c>
      <c r="BJ2006">
        <v>1</v>
      </c>
      <c r="BL2006" t="s">
        <v>4184</v>
      </c>
      <c r="BM2006" s="4">
        <v>43283.569444444445</v>
      </c>
      <c r="BN2006" s="4">
        <v>43283.577222222222</v>
      </c>
      <c r="BO2006" s="4">
        <v>43283.577222222222</v>
      </c>
      <c r="BP2006" t="s">
        <v>92</v>
      </c>
      <c r="BQ2006" t="s">
        <v>93</v>
      </c>
      <c r="BR2006" t="s">
        <v>94</v>
      </c>
    </row>
    <row r="2007" spans="1:70" x14ac:dyDescent="0.3">
      <c r="A2007" t="str">
        <f>"201331B0100"</f>
        <v>201331B0100</v>
      </c>
      <c r="B2007" t="s">
        <v>4185</v>
      </c>
      <c r="C2007">
        <v>20</v>
      </c>
      <c r="D2007" t="s">
        <v>88</v>
      </c>
      <c r="E2007">
        <v>260</v>
      </c>
      <c r="F2007" t="s">
        <v>4163</v>
      </c>
      <c r="G2007">
        <v>1331</v>
      </c>
      <c r="H2007">
        <v>1</v>
      </c>
      <c r="I2007" t="s">
        <v>90</v>
      </c>
      <c r="J2007">
        <v>0</v>
      </c>
      <c r="K2007">
        <v>2</v>
      </c>
      <c r="L2007">
        <v>5</v>
      </c>
      <c r="M2007" t="s">
        <v>105</v>
      </c>
      <c r="N2007" t="s">
        <v>105</v>
      </c>
      <c r="O2007" t="s">
        <v>105</v>
      </c>
      <c r="P2007" t="s">
        <v>105</v>
      </c>
      <c r="Q2007">
        <v>61</v>
      </c>
      <c r="R2007">
        <v>133</v>
      </c>
      <c r="S2007">
        <v>21</v>
      </c>
      <c r="T2007">
        <v>70</v>
      </c>
      <c r="U2007">
        <v>95</v>
      </c>
      <c r="V2007">
        <v>1</v>
      </c>
      <c r="W2007">
        <v>1</v>
      </c>
      <c r="X2007">
        <v>0</v>
      </c>
      <c r="Y2007">
        <v>3</v>
      </c>
      <c r="Z2007">
        <v>18</v>
      </c>
      <c r="AC2007">
        <v>0</v>
      </c>
      <c r="AD2007">
        <v>0</v>
      </c>
      <c r="AE2007">
        <v>0</v>
      </c>
      <c r="AF2007">
        <v>0</v>
      </c>
      <c r="AK2007">
        <v>0</v>
      </c>
      <c r="AL2007">
        <v>0</v>
      </c>
      <c r="AM2007">
        <v>0</v>
      </c>
      <c r="AN2007">
        <v>0</v>
      </c>
      <c r="AT2007">
        <v>1</v>
      </c>
      <c r="BC2007">
        <v>0</v>
      </c>
      <c r="BD2007">
        <v>9</v>
      </c>
      <c r="BE2007">
        <v>445</v>
      </c>
      <c r="BF2007">
        <v>413</v>
      </c>
      <c r="BG2007">
        <v>582</v>
      </c>
      <c r="BJ2007">
        <v>1</v>
      </c>
      <c r="BL2007" t="s">
        <v>4186</v>
      </c>
      <c r="BM2007" s="4">
        <v>43283.568749999999</v>
      </c>
      <c r="BN2007" s="4">
        <v>43283.578113425923</v>
      </c>
      <c r="BO2007" s="4">
        <v>43283.578113425923</v>
      </c>
      <c r="BP2007" t="s">
        <v>92</v>
      </c>
      <c r="BQ2007" t="s">
        <v>93</v>
      </c>
      <c r="BR2007" t="s">
        <v>94</v>
      </c>
    </row>
    <row r="2008" spans="1:70" x14ac:dyDescent="0.3">
      <c r="A2008" t="str">
        <f>"201332B0100"</f>
        <v>201332B0100</v>
      </c>
      <c r="B2008" t="s">
        <v>4187</v>
      </c>
      <c r="C2008">
        <v>20</v>
      </c>
      <c r="D2008" t="s">
        <v>88</v>
      </c>
      <c r="E2008">
        <v>260</v>
      </c>
      <c r="F2008" t="s">
        <v>4163</v>
      </c>
      <c r="G2008">
        <v>1332</v>
      </c>
      <c r="H2008">
        <v>1</v>
      </c>
      <c r="I2008" t="s">
        <v>90</v>
      </c>
      <c r="J2008">
        <v>0</v>
      </c>
      <c r="K2008">
        <v>2</v>
      </c>
      <c r="L2008">
        <v>5</v>
      </c>
      <c r="M2008">
        <v>74</v>
      </c>
      <c r="N2008">
        <v>92</v>
      </c>
      <c r="O2008">
        <v>1</v>
      </c>
      <c r="P2008">
        <v>92</v>
      </c>
      <c r="Q2008">
        <v>40</v>
      </c>
      <c r="R2008">
        <v>34</v>
      </c>
      <c r="S2008">
        <v>0</v>
      </c>
      <c r="T2008">
        <v>0</v>
      </c>
      <c r="U2008">
        <v>6</v>
      </c>
      <c r="V2008">
        <v>0</v>
      </c>
      <c r="W2008">
        <v>0</v>
      </c>
      <c r="X2008">
        <v>0</v>
      </c>
      <c r="Y2008">
        <v>4</v>
      </c>
      <c r="Z2008">
        <v>2</v>
      </c>
      <c r="AC2008">
        <v>0</v>
      </c>
      <c r="AD2008">
        <v>0</v>
      </c>
      <c r="AE2008">
        <v>1</v>
      </c>
      <c r="AF2008">
        <v>0</v>
      </c>
      <c r="AK2008">
        <v>0</v>
      </c>
      <c r="AL2008">
        <v>0</v>
      </c>
      <c r="AM2008">
        <v>2</v>
      </c>
      <c r="AN2008">
        <v>0</v>
      </c>
      <c r="AT2008">
        <v>1</v>
      </c>
      <c r="BC2008">
        <v>0</v>
      </c>
      <c r="BD2008">
        <v>2</v>
      </c>
      <c r="BE2008">
        <v>92</v>
      </c>
      <c r="BF2008">
        <v>92</v>
      </c>
      <c r="BG2008">
        <v>145</v>
      </c>
      <c r="BJ2008">
        <v>1</v>
      </c>
      <c r="BL2008" t="s">
        <v>4188</v>
      </c>
      <c r="BM2008" s="4">
        <v>43283.569444444445</v>
      </c>
      <c r="BN2008" s="4">
        <v>43283.573738425926</v>
      </c>
      <c r="BO2008" s="4">
        <v>43283.573738425926</v>
      </c>
      <c r="BP2008" t="s">
        <v>92</v>
      </c>
      <c r="BQ2008" t="s">
        <v>93</v>
      </c>
      <c r="BR2008" t="s">
        <v>94</v>
      </c>
    </row>
    <row r="2009" spans="1:70" x14ac:dyDescent="0.3">
      <c r="A2009" t="str">
        <f>"201372B0100"</f>
        <v>201372B0100</v>
      </c>
      <c r="B2009" t="s">
        <v>4189</v>
      </c>
      <c r="C2009">
        <v>20</v>
      </c>
      <c r="D2009" t="s">
        <v>88</v>
      </c>
      <c r="E2009">
        <v>276</v>
      </c>
      <c r="F2009" t="s">
        <v>4190</v>
      </c>
      <c r="G2009">
        <v>1372</v>
      </c>
      <c r="H2009">
        <v>1</v>
      </c>
      <c r="I2009" t="s">
        <v>90</v>
      </c>
      <c r="J2009">
        <v>0</v>
      </c>
      <c r="K2009">
        <v>2</v>
      </c>
      <c r="L2009">
        <v>5</v>
      </c>
      <c r="M2009">
        <v>145</v>
      </c>
      <c r="N2009">
        <v>454</v>
      </c>
      <c r="O2009">
        <v>1</v>
      </c>
      <c r="P2009">
        <v>454</v>
      </c>
      <c r="Q2009">
        <v>36</v>
      </c>
      <c r="R2009">
        <v>255</v>
      </c>
      <c r="S2009">
        <v>8</v>
      </c>
      <c r="T2009">
        <v>1</v>
      </c>
      <c r="U2009">
        <v>4</v>
      </c>
      <c r="V2009">
        <v>11</v>
      </c>
      <c r="W2009">
        <v>2</v>
      </c>
      <c r="X2009">
        <v>1</v>
      </c>
      <c r="Y2009">
        <v>111</v>
      </c>
      <c r="Z2009">
        <v>0</v>
      </c>
      <c r="AC2009">
        <v>0</v>
      </c>
      <c r="AD2009">
        <v>0</v>
      </c>
      <c r="AE2009">
        <v>1</v>
      </c>
      <c r="AF2009">
        <v>1</v>
      </c>
      <c r="AK2009">
        <v>0</v>
      </c>
      <c r="AL2009">
        <v>2</v>
      </c>
      <c r="AM2009">
        <v>0</v>
      </c>
      <c r="AN2009">
        <v>2</v>
      </c>
      <c r="AS2009">
        <v>2</v>
      </c>
      <c r="AT2009">
        <v>9</v>
      </c>
      <c r="AU2009">
        <v>0</v>
      </c>
      <c r="AV2009">
        <v>0</v>
      </c>
      <c r="BC2009">
        <v>0</v>
      </c>
      <c r="BD2009">
        <v>8</v>
      </c>
      <c r="BE2009">
        <v>454</v>
      </c>
      <c r="BF2009">
        <v>454</v>
      </c>
      <c r="BG2009">
        <v>577</v>
      </c>
      <c r="BJ2009">
        <v>1</v>
      </c>
      <c r="BL2009" t="s">
        <v>4191</v>
      </c>
      <c r="BM2009" s="4">
        <v>43283.218055555553</v>
      </c>
      <c r="BN2009" s="4">
        <v>43283.240324074075</v>
      </c>
      <c r="BO2009" s="4">
        <v>43283.240324074075</v>
      </c>
      <c r="BP2009" t="s">
        <v>92</v>
      </c>
      <c r="BQ2009" t="s">
        <v>93</v>
      </c>
      <c r="BR2009" t="s">
        <v>94</v>
      </c>
    </row>
    <row r="2010" spans="1:70" x14ac:dyDescent="0.3">
      <c r="A2010" t="str">
        <f>"201372C0100"</f>
        <v>201372C0100</v>
      </c>
      <c r="B2010" t="s">
        <v>4192</v>
      </c>
      <c r="C2010">
        <v>20</v>
      </c>
      <c r="D2010" t="s">
        <v>88</v>
      </c>
      <c r="E2010">
        <v>276</v>
      </c>
      <c r="F2010" t="s">
        <v>4190</v>
      </c>
      <c r="G2010">
        <v>1372</v>
      </c>
      <c r="H2010">
        <v>1</v>
      </c>
      <c r="I2010" t="s">
        <v>98</v>
      </c>
      <c r="J2010">
        <v>0</v>
      </c>
      <c r="K2010">
        <v>2</v>
      </c>
      <c r="L2010">
        <v>5</v>
      </c>
      <c r="M2010">
        <v>135</v>
      </c>
      <c r="N2010">
        <v>463</v>
      </c>
      <c r="O2010">
        <v>1</v>
      </c>
      <c r="P2010" t="s">
        <v>127</v>
      </c>
      <c r="Q2010">
        <v>25</v>
      </c>
      <c r="R2010">
        <v>281</v>
      </c>
      <c r="S2010">
        <v>15</v>
      </c>
      <c r="T2010">
        <v>3</v>
      </c>
      <c r="U2010">
        <v>8</v>
      </c>
      <c r="V2010">
        <v>4</v>
      </c>
      <c r="W2010">
        <v>0</v>
      </c>
      <c r="X2010">
        <v>1</v>
      </c>
      <c r="Y2010">
        <v>97</v>
      </c>
      <c r="Z2010">
        <v>2</v>
      </c>
      <c r="AC2010">
        <v>1</v>
      </c>
      <c r="AD2010">
        <v>0</v>
      </c>
      <c r="AE2010">
        <v>0</v>
      </c>
      <c r="AF2010">
        <v>1</v>
      </c>
      <c r="AK2010">
        <v>6</v>
      </c>
      <c r="AL2010">
        <v>0</v>
      </c>
      <c r="AM2010">
        <v>0</v>
      </c>
      <c r="AN2010">
        <v>0</v>
      </c>
      <c r="AS2010">
        <v>2</v>
      </c>
      <c r="AT2010">
        <v>5</v>
      </c>
      <c r="AU2010">
        <v>0</v>
      </c>
      <c r="AV2010">
        <v>0</v>
      </c>
      <c r="BC2010">
        <v>0</v>
      </c>
      <c r="BD2010">
        <v>12</v>
      </c>
      <c r="BE2010">
        <v>463</v>
      </c>
      <c r="BF2010">
        <v>463</v>
      </c>
      <c r="BG2010">
        <v>576</v>
      </c>
      <c r="BJ2010">
        <v>1</v>
      </c>
      <c r="BL2010" t="s">
        <v>4193</v>
      </c>
      <c r="BM2010" s="4">
        <v>43283.220833333333</v>
      </c>
      <c r="BN2010" s="4">
        <v>43283.251967592594</v>
      </c>
      <c r="BO2010" s="4">
        <v>43283.251967592594</v>
      </c>
      <c r="BP2010" t="s">
        <v>92</v>
      </c>
      <c r="BQ2010" t="s">
        <v>93</v>
      </c>
      <c r="BR2010" t="s">
        <v>94</v>
      </c>
    </row>
    <row r="2011" spans="1:70" x14ac:dyDescent="0.3">
      <c r="A2011" t="str">
        <f>"201372C0200"</f>
        <v>201372C0200</v>
      </c>
      <c r="B2011" t="s">
        <v>4194</v>
      </c>
      <c r="C2011">
        <v>20</v>
      </c>
      <c r="D2011" t="s">
        <v>88</v>
      </c>
      <c r="E2011">
        <v>276</v>
      </c>
      <c r="F2011" t="s">
        <v>4190</v>
      </c>
      <c r="G2011">
        <v>1372</v>
      </c>
      <c r="H2011">
        <v>2</v>
      </c>
      <c r="I2011" t="s">
        <v>98</v>
      </c>
      <c r="J2011">
        <v>0</v>
      </c>
      <c r="K2011">
        <v>2</v>
      </c>
      <c r="L2011">
        <v>5</v>
      </c>
      <c r="M2011">
        <v>132</v>
      </c>
      <c r="N2011">
        <v>466</v>
      </c>
      <c r="O2011">
        <v>1</v>
      </c>
      <c r="P2011">
        <v>466</v>
      </c>
      <c r="Q2011">
        <v>33</v>
      </c>
      <c r="R2011">
        <v>262</v>
      </c>
      <c r="S2011">
        <v>8</v>
      </c>
      <c r="T2011">
        <v>3</v>
      </c>
      <c r="U2011">
        <v>4</v>
      </c>
      <c r="V2011">
        <v>7</v>
      </c>
      <c r="W2011">
        <v>1</v>
      </c>
      <c r="X2011">
        <v>2</v>
      </c>
      <c r="Y2011">
        <v>112</v>
      </c>
      <c r="Z2011">
        <v>3</v>
      </c>
      <c r="AC2011" t="s">
        <v>105</v>
      </c>
      <c r="AD2011">
        <v>2</v>
      </c>
      <c r="AE2011" t="s">
        <v>105</v>
      </c>
      <c r="AF2011" t="s">
        <v>105</v>
      </c>
      <c r="AK2011">
        <v>4</v>
      </c>
      <c r="AL2011" t="s">
        <v>105</v>
      </c>
      <c r="AM2011" t="s">
        <v>105</v>
      </c>
      <c r="AN2011">
        <v>1</v>
      </c>
      <c r="AS2011">
        <v>5</v>
      </c>
      <c r="AT2011">
        <v>2</v>
      </c>
      <c r="AU2011" t="s">
        <v>105</v>
      </c>
      <c r="AV2011" t="s">
        <v>105</v>
      </c>
      <c r="BC2011" t="s">
        <v>105</v>
      </c>
      <c r="BD2011">
        <v>17</v>
      </c>
      <c r="BE2011">
        <v>466</v>
      </c>
      <c r="BF2011">
        <v>466</v>
      </c>
      <c r="BG2011">
        <v>576</v>
      </c>
      <c r="BI2011" t="s">
        <v>106</v>
      </c>
      <c r="BJ2011">
        <v>1</v>
      </c>
      <c r="BL2011" t="s">
        <v>4195</v>
      </c>
      <c r="BM2011" s="4">
        <v>43283.21597222222</v>
      </c>
      <c r="BN2011" s="4">
        <v>43283.238206018519</v>
      </c>
      <c r="BO2011" s="4">
        <v>43283.238206018519</v>
      </c>
      <c r="BP2011" t="s">
        <v>92</v>
      </c>
      <c r="BQ2011" t="s">
        <v>93</v>
      </c>
      <c r="BR2011" t="s">
        <v>94</v>
      </c>
    </row>
    <row r="2012" spans="1:70" x14ac:dyDescent="0.3">
      <c r="A2012" t="str">
        <f>"201373B0100"</f>
        <v>201373B0100</v>
      </c>
      <c r="B2012" t="s">
        <v>4196</v>
      </c>
      <c r="C2012">
        <v>20</v>
      </c>
      <c r="D2012" t="s">
        <v>88</v>
      </c>
      <c r="E2012">
        <v>276</v>
      </c>
      <c r="F2012" t="s">
        <v>4190</v>
      </c>
      <c r="G2012">
        <v>1373</v>
      </c>
      <c r="H2012">
        <v>1</v>
      </c>
      <c r="I2012" t="s">
        <v>90</v>
      </c>
      <c r="J2012">
        <v>0</v>
      </c>
      <c r="K2012">
        <v>1</v>
      </c>
      <c r="L2012">
        <v>5</v>
      </c>
      <c r="M2012">
        <v>101</v>
      </c>
      <c r="N2012">
        <v>390</v>
      </c>
      <c r="O2012">
        <v>2</v>
      </c>
      <c r="P2012">
        <v>390</v>
      </c>
      <c r="Q2012">
        <v>48</v>
      </c>
      <c r="R2012">
        <v>166</v>
      </c>
      <c r="S2012">
        <v>19</v>
      </c>
      <c r="T2012">
        <v>2</v>
      </c>
      <c r="U2012">
        <v>4</v>
      </c>
      <c r="V2012">
        <v>11</v>
      </c>
      <c r="W2012">
        <v>3</v>
      </c>
      <c r="X2012">
        <v>3</v>
      </c>
      <c r="Y2012">
        <v>118</v>
      </c>
      <c r="Z2012">
        <v>1</v>
      </c>
      <c r="AC2012">
        <v>0</v>
      </c>
      <c r="AD2012">
        <v>1</v>
      </c>
      <c r="AE2012">
        <v>0</v>
      </c>
      <c r="AF2012">
        <v>0</v>
      </c>
      <c r="AK2012">
        <v>3</v>
      </c>
      <c r="AL2012">
        <v>1</v>
      </c>
      <c r="AM2012">
        <v>0</v>
      </c>
      <c r="AN2012">
        <v>0</v>
      </c>
      <c r="AS2012">
        <v>1</v>
      </c>
      <c r="AT2012">
        <v>2</v>
      </c>
      <c r="AU2012">
        <v>0</v>
      </c>
      <c r="AV2012">
        <v>0</v>
      </c>
      <c r="BC2012">
        <v>0</v>
      </c>
      <c r="BD2012">
        <v>7</v>
      </c>
      <c r="BE2012">
        <v>390</v>
      </c>
      <c r="BF2012">
        <v>390</v>
      </c>
      <c r="BG2012">
        <v>470</v>
      </c>
      <c r="BJ2012">
        <v>1</v>
      </c>
      <c r="BL2012" t="s">
        <v>4197</v>
      </c>
      <c r="BM2012" s="4">
        <v>43283.117361111108</v>
      </c>
      <c r="BN2012" s="4">
        <v>43283.123888888891</v>
      </c>
      <c r="BO2012" s="4">
        <v>43283.123888888891</v>
      </c>
      <c r="BP2012" t="s">
        <v>92</v>
      </c>
      <c r="BQ2012" t="s">
        <v>93</v>
      </c>
      <c r="BR2012" t="s">
        <v>94</v>
      </c>
    </row>
    <row r="2013" spans="1:70" x14ac:dyDescent="0.3">
      <c r="A2013" t="str">
        <f>"201373C0100"</f>
        <v>201373C0100</v>
      </c>
      <c r="B2013" t="s">
        <v>4198</v>
      </c>
      <c r="C2013">
        <v>20</v>
      </c>
      <c r="D2013" t="s">
        <v>88</v>
      </c>
      <c r="E2013">
        <v>276</v>
      </c>
      <c r="F2013" t="s">
        <v>4190</v>
      </c>
      <c r="G2013">
        <v>1373</v>
      </c>
      <c r="H2013">
        <v>1</v>
      </c>
      <c r="I2013" t="s">
        <v>98</v>
      </c>
      <c r="J2013">
        <v>0</v>
      </c>
      <c r="K2013">
        <v>1</v>
      </c>
      <c r="L2013">
        <v>5</v>
      </c>
      <c r="M2013">
        <v>103</v>
      </c>
      <c r="N2013">
        <v>387</v>
      </c>
      <c r="O2013">
        <v>5</v>
      </c>
      <c r="P2013">
        <v>0</v>
      </c>
      <c r="Q2013">
        <v>38</v>
      </c>
      <c r="R2013">
        <v>192</v>
      </c>
      <c r="S2013">
        <v>11</v>
      </c>
      <c r="T2013">
        <v>1</v>
      </c>
      <c r="U2013">
        <v>7</v>
      </c>
      <c r="V2013">
        <v>7</v>
      </c>
      <c r="W2013">
        <v>0</v>
      </c>
      <c r="X2013">
        <v>0</v>
      </c>
      <c r="Y2013">
        <v>111</v>
      </c>
      <c r="Z2013">
        <v>2</v>
      </c>
      <c r="AC2013">
        <v>0</v>
      </c>
      <c r="AD2013">
        <v>0</v>
      </c>
      <c r="AE2013">
        <v>0</v>
      </c>
      <c r="AF2013">
        <v>0</v>
      </c>
      <c r="AK2013">
        <v>2</v>
      </c>
      <c r="AL2013">
        <v>0</v>
      </c>
      <c r="AM2013">
        <v>0</v>
      </c>
      <c r="AN2013">
        <v>0</v>
      </c>
      <c r="AS2013">
        <v>0</v>
      </c>
      <c r="AT2013">
        <v>6</v>
      </c>
      <c r="AU2013">
        <v>0</v>
      </c>
      <c r="AV2013">
        <v>0</v>
      </c>
      <c r="BC2013" t="s">
        <v>105</v>
      </c>
      <c r="BD2013" t="s">
        <v>105</v>
      </c>
      <c r="BE2013" t="s">
        <v>105</v>
      </c>
      <c r="BF2013">
        <v>377</v>
      </c>
      <c r="BG2013">
        <v>470</v>
      </c>
      <c r="BI2013" t="s">
        <v>106</v>
      </c>
      <c r="BJ2013">
        <v>1</v>
      </c>
      <c r="BL2013" t="s">
        <v>4199</v>
      </c>
      <c r="BM2013" s="4">
        <v>43283.119444444441</v>
      </c>
      <c r="BN2013" s="4">
        <v>43283.124513888892</v>
      </c>
      <c r="BO2013" s="4">
        <v>43283.124513888892</v>
      </c>
      <c r="BP2013" t="s">
        <v>92</v>
      </c>
      <c r="BQ2013" t="s">
        <v>93</v>
      </c>
      <c r="BR2013" t="s">
        <v>94</v>
      </c>
    </row>
    <row r="2014" spans="1:70" x14ac:dyDescent="0.3">
      <c r="A2014" t="str">
        <f>"201374B0100"</f>
        <v>201374B0100</v>
      </c>
      <c r="B2014" t="s">
        <v>4200</v>
      </c>
      <c r="C2014">
        <v>20</v>
      </c>
      <c r="D2014" t="s">
        <v>88</v>
      </c>
      <c r="E2014">
        <v>276</v>
      </c>
      <c r="F2014" t="s">
        <v>4190</v>
      </c>
      <c r="G2014">
        <v>1374</v>
      </c>
      <c r="H2014">
        <v>1</v>
      </c>
      <c r="I2014" t="s">
        <v>90</v>
      </c>
      <c r="J2014">
        <v>0</v>
      </c>
      <c r="K2014">
        <v>1</v>
      </c>
      <c r="L2014">
        <v>5</v>
      </c>
      <c r="M2014">
        <v>135</v>
      </c>
      <c r="N2014">
        <v>545</v>
      </c>
      <c r="O2014">
        <v>2</v>
      </c>
      <c r="P2014">
        <v>545</v>
      </c>
      <c r="Q2014">
        <v>47</v>
      </c>
      <c r="R2014">
        <v>305</v>
      </c>
      <c r="S2014">
        <v>19</v>
      </c>
      <c r="T2014">
        <v>1</v>
      </c>
      <c r="U2014">
        <v>7</v>
      </c>
      <c r="V2014">
        <v>7</v>
      </c>
      <c r="W2014">
        <v>0</v>
      </c>
      <c r="X2014">
        <v>5</v>
      </c>
      <c r="Y2014">
        <v>127</v>
      </c>
      <c r="Z2014">
        <v>3</v>
      </c>
      <c r="AC2014">
        <v>1</v>
      </c>
      <c r="AD2014">
        <v>0</v>
      </c>
      <c r="AE2014">
        <v>0</v>
      </c>
      <c r="AF2014">
        <v>0</v>
      </c>
      <c r="AK2014">
        <v>2</v>
      </c>
      <c r="AL2014">
        <v>1</v>
      </c>
      <c r="AM2014">
        <v>0</v>
      </c>
      <c r="AN2014">
        <v>1</v>
      </c>
      <c r="AS2014">
        <v>3</v>
      </c>
      <c r="AT2014">
        <v>6</v>
      </c>
      <c r="AU2014">
        <v>0</v>
      </c>
      <c r="AV2014">
        <v>0</v>
      </c>
      <c r="BC2014">
        <v>0</v>
      </c>
      <c r="BD2014">
        <v>10</v>
      </c>
      <c r="BE2014">
        <v>545</v>
      </c>
      <c r="BF2014">
        <v>545</v>
      </c>
      <c r="BG2014">
        <v>658</v>
      </c>
      <c r="BJ2014">
        <v>1</v>
      </c>
      <c r="BL2014" t="s">
        <v>4201</v>
      </c>
      <c r="BM2014" s="4">
        <v>43283.152083333334</v>
      </c>
      <c r="BN2014" s="4">
        <v>43283.164259259262</v>
      </c>
      <c r="BO2014" s="4">
        <v>43283.164259259262</v>
      </c>
      <c r="BP2014" t="s">
        <v>92</v>
      </c>
      <c r="BQ2014" t="s">
        <v>93</v>
      </c>
      <c r="BR2014" t="s">
        <v>254</v>
      </c>
    </row>
    <row r="2015" spans="1:70" x14ac:dyDescent="0.3">
      <c r="A2015" t="str">
        <f>"201374C0100"</f>
        <v>201374C0100</v>
      </c>
      <c r="B2015" t="s">
        <v>4202</v>
      </c>
      <c r="C2015">
        <v>20</v>
      </c>
      <c r="D2015" t="s">
        <v>88</v>
      </c>
      <c r="E2015">
        <v>276</v>
      </c>
      <c r="F2015" t="s">
        <v>4190</v>
      </c>
      <c r="G2015">
        <v>1374</v>
      </c>
      <c r="H2015">
        <v>1</v>
      </c>
      <c r="I2015" t="s">
        <v>98</v>
      </c>
      <c r="J2015">
        <v>0</v>
      </c>
      <c r="K2015">
        <v>1</v>
      </c>
      <c r="L2015">
        <v>5</v>
      </c>
      <c r="M2015">
        <v>132</v>
      </c>
      <c r="N2015">
        <v>547</v>
      </c>
      <c r="O2015">
        <v>2</v>
      </c>
      <c r="P2015">
        <v>547</v>
      </c>
      <c r="Q2015">
        <v>41</v>
      </c>
      <c r="R2015">
        <v>330</v>
      </c>
      <c r="S2015">
        <v>18</v>
      </c>
      <c r="T2015">
        <v>1</v>
      </c>
      <c r="U2015">
        <v>7</v>
      </c>
      <c r="V2015">
        <v>12</v>
      </c>
      <c r="W2015">
        <v>0</v>
      </c>
      <c r="X2015">
        <v>3</v>
      </c>
      <c r="Y2015">
        <v>12</v>
      </c>
      <c r="Z2015">
        <v>1</v>
      </c>
      <c r="AC2015">
        <v>0</v>
      </c>
      <c r="AD2015">
        <v>0</v>
      </c>
      <c r="AE2015">
        <v>0</v>
      </c>
      <c r="AF2015">
        <v>0</v>
      </c>
      <c r="AK2015">
        <v>3</v>
      </c>
      <c r="AL2015">
        <v>0</v>
      </c>
      <c r="AM2015">
        <v>0</v>
      </c>
      <c r="AN2015">
        <v>2</v>
      </c>
      <c r="AS2015">
        <v>3</v>
      </c>
      <c r="AT2015">
        <v>3</v>
      </c>
      <c r="AU2015">
        <v>0</v>
      </c>
      <c r="AV2015">
        <v>0</v>
      </c>
      <c r="BC2015" t="s">
        <v>105</v>
      </c>
      <c r="BD2015">
        <v>3</v>
      </c>
      <c r="BE2015">
        <v>547</v>
      </c>
      <c r="BF2015">
        <v>439</v>
      </c>
      <c r="BG2015">
        <v>657</v>
      </c>
      <c r="BI2015" t="s">
        <v>106</v>
      </c>
      <c r="BJ2015">
        <v>1</v>
      </c>
      <c r="BL2015" t="s">
        <v>4203</v>
      </c>
      <c r="BM2015" s="4">
        <v>43283.154861111114</v>
      </c>
      <c r="BN2015" s="4">
        <v>43283.165196759262</v>
      </c>
      <c r="BO2015" s="4">
        <v>43283.165196759262</v>
      </c>
      <c r="BP2015" t="s">
        <v>92</v>
      </c>
      <c r="BQ2015" t="s">
        <v>93</v>
      </c>
      <c r="BR2015" t="s">
        <v>94</v>
      </c>
    </row>
    <row r="2016" spans="1:70" x14ac:dyDescent="0.3">
      <c r="A2016" t="str">
        <f>"201375B0100"</f>
        <v>201375B0100</v>
      </c>
      <c r="B2016" t="s">
        <v>4204</v>
      </c>
      <c r="C2016">
        <v>20</v>
      </c>
      <c r="D2016" t="s">
        <v>88</v>
      </c>
      <c r="E2016">
        <v>276</v>
      </c>
      <c r="F2016" t="s">
        <v>4190</v>
      </c>
      <c r="G2016">
        <v>1375</v>
      </c>
      <c r="H2016">
        <v>1</v>
      </c>
      <c r="I2016" t="s">
        <v>90</v>
      </c>
      <c r="J2016">
        <v>0</v>
      </c>
      <c r="K2016">
        <v>1</v>
      </c>
      <c r="L2016">
        <v>5</v>
      </c>
      <c r="M2016">
        <v>101</v>
      </c>
      <c r="N2016">
        <v>405</v>
      </c>
      <c r="O2016">
        <v>3</v>
      </c>
      <c r="P2016">
        <v>405</v>
      </c>
      <c r="Q2016">
        <v>48</v>
      </c>
      <c r="R2016">
        <v>224</v>
      </c>
      <c r="S2016">
        <v>11</v>
      </c>
      <c r="T2016">
        <v>0</v>
      </c>
      <c r="U2016">
        <v>1</v>
      </c>
      <c r="V2016">
        <v>4</v>
      </c>
      <c r="W2016">
        <v>0</v>
      </c>
      <c r="X2016">
        <v>0</v>
      </c>
      <c r="Y2016">
        <v>97</v>
      </c>
      <c r="Z2016">
        <v>5</v>
      </c>
      <c r="AC2016">
        <v>0</v>
      </c>
      <c r="AD2016">
        <v>0</v>
      </c>
      <c r="AE2016">
        <v>1</v>
      </c>
      <c r="AF2016">
        <v>0</v>
      </c>
      <c r="AK2016">
        <v>0</v>
      </c>
      <c r="AL2016">
        <v>0</v>
      </c>
      <c r="AM2016">
        <v>0</v>
      </c>
      <c r="AN2016">
        <v>0</v>
      </c>
      <c r="AS2016">
        <v>2</v>
      </c>
      <c r="AT2016">
        <v>4</v>
      </c>
      <c r="AU2016">
        <v>0</v>
      </c>
      <c r="AV2016">
        <v>0</v>
      </c>
      <c r="BC2016">
        <v>0</v>
      </c>
      <c r="BD2016">
        <v>8</v>
      </c>
      <c r="BE2016">
        <v>405</v>
      </c>
      <c r="BF2016">
        <v>405</v>
      </c>
      <c r="BG2016">
        <v>484</v>
      </c>
      <c r="BJ2016">
        <v>1</v>
      </c>
      <c r="BL2016" t="s">
        <v>4205</v>
      </c>
      <c r="BM2016" s="4">
        <v>43283.164583333331</v>
      </c>
      <c r="BN2016" s="4">
        <v>43283.178171296298</v>
      </c>
      <c r="BO2016" s="4">
        <v>43283.178171296298</v>
      </c>
      <c r="BP2016" t="s">
        <v>92</v>
      </c>
      <c r="BQ2016" t="s">
        <v>93</v>
      </c>
      <c r="BR2016" t="s">
        <v>94</v>
      </c>
    </row>
    <row r="2017" spans="1:70" x14ac:dyDescent="0.3">
      <c r="A2017" t="str">
        <f>"201375C0100"</f>
        <v>201375C0100</v>
      </c>
      <c r="B2017" t="s">
        <v>4206</v>
      </c>
      <c r="C2017">
        <v>20</v>
      </c>
      <c r="D2017" t="s">
        <v>88</v>
      </c>
      <c r="E2017">
        <v>276</v>
      </c>
      <c r="F2017" t="s">
        <v>4190</v>
      </c>
      <c r="G2017">
        <v>1375</v>
      </c>
      <c r="H2017">
        <v>1</v>
      </c>
      <c r="I2017" t="s">
        <v>98</v>
      </c>
      <c r="J2017">
        <v>0</v>
      </c>
      <c r="K2017">
        <v>1</v>
      </c>
      <c r="L2017">
        <v>5</v>
      </c>
      <c r="M2017">
        <v>96</v>
      </c>
      <c r="N2017">
        <v>410</v>
      </c>
      <c r="O2017">
        <v>4</v>
      </c>
      <c r="P2017">
        <v>410</v>
      </c>
      <c r="Q2017">
        <v>44</v>
      </c>
      <c r="R2017">
        <v>241</v>
      </c>
      <c r="S2017">
        <v>22</v>
      </c>
      <c r="T2017">
        <v>1</v>
      </c>
      <c r="U2017">
        <v>3</v>
      </c>
      <c r="V2017">
        <v>4</v>
      </c>
      <c r="W2017">
        <v>1</v>
      </c>
      <c r="X2017">
        <v>1</v>
      </c>
      <c r="Y2017">
        <v>73</v>
      </c>
      <c r="Z2017">
        <v>0</v>
      </c>
      <c r="AC2017">
        <v>0</v>
      </c>
      <c r="AD2017">
        <v>0</v>
      </c>
      <c r="AE2017">
        <v>0</v>
      </c>
      <c r="AF2017">
        <v>0</v>
      </c>
      <c r="AK2017">
        <v>2</v>
      </c>
      <c r="AL2017">
        <v>0</v>
      </c>
      <c r="AM2017">
        <v>0</v>
      </c>
      <c r="AN2017">
        <v>0</v>
      </c>
      <c r="AS2017">
        <v>3</v>
      </c>
      <c r="AT2017">
        <v>5</v>
      </c>
      <c r="AU2017">
        <v>1</v>
      </c>
      <c r="AV2017">
        <v>0</v>
      </c>
      <c r="BC2017">
        <v>0</v>
      </c>
      <c r="BD2017">
        <v>9</v>
      </c>
      <c r="BE2017">
        <v>410</v>
      </c>
      <c r="BF2017">
        <v>410</v>
      </c>
      <c r="BG2017">
        <v>484</v>
      </c>
      <c r="BJ2017">
        <v>1</v>
      </c>
      <c r="BL2017" t="s">
        <v>4207</v>
      </c>
      <c r="BM2017" s="4">
        <v>43283.165972222225</v>
      </c>
      <c r="BN2017" s="4">
        <v>43283.185752314814</v>
      </c>
      <c r="BO2017" s="4">
        <v>43283.185752314814</v>
      </c>
      <c r="BP2017" t="s">
        <v>92</v>
      </c>
      <c r="BQ2017" t="s">
        <v>93</v>
      </c>
      <c r="BR2017" t="s">
        <v>94</v>
      </c>
    </row>
    <row r="2018" spans="1:70" x14ac:dyDescent="0.3">
      <c r="A2018" t="str">
        <f>"201375S0100"</f>
        <v>201375S0100</v>
      </c>
      <c r="B2018" t="s">
        <v>4208</v>
      </c>
      <c r="C2018">
        <v>20</v>
      </c>
      <c r="D2018" t="s">
        <v>88</v>
      </c>
      <c r="E2018">
        <v>276</v>
      </c>
      <c r="F2018" t="s">
        <v>4190</v>
      </c>
      <c r="G2018">
        <v>1375</v>
      </c>
      <c r="H2018">
        <v>1</v>
      </c>
      <c r="I2018" t="s">
        <v>113</v>
      </c>
      <c r="J2018">
        <v>0</v>
      </c>
      <c r="K2018">
        <v>1</v>
      </c>
      <c r="L2018">
        <v>6</v>
      </c>
      <c r="M2018">
        <v>744</v>
      </c>
      <c r="N2018">
        <v>18</v>
      </c>
      <c r="O2018">
        <v>0</v>
      </c>
      <c r="P2018">
        <v>18</v>
      </c>
      <c r="Q2018">
        <v>3</v>
      </c>
      <c r="R2018">
        <v>7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8</v>
      </c>
      <c r="Z2018">
        <v>0</v>
      </c>
      <c r="AC2018">
        <v>0</v>
      </c>
      <c r="AD2018">
        <v>0</v>
      </c>
      <c r="AE2018">
        <v>0</v>
      </c>
      <c r="AF2018">
        <v>0</v>
      </c>
      <c r="AK2018">
        <v>0</v>
      </c>
      <c r="AL2018">
        <v>0</v>
      </c>
      <c r="AM2018">
        <v>0</v>
      </c>
      <c r="AN2018">
        <v>0</v>
      </c>
      <c r="AS2018">
        <v>0</v>
      </c>
      <c r="AT2018">
        <v>0</v>
      </c>
      <c r="AU2018">
        <v>0</v>
      </c>
      <c r="AV2018">
        <v>0</v>
      </c>
      <c r="BC2018">
        <v>0</v>
      </c>
      <c r="BD2018">
        <v>0</v>
      </c>
      <c r="BE2018">
        <v>18</v>
      </c>
      <c r="BF2018">
        <v>18</v>
      </c>
      <c r="BG2018">
        <v>0</v>
      </c>
      <c r="BJ2018">
        <v>1</v>
      </c>
      <c r="BL2018" t="s">
        <v>4209</v>
      </c>
      <c r="BM2018" s="4">
        <v>43283.159722222219</v>
      </c>
      <c r="BN2018" s="4">
        <v>43283.170300925929</v>
      </c>
      <c r="BO2018" s="4">
        <v>43283.170300925929</v>
      </c>
      <c r="BP2018" t="s">
        <v>92</v>
      </c>
      <c r="BQ2018" t="s">
        <v>93</v>
      </c>
      <c r="BR2018" t="s">
        <v>254</v>
      </c>
    </row>
    <row r="2019" spans="1:70" x14ac:dyDescent="0.3">
      <c r="A2019" t="str">
        <f>"201376B0100"</f>
        <v>201376B0100</v>
      </c>
      <c r="B2019" t="s">
        <v>4210</v>
      </c>
      <c r="C2019">
        <v>20</v>
      </c>
      <c r="D2019" t="s">
        <v>88</v>
      </c>
      <c r="E2019">
        <v>276</v>
      </c>
      <c r="F2019" t="s">
        <v>4190</v>
      </c>
      <c r="G2019">
        <v>1376</v>
      </c>
      <c r="H2019">
        <v>1</v>
      </c>
      <c r="I2019" t="s">
        <v>90</v>
      </c>
      <c r="J2019">
        <v>0</v>
      </c>
      <c r="K2019">
        <v>1</v>
      </c>
      <c r="L2019">
        <v>5</v>
      </c>
      <c r="M2019">
        <v>120</v>
      </c>
      <c r="N2019">
        <v>482</v>
      </c>
      <c r="O2019">
        <v>2</v>
      </c>
      <c r="P2019">
        <v>382</v>
      </c>
      <c r="Q2019">
        <v>43</v>
      </c>
      <c r="R2019">
        <v>193</v>
      </c>
      <c r="S2019">
        <v>15</v>
      </c>
      <c r="T2019">
        <v>2</v>
      </c>
      <c r="U2019">
        <v>7</v>
      </c>
      <c r="V2019">
        <v>7</v>
      </c>
      <c r="W2019">
        <v>2</v>
      </c>
      <c r="X2019">
        <v>92</v>
      </c>
      <c r="Y2019">
        <v>91</v>
      </c>
      <c r="Z2019">
        <v>4</v>
      </c>
      <c r="AC2019">
        <v>0</v>
      </c>
      <c r="AD2019">
        <v>0</v>
      </c>
      <c r="AE2019">
        <v>0</v>
      </c>
      <c r="AF2019">
        <v>0</v>
      </c>
      <c r="AK2019">
        <v>0</v>
      </c>
      <c r="AL2019">
        <v>0</v>
      </c>
      <c r="AM2019">
        <v>0</v>
      </c>
      <c r="AN2019">
        <v>0</v>
      </c>
      <c r="AS2019">
        <v>2</v>
      </c>
      <c r="AT2019">
        <v>3</v>
      </c>
      <c r="AU2019">
        <v>0</v>
      </c>
      <c r="AV2019">
        <v>0</v>
      </c>
      <c r="BC2019">
        <v>0</v>
      </c>
      <c r="BD2019">
        <v>11</v>
      </c>
      <c r="BE2019" t="s">
        <v>105</v>
      </c>
      <c r="BF2019">
        <v>472</v>
      </c>
      <c r="BG2019">
        <v>480</v>
      </c>
      <c r="BJ2019">
        <v>1</v>
      </c>
      <c r="BL2019" t="s">
        <v>4211</v>
      </c>
      <c r="BM2019" s="4">
        <v>43283.260416666664</v>
      </c>
      <c r="BN2019" s="4">
        <v>43283.299120370371</v>
      </c>
      <c r="BO2019" s="4">
        <v>43283.299120370371</v>
      </c>
      <c r="BP2019" t="s">
        <v>92</v>
      </c>
      <c r="BQ2019" t="s">
        <v>93</v>
      </c>
      <c r="BR2019" t="s">
        <v>94</v>
      </c>
    </row>
    <row r="2020" spans="1:70" x14ac:dyDescent="0.3">
      <c r="A2020" t="str">
        <f>"201376C0100"</f>
        <v>201376C0100</v>
      </c>
      <c r="B2020" t="s">
        <v>4212</v>
      </c>
      <c r="C2020">
        <v>20</v>
      </c>
      <c r="D2020" t="s">
        <v>88</v>
      </c>
      <c r="E2020">
        <v>276</v>
      </c>
      <c r="F2020" t="s">
        <v>4190</v>
      </c>
      <c r="G2020">
        <v>1376</v>
      </c>
      <c r="H2020">
        <v>1</v>
      </c>
      <c r="I2020" t="s">
        <v>98</v>
      </c>
      <c r="J2020">
        <v>0</v>
      </c>
      <c r="K2020">
        <v>1</v>
      </c>
      <c r="L2020">
        <v>5</v>
      </c>
      <c r="M2020">
        <v>105</v>
      </c>
      <c r="N2020">
        <v>393</v>
      </c>
      <c r="O2020">
        <v>3</v>
      </c>
      <c r="P2020">
        <v>393</v>
      </c>
      <c r="Q2020">
        <v>58</v>
      </c>
      <c r="R2020">
        <v>188</v>
      </c>
      <c r="S2020">
        <v>11</v>
      </c>
      <c r="T2020">
        <v>1</v>
      </c>
      <c r="U2020">
        <v>6</v>
      </c>
      <c r="V2020">
        <v>8</v>
      </c>
      <c r="W2020">
        <v>1</v>
      </c>
      <c r="X2020">
        <v>0</v>
      </c>
      <c r="Y2020">
        <v>100</v>
      </c>
      <c r="Z2020">
        <v>2</v>
      </c>
      <c r="AC2020">
        <v>0</v>
      </c>
      <c r="AD2020">
        <v>0</v>
      </c>
      <c r="AE2020">
        <v>0</v>
      </c>
      <c r="AF2020">
        <v>0</v>
      </c>
      <c r="AK2020">
        <v>2</v>
      </c>
      <c r="AL2020">
        <v>2</v>
      </c>
      <c r="AM2020">
        <v>0</v>
      </c>
      <c r="AN2020">
        <v>0</v>
      </c>
      <c r="AS2020">
        <v>3</v>
      </c>
      <c r="AT2020">
        <v>6</v>
      </c>
      <c r="AU2020">
        <v>0</v>
      </c>
      <c r="AV2020">
        <v>0</v>
      </c>
      <c r="BC2020">
        <v>0</v>
      </c>
      <c r="BD2020">
        <v>9</v>
      </c>
      <c r="BE2020" t="s">
        <v>105</v>
      </c>
      <c r="BF2020">
        <v>397</v>
      </c>
      <c r="BG2020">
        <v>480</v>
      </c>
      <c r="BJ2020">
        <v>1</v>
      </c>
      <c r="BL2020" t="s">
        <v>4213</v>
      </c>
      <c r="BM2020" s="4">
        <v>43283.257638888892</v>
      </c>
      <c r="BN2020" s="4">
        <v>43283.285405092596</v>
      </c>
      <c r="BO2020" s="4">
        <v>43283.285405092596</v>
      </c>
      <c r="BP2020" t="s">
        <v>92</v>
      </c>
      <c r="BQ2020" t="s">
        <v>93</v>
      </c>
      <c r="BR2020" t="s">
        <v>94</v>
      </c>
    </row>
    <row r="2021" spans="1:70" x14ac:dyDescent="0.3">
      <c r="A2021" t="str">
        <f>"201377B0100"</f>
        <v>201377B0100</v>
      </c>
      <c r="B2021" t="s">
        <v>4214</v>
      </c>
      <c r="C2021">
        <v>20</v>
      </c>
      <c r="D2021" t="s">
        <v>88</v>
      </c>
      <c r="E2021">
        <v>276</v>
      </c>
      <c r="F2021" t="s">
        <v>4190</v>
      </c>
      <c r="G2021">
        <v>1377</v>
      </c>
      <c r="H2021">
        <v>1</v>
      </c>
      <c r="I2021" t="s">
        <v>90</v>
      </c>
      <c r="J2021">
        <v>0</v>
      </c>
      <c r="K2021">
        <v>2</v>
      </c>
      <c r="L2021">
        <v>5</v>
      </c>
      <c r="M2021">
        <v>103</v>
      </c>
      <c r="N2021">
        <v>501</v>
      </c>
      <c r="O2021">
        <v>0</v>
      </c>
      <c r="P2021">
        <v>501</v>
      </c>
      <c r="Q2021">
        <v>18</v>
      </c>
      <c r="R2021">
        <v>202</v>
      </c>
      <c r="S2021">
        <v>180</v>
      </c>
      <c r="T2021">
        <v>9</v>
      </c>
      <c r="U2021">
        <v>1</v>
      </c>
      <c r="V2021">
        <v>15</v>
      </c>
      <c r="W2021">
        <v>0</v>
      </c>
      <c r="X2021">
        <v>0</v>
      </c>
      <c r="Y2021">
        <v>14</v>
      </c>
      <c r="Z2021">
        <v>0</v>
      </c>
      <c r="AC2021">
        <v>0</v>
      </c>
      <c r="AD2021">
        <v>0</v>
      </c>
      <c r="AE2021">
        <v>0</v>
      </c>
      <c r="AF2021">
        <v>1</v>
      </c>
      <c r="AK2021">
        <v>0</v>
      </c>
      <c r="AL2021">
        <v>0</v>
      </c>
      <c r="AM2021">
        <v>0</v>
      </c>
      <c r="AN2021">
        <v>0</v>
      </c>
      <c r="AS2021">
        <v>1</v>
      </c>
      <c r="AT2021">
        <v>7</v>
      </c>
      <c r="AU2021">
        <v>0</v>
      </c>
      <c r="AV2021">
        <v>0</v>
      </c>
      <c r="BC2021">
        <v>0</v>
      </c>
      <c r="BD2021">
        <v>3</v>
      </c>
      <c r="BE2021">
        <v>501</v>
      </c>
      <c r="BF2021">
        <v>451</v>
      </c>
      <c r="BG2021">
        <v>582</v>
      </c>
      <c r="BJ2021">
        <v>1</v>
      </c>
      <c r="BL2021" t="s">
        <v>4215</v>
      </c>
      <c r="BM2021" s="4">
        <v>43283.289583333331</v>
      </c>
      <c r="BN2021" s="4">
        <v>43283.320104166669</v>
      </c>
      <c r="BO2021" s="4">
        <v>43283.320104166669</v>
      </c>
      <c r="BP2021" t="s">
        <v>92</v>
      </c>
      <c r="BQ2021" t="s">
        <v>93</v>
      </c>
      <c r="BR2021" t="s">
        <v>94</v>
      </c>
    </row>
    <row r="2022" spans="1:70" x14ac:dyDescent="0.3">
      <c r="A2022" t="str">
        <f>"201377C0100"</f>
        <v>201377C0100</v>
      </c>
      <c r="B2022" t="s">
        <v>4216</v>
      </c>
      <c r="C2022">
        <v>20</v>
      </c>
      <c r="D2022" t="s">
        <v>88</v>
      </c>
      <c r="E2022">
        <v>276</v>
      </c>
      <c r="F2022" t="s">
        <v>4190</v>
      </c>
      <c r="G2022">
        <v>1377</v>
      </c>
      <c r="H2022">
        <v>1</v>
      </c>
      <c r="I2022" t="s">
        <v>98</v>
      </c>
      <c r="J2022">
        <v>0</v>
      </c>
      <c r="K2022">
        <v>2</v>
      </c>
      <c r="L2022">
        <v>5</v>
      </c>
      <c r="M2022">
        <v>99</v>
      </c>
      <c r="N2022">
        <v>505</v>
      </c>
      <c r="O2022">
        <v>2</v>
      </c>
      <c r="P2022">
        <v>505</v>
      </c>
      <c r="Q2022">
        <v>20</v>
      </c>
      <c r="R2022">
        <v>237</v>
      </c>
      <c r="S2022">
        <v>191</v>
      </c>
      <c r="T2022">
        <v>4</v>
      </c>
      <c r="U2022">
        <v>6</v>
      </c>
      <c r="V2022">
        <v>22</v>
      </c>
      <c r="W2022">
        <v>0</v>
      </c>
      <c r="X2022">
        <v>0</v>
      </c>
      <c r="Y2022">
        <v>15</v>
      </c>
      <c r="Z2022">
        <v>0</v>
      </c>
      <c r="AC2022">
        <v>0</v>
      </c>
      <c r="AD2022">
        <v>0</v>
      </c>
      <c r="AE2022">
        <v>0</v>
      </c>
      <c r="AF2022">
        <v>0</v>
      </c>
      <c r="AK2022">
        <v>0</v>
      </c>
      <c r="AL2022">
        <v>0</v>
      </c>
      <c r="AM2022">
        <v>0</v>
      </c>
      <c r="AN2022">
        <v>0</v>
      </c>
      <c r="AS2022">
        <v>1</v>
      </c>
      <c r="AT2022">
        <v>3</v>
      </c>
      <c r="AU2022">
        <v>0</v>
      </c>
      <c r="AV2022">
        <v>0</v>
      </c>
      <c r="BC2022" t="s">
        <v>105</v>
      </c>
      <c r="BD2022">
        <v>6</v>
      </c>
      <c r="BE2022">
        <v>505</v>
      </c>
      <c r="BF2022">
        <v>505</v>
      </c>
      <c r="BG2022">
        <v>582</v>
      </c>
      <c r="BI2022" t="s">
        <v>106</v>
      </c>
      <c r="BJ2022">
        <v>1</v>
      </c>
      <c r="BL2022" t="s">
        <v>4217</v>
      </c>
      <c r="BM2022" s="4">
        <v>43283.286805555559</v>
      </c>
      <c r="BN2022" s="4">
        <v>43283.312928240739</v>
      </c>
      <c r="BO2022" s="4">
        <v>43283.312928240739</v>
      </c>
      <c r="BP2022" t="s">
        <v>92</v>
      </c>
      <c r="BQ2022" t="s">
        <v>93</v>
      </c>
      <c r="BR2022" t="s">
        <v>94</v>
      </c>
    </row>
    <row r="2023" spans="1:70" x14ac:dyDescent="0.3">
      <c r="A2023" t="str">
        <f>"201377E0100"</f>
        <v>201377E0100</v>
      </c>
      <c r="B2023" s="2" t="s">
        <v>4218</v>
      </c>
      <c r="C2023">
        <v>20</v>
      </c>
      <c r="D2023" t="s">
        <v>88</v>
      </c>
      <c r="E2023">
        <v>276</v>
      </c>
      <c r="F2023" t="s">
        <v>4190</v>
      </c>
      <c r="G2023">
        <v>1377</v>
      </c>
      <c r="H2023">
        <v>1</v>
      </c>
      <c r="I2023" t="s">
        <v>156</v>
      </c>
      <c r="J2023">
        <v>0</v>
      </c>
      <c r="K2023">
        <v>2</v>
      </c>
      <c r="L2023">
        <v>5</v>
      </c>
      <c r="M2023">
        <v>65</v>
      </c>
      <c r="N2023">
        <v>256</v>
      </c>
      <c r="O2023">
        <v>1</v>
      </c>
      <c r="P2023">
        <v>256</v>
      </c>
      <c r="Q2023">
        <v>6</v>
      </c>
      <c r="R2023">
        <v>202</v>
      </c>
      <c r="S2023">
        <v>5</v>
      </c>
      <c r="T2023">
        <v>2</v>
      </c>
      <c r="U2023">
        <v>1</v>
      </c>
      <c r="V2023">
        <v>0</v>
      </c>
      <c r="W2023">
        <v>1</v>
      </c>
      <c r="X2023">
        <v>0</v>
      </c>
      <c r="Y2023">
        <v>37</v>
      </c>
      <c r="Z2023">
        <v>1</v>
      </c>
      <c r="AC2023">
        <v>0</v>
      </c>
      <c r="AD2023">
        <v>0</v>
      </c>
      <c r="AE2023">
        <v>0</v>
      </c>
      <c r="AF2023">
        <v>0</v>
      </c>
      <c r="AK2023">
        <v>0</v>
      </c>
      <c r="AL2023">
        <v>0</v>
      </c>
      <c r="AM2023">
        <v>0</v>
      </c>
      <c r="AN2023">
        <v>0</v>
      </c>
      <c r="AS2023">
        <v>0</v>
      </c>
      <c r="AT2023">
        <v>0</v>
      </c>
      <c r="AU2023">
        <v>0</v>
      </c>
      <c r="AV2023">
        <v>0</v>
      </c>
      <c r="BC2023">
        <v>0</v>
      </c>
      <c r="BD2023">
        <v>1</v>
      </c>
      <c r="BE2023">
        <v>256</v>
      </c>
      <c r="BF2023">
        <v>256</v>
      </c>
      <c r="BG2023">
        <v>299</v>
      </c>
      <c r="BJ2023">
        <v>1</v>
      </c>
      <c r="BL2023" t="s">
        <v>4219</v>
      </c>
      <c r="BM2023" s="4">
        <v>43283.284722222219</v>
      </c>
      <c r="BN2023" s="4">
        <v>43283.316412037035</v>
      </c>
      <c r="BO2023" s="4">
        <v>43283.316412037035</v>
      </c>
      <c r="BP2023" t="s">
        <v>92</v>
      </c>
      <c r="BQ2023" t="s">
        <v>93</v>
      </c>
      <c r="BR2023" t="s">
        <v>94</v>
      </c>
    </row>
    <row r="2024" spans="1:70" x14ac:dyDescent="0.3">
      <c r="A2024" t="str">
        <f>"201378B0100"</f>
        <v>201378B0100</v>
      </c>
      <c r="B2024" t="s">
        <v>4220</v>
      </c>
      <c r="C2024">
        <v>20</v>
      </c>
      <c r="D2024" t="s">
        <v>88</v>
      </c>
      <c r="E2024">
        <v>276</v>
      </c>
      <c r="F2024" t="s">
        <v>4190</v>
      </c>
      <c r="G2024">
        <v>1378</v>
      </c>
      <c r="H2024">
        <v>1</v>
      </c>
      <c r="I2024" t="s">
        <v>90</v>
      </c>
      <c r="J2024">
        <v>0</v>
      </c>
      <c r="K2024">
        <v>2</v>
      </c>
      <c r="L2024">
        <v>5</v>
      </c>
      <c r="M2024">
        <v>40</v>
      </c>
      <c r="N2024">
        <v>151</v>
      </c>
      <c r="O2024">
        <v>3</v>
      </c>
      <c r="P2024">
        <v>151</v>
      </c>
      <c r="Q2024">
        <v>6</v>
      </c>
      <c r="R2024">
        <v>106</v>
      </c>
      <c r="S2024">
        <v>4</v>
      </c>
      <c r="T2024">
        <v>0</v>
      </c>
      <c r="U2024">
        <v>2</v>
      </c>
      <c r="V2024">
        <v>2</v>
      </c>
      <c r="W2024">
        <v>1</v>
      </c>
      <c r="X2024">
        <v>0</v>
      </c>
      <c r="Y2024">
        <v>24</v>
      </c>
      <c r="Z2024">
        <v>0</v>
      </c>
      <c r="AC2024">
        <v>0</v>
      </c>
      <c r="AD2024">
        <v>0</v>
      </c>
      <c r="AE2024">
        <v>0</v>
      </c>
      <c r="AF2024">
        <v>0</v>
      </c>
      <c r="AK2024">
        <v>1</v>
      </c>
      <c r="AL2024">
        <v>0</v>
      </c>
      <c r="AM2024">
        <v>0</v>
      </c>
      <c r="AN2024">
        <v>0</v>
      </c>
      <c r="AS2024">
        <v>1</v>
      </c>
      <c r="AT2024">
        <v>0</v>
      </c>
      <c r="AU2024">
        <v>0</v>
      </c>
      <c r="AV2024">
        <v>0</v>
      </c>
      <c r="BC2024" t="s">
        <v>105</v>
      </c>
      <c r="BD2024">
        <v>4</v>
      </c>
      <c r="BE2024">
        <v>151</v>
      </c>
      <c r="BF2024">
        <v>151</v>
      </c>
      <c r="BG2024">
        <v>169</v>
      </c>
      <c r="BI2024" t="s">
        <v>106</v>
      </c>
      <c r="BJ2024">
        <v>1</v>
      </c>
      <c r="BL2024" t="s">
        <v>4221</v>
      </c>
      <c r="BM2024" s="4">
        <v>43283.251388888886</v>
      </c>
      <c r="BN2024" s="4">
        <v>43283.275625000002</v>
      </c>
      <c r="BO2024" s="4">
        <v>43283.275625000002</v>
      </c>
      <c r="BP2024" t="s">
        <v>92</v>
      </c>
      <c r="BQ2024" t="s">
        <v>93</v>
      </c>
      <c r="BR2024" t="s">
        <v>94</v>
      </c>
    </row>
    <row r="2025" spans="1:70" x14ac:dyDescent="0.3">
      <c r="A2025" t="str">
        <f>"201378E0100"</f>
        <v>201378E0100</v>
      </c>
      <c r="B2025" s="2" t="s">
        <v>4222</v>
      </c>
      <c r="C2025">
        <v>20</v>
      </c>
      <c r="D2025" t="s">
        <v>88</v>
      </c>
      <c r="E2025">
        <v>276</v>
      </c>
      <c r="F2025" t="s">
        <v>4190</v>
      </c>
      <c r="G2025">
        <v>1378</v>
      </c>
      <c r="H2025">
        <v>1</v>
      </c>
      <c r="I2025" t="s">
        <v>156</v>
      </c>
      <c r="J2025">
        <v>0</v>
      </c>
      <c r="K2025">
        <v>2</v>
      </c>
      <c r="L2025">
        <v>5</v>
      </c>
      <c r="M2025">
        <v>59</v>
      </c>
      <c r="N2025">
        <v>269</v>
      </c>
      <c r="O2025">
        <v>2</v>
      </c>
      <c r="P2025">
        <v>230</v>
      </c>
      <c r="Q2025">
        <v>14</v>
      </c>
      <c r="R2025">
        <v>166</v>
      </c>
      <c r="S2025">
        <v>0</v>
      </c>
      <c r="T2025">
        <v>1</v>
      </c>
      <c r="U2025">
        <v>0</v>
      </c>
      <c r="V2025">
        <v>0</v>
      </c>
      <c r="W2025">
        <v>0</v>
      </c>
      <c r="X2025">
        <v>0</v>
      </c>
      <c r="Y2025">
        <v>42</v>
      </c>
      <c r="Z2025">
        <v>1</v>
      </c>
      <c r="AC2025">
        <v>0</v>
      </c>
      <c r="AD2025">
        <v>0</v>
      </c>
      <c r="AE2025">
        <v>0</v>
      </c>
      <c r="AF2025">
        <v>0</v>
      </c>
      <c r="AK2025">
        <v>0</v>
      </c>
      <c r="AL2025">
        <v>0</v>
      </c>
      <c r="AM2025">
        <v>0</v>
      </c>
      <c r="AN2025">
        <v>0</v>
      </c>
      <c r="AS2025">
        <v>1</v>
      </c>
      <c r="AT2025">
        <v>2</v>
      </c>
      <c r="AU2025">
        <v>0</v>
      </c>
      <c r="AV2025">
        <v>0</v>
      </c>
      <c r="BC2025">
        <v>0</v>
      </c>
      <c r="BD2025">
        <v>3</v>
      </c>
      <c r="BE2025">
        <v>230</v>
      </c>
      <c r="BF2025">
        <v>230</v>
      </c>
      <c r="BG2025">
        <v>267</v>
      </c>
      <c r="BJ2025">
        <v>1</v>
      </c>
      <c r="BL2025" s="2" t="s">
        <v>4223</v>
      </c>
      <c r="BM2025" s="4">
        <v>43283.255555555559</v>
      </c>
      <c r="BN2025" s="4">
        <v>43283.280682870369</v>
      </c>
      <c r="BO2025" s="4">
        <v>43283.280682870369</v>
      </c>
      <c r="BP2025" t="s">
        <v>92</v>
      </c>
      <c r="BQ2025" t="s">
        <v>93</v>
      </c>
      <c r="BR2025" t="s">
        <v>94</v>
      </c>
    </row>
    <row r="2026" spans="1:70" x14ac:dyDescent="0.3">
      <c r="A2026" t="str">
        <f>"201379B0100"</f>
        <v>201379B0100</v>
      </c>
      <c r="B2026" t="s">
        <v>4224</v>
      </c>
      <c r="C2026">
        <v>20</v>
      </c>
      <c r="D2026" t="s">
        <v>88</v>
      </c>
      <c r="E2026">
        <v>276</v>
      </c>
      <c r="F2026" t="s">
        <v>4190</v>
      </c>
      <c r="G2026">
        <v>1379</v>
      </c>
      <c r="H2026">
        <v>1</v>
      </c>
      <c r="I2026" t="s">
        <v>90</v>
      </c>
      <c r="J2026">
        <v>0</v>
      </c>
      <c r="K2026">
        <v>2</v>
      </c>
      <c r="L2026">
        <v>5</v>
      </c>
      <c r="BG2026">
        <v>639</v>
      </c>
      <c r="BI2026" t="s">
        <v>122</v>
      </c>
      <c r="BJ2026">
        <v>0</v>
      </c>
      <c r="BL2026" t="s">
        <v>4225</v>
      </c>
      <c r="BM2026" s="4">
        <v>43283.575694444444</v>
      </c>
      <c r="BN2026" s="4">
        <v>43283.578668981485</v>
      </c>
      <c r="BO2026" s="4">
        <v>43283.578668981485</v>
      </c>
      <c r="BP2026" t="s">
        <v>92</v>
      </c>
      <c r="BQ2026" t="s">
        <v>93</v>
      </c>
      <c r="BR2026" t="s">
        <v>94</v>
      </c>
    </row>
    <row r="2027" spans="1:70" x14ac:dyDescent="0.3">
      <c r="A2027" t="str">
        <f>"201379E0100"</f>
        <v>201379E0100</v>
      </c>
      <c r="B2027" s="2" t="s">
        <v>4226</v>
      </c>
      <c r="C2027">
        <v>20</v>
      </c>
      <c r="D2027" t="s">
        <v>88</v>
      </c>
      <c r="E2027">
        <v>276</v>
      </c>
      <c r="F2027" t="s">
        <v>4190</v>
      </c>
      <c r="G2027">
        <v>1379</v>
      </c>
      <c r="H2027">
        <v>1</v>
      </c>
      <c r="I2027" t="s">
        <v>156</v>
      </c>
      <c r="J2027">
        <v>0</v>
      </c>
      <c r="K2027">
        <v>2</v>
      </c>
      <c r="L2027">
        <v>5</v>
      </c>
      <c r="BG2027">
        <v>547</v>
      </c>
      <c r="BI2027" t="s">
        <v>122</v>
      </c>
      <c r="BJ2027">
        <v>0</v>
      </c>
      <c r="BL2027" t="s">
        <v>4227</v>
      </c>
      <c r="BM2027" s="4">
        <v>43283.575694444444</v>
      </c>
      <c r="BN2027" s="4">
        <v>43283.578576388885</v>
      </c>
      <c r="BO2027" s="4">
        <v>43283.578576388885</v>
      </c>
      <c r="BP2027" t="s">
        <v>92</v>
      </c>
      <c r="BQ2027" t="s">
        <v>93</v>
      </c>
      <c r="BR2027" t="s">
        <v>94</v>
      </c>
    </row>
    <row r="2028" spans="1:70" x14ac:dyDescent="0.3">
      <c r="A2028" t="str">
        <f>"201379E0200"</f>
        <v>201379E0200</v>
      </c>
      <c r="B2028" s="2" t="s">
        <v>4228</v>
      </c>
      <c r="C2028">
        <v>20</v>
      </c>
      <c r="D2028" t="s">
        <v>88</v>
      </c>
      <c r="E2028">
        <v>276</v>
      </c>
      <c r="F2028" t="s">
        <v>4190</v>
      </c>
      <c r="G2028">
        <v>1379</v>
      </c>
      <c r="H2028">
        <v>2</v>
      </c>
      <c r="I2028" t="s">
        <v>156</v>
      </c>
      <c r="J2028">
        <v>0</v>
      </c>
      <c r="K2028">
        <v>2</v>
      </c>
      <c r="L2028">
        <v>5</v>
      </c>
      <c r="M2028">
        <v>36</v>
      </c>
      <c r="N2028">
        <v>224</v>
      </c>
      <c r="O2028">
        <v>0</v>
      </c>
      <c r="P2028">
        <v>224</v>
      </c>
      <c r="Q2028">
        <v>21</v>
      </c>
      <c r="R2028">
        <v>141</v>
      </c>
      <c r="S2028">
        <v>5</v>
      </c>
      <c r="T2028">
        <v>1</v>
      </c>
      <c r="U2028">
        <v>3</v>
      </c>
      <c r="V2028">
        <v>4</v>
      </c>
      <c r="W2028">
        <v>1</v>
      </c>
      <c r="X2028">
        <v>0</v>
      </c>
      <c r="Y2028">
        <v>41</v>
      </c>
      <c r="Z2028">
        <v>2</v>
      </c>
      <c r="AC2028">
        <v>0</v>
      </c>
      <c r="AD2028">
        <v>0</v>
      </c>
      <c r="AE2028">
        <v>0</v>
      </c>
      <c r="AF2028">
        <v>0</v>
      </c>
      <c r="AK2028">
        <v>0</v>
      </c>
      <c r="AL2028">
        <v>0</v>
      </c>
      <c r="AM2028">
        <v>0</v>
      </c>
      <c r="AN2028">
        <v>0</v>
      </c>
      <c r="AS2028">
        <v>1</v>
      </c>
      <c r="AT2028">
        <v>1</v>
      </c>
      <c r="AU2028">
        <v>0</v>
      </c>
      <c r="AV2028">
        <v>0</v>
      </c>
      <c r="BC2028">
        <v>0</v>
      </c>
      <c r="BD2028">
        <v>3</v>
      </c>
      <c r="BE2028">
        <v>224</v>
      </c>
      <c r="BF2028">
        <v>224</v>
      </c>
      <c r="BG2028">
        <v>238</v>
      </c>
      <c r="BJ2028">
        <v>1</v>
      </c>
      <c r="BL2028" t="s">
        <v>4229</v>
      </c>
      <c r="BM2028" s="4">
        <v>43283.101388888892</v>
      </c>
      <c r="BN2028" s="4">
        <v>43283.104375000003</v>
      </c>
      <c r="BO2028" s="4">
        <v>43283.104375000003</v>
      </c>
      <c r="BP2028" t="s">
        <v>92</v>
      </c>
      <c r="BQ2028" t="s">
        <v>93</v>
      </c>
      <c r="BR2028" t="s">
        <v>254</v>
      </c>
    </row>
    <row r="2029" spans="1:70" x14ac:dyDescent="0.3">
      <c r="A2029" t="str">
        <f>"201380B0100"</f>
        <v>201380B0100</v>
      </c>
      <c r="B2029" t="s">
        <v>4230</v>
      </c>
      <c r="C2029">
        <v>20</v>
      </c>
      <c r="D2029" t="s">
        <v>88</v>
      </c>
      <c r="E2029">
        <v>276</v>
      </c>
      <c r="F2029" t="s">
        <v>4190</v>
      </c>
      <c r="G2029">
        <v>1380</v>
      </c>
      <c r="H2029">
        <v>1</v>
      </c>
      <c r="I2029" t="s">
        <v>90</v>
      </c>
      <c r="J2029">
        <v>0</v>
      </c>
      <c r="K2029">
        <v>2</v>
      </c>
      <c r="L2029">
        <v>5</v>
      </c>
      <c r="M2029">
        <v>88</v>
      </c>
      <c r="N2029">
        <v>316</v>
      </c>
      <c r="O2029">
        <v>0</v>
      </c>
      <c r="P2029">
        <v>316</v>
      </c>
      <c r="Q2029">
        <v>9</v>
      </c>
      <c r="R2029">
        <v>136</v>
      </c>
      <c r="S2029">
        <v>2</v>
      </c>
      <c r="T2029">
        <v>89</v>
      </c>
      <c r="U2029">
        <v>2</v>
      </c>
      <c r="V2029">
        <v>3</v>
      </c>
      <c r="W2029">
        <v>0</v>
      </c>
      <c r="X2029">
        <v>1</v>
      </c>
      <c r="Y2029">
        <v>63</v>
      </c>
      <c r="Z2029">
        <v>1</v>
      </c>
      <c r="AC2029">
        <v>0</v>
      </c>
      <c r="AD2029">
        <v>0</v>
      </c>
      <c r="AE2029">
        <v>0</v>
      </c>
      <c r="AF2029">
        <v>0</v>
      </c>
      <c r="AK2029">
        <v>1</v>
      </c>
      <c r="AL2029">
        <v>0</v>
      </c>
      <c r="AM2029">
        <v>0</v>
      </c>
      <c r="AN2029">
        <v>2</v>
      </c>
      <c r="AS2029">
        <v>1</v>
      </c>
      <c r="AT2029">
        <v>0</v>
      </c>
      <c r="AU2029">
        <v>0</v>
      </c>
      <c r="AV2029">
        <v>0</v>
      </c>
      <c r="BC2029">
        <v>0</v>
      </c>
      <c r="BD2029">
        <v>6</v>
      </c>
      <c r="BE2029">
        <v>316</v>
      </c>
      <c r="BF2029">
        <v>316</v>
      </c>
      <c r="BG2029">
        <v>380</v>
      </c>
      <c r="BJ2029">
        <v>1</v>
      </c>
      <c r="BL2029" t="s">
        <v>4231</v>
      </c>
      <c r="BM2029" s="4">
        <v>43283.097743055558</v>
      </c>
      <c r="BN2029" s="4">
        <v>43283.104328703703</v>
      </c>
      <c r="BO2029" s="4">
        <v>43283.104328703703</v>
      </c>
      <c r="BP2029" t="s">
        <v>339</v>
      </c>
      <c r="BQ2029" t="s">
        <v>340</v>
      </c>
      <c r="BR2029" t="s">
        <v>94</v>
      </c>
    </row>
    <row r="2030" spans="1:70" x14ac:dyDescent="0.3">
      <c r="A2030" t="str">
        <f>"201380C0100"</f>
        <v>201380C0100</v>
      </c>
      <c r="B2030" t="s">
        <v>4232</v>
      </c>
      <c r="C2030">
        <v>20</v>
      </c>
      <c r="D2030" t="s">
        <v>88</v>
      </c>
      <c r="E2030">
        <v>276</v>
      </c>
      <c r="F2030" t="s">
        <v>4190</v>
      </c>
      <c r="G2030">
        <v>1380</v>
      </c>
      <c r="H2030">
        <v>1</v>
      </c>
      <c r="I2030" t="s">
        <v>98</v>
      </c>
      <c r="J2030">
        <v>0</v>
      </c>
      <c r="K2030">
        <v>2</v>
      </c>
      <c r="L2030">
        <v>5</v>
      </c>
      <c r="M2030">
        <v>78</v>
      </c>
      <c r="N2030" t="s">
        <v>105</v>
      </c>
      <c r="O2030" t="s">
        <v>105</v>
      </c>
      <c r="P2030" t="s">
        <v>105</v>
      </c>
      <c r="Q2030">
        <v>7</v>
      </c>
      <c r="R2030">
        <v>178</v>
      </c>
      <c r="S2030">
        <v>1</v>
      </c>
      <c r="T2030">
        <v>79</v>
      </c>
      <c r="U2030">
        <v>1</v>
      </c>
      <c r="V2030">
        <v>5</v>
      </c>
      <c r="W2030">
        <v>0</v>
      </c>
      <c r="X2030">
        <v>0</v>
      </c>
      <c r="Y2030">
        <v>44</v>
      </c>
      <c r="Z2030">
        <v>0</v>
      </c>
      <c r="AC2030">
        <v>0</v>
      </c>
      <c r="AD2030">
        <v>0</v>
      </c>
      <c r="AE2030">
        <v>0</v>
      </c>
      <c r="AF2030">
        <v>0</v>
      </c>
      <c r="AK2030">
        <v>0</v>
      </c>
      <c r="AL2030">
        <v>0</v>
      </c>
      <c r="AM2030">
        <v>0</v>
      </c>
      <c r="AN2030">
        <v>0</v>
      </c>
      <c r="AS2030">
        <v>0</v>
      </c>
      <c r="AT2030">
        <v>1</v>
      </c>
      <c r="AU2030">
        <v>0</v>
      </c>
      <c r="AV2030">
        <v>0</v>
      </c>
      <c r="BC2030">
        <v>0</v>
      </c>
      <c r="BD2030">
        <v>4</v>
      </c>
      <c r="BE2030">
        <v>316</v>
      </c>
      <c r="BF2030">
        <v>320</v>
      </c>
      <c r="BG2030">
        <v>379</v>
      </c>
      <c r="BJ2030">
        <v>1</v>
      </c>
      <c r="BL2030" t="s">
        <v>4233</v>
      </c>
      <c r="BM2030" s="4">
        <v>43283.099224537036</v>
      </c>
      <c r="BN2030" s="4">
        <v>43283.103576388887</v>
      </c>
      <c r="BO2030" s="4">
        <v>43283.103576388887</v>
      </c>
      <c r="BP2030" t="s">
        <v>339</v>
      </c>
      <c r="BQ2030" t="s">
        <v>340</v>
      </c>
      <c r="BR2030" t="s">
        <v>94</v>
      </c>
    </row>
    <row r="2031" spans="1:70" x14ac:dyDescent="0.3">
      <c r="A2031" t="str">
        <f>"201381B0100"</f>
        <v>201381B0100</v>
      </c>
      <c r="B2031" t="s">
        <v>4234</v>
      </c>
      <c r="C2031">
        <v>20</v>
      </c>
      <c r="D2031" t="s">
        <v>88</v>
      </c>
      <c r="E2031">
        <v>276</v>
      </c>
      <c r="F2031" t="s">
        <v>4190</v>
      </c>
      <c r="G2031">
        <v>1381</v>
      </c>
      <c r="H2031">
        <v>1</v>
      </c>
      <c r="I2031" t="s">
        <v>90</v>
      </c>
      <c r="J2031">
        <v>0</v>
      </c>
      <c r="K2031">
        <v>2</v>
      </c>
      <c r="L2031">
        <v>5</v>
      </c>
      <c r="M2031">
        <v>74</v>
      </c>
      <c r="N2031">
        <v>330</v>
      </c>
      <c r="O2031">
        <v>1</v>
      </c>
      <c r="P2031">
        <v>330</v>
      </c>
      <c r="Q2031">
        <v>20</v>
      </c>
      <c r="R2031">
        <v>266</v>
      </c>
      <c r="S2031">
        <v>9</v>
      </c>
      <c r="T2031">
        <v>2</v>
      </c>
      <c r="U2031">
        <v>2</v>
      </c>
      <c r="V2031">
        <v>2</v>
      </c>
      <c r="W2031">
        <v>1</v>
      </c>
      <c r="X2031">
        <v>0</v>
      </c>
      <c r="Y2031">
        <v>17</v>
      </c>
      <c r="Z2031">
        <v>0</v>
      </c>
      <c r="AC2031">
        <v>0</v>
      </c>
      <c r="AD2031">
        <v>0</v>
      </c>
      <c r="AE2031">
        <v>0</v>
      </c>
      <c r="AF2031">
        <v>0</v>
      </c>
      <c r="AK2031">
        <v>1</v>
      </c>
      <c r="AL2031">
        <v>0</v>
      </c>
      <c r="AM2031">
        <v>0</v>
      </c>
      <c r="AN2031">
        <v>0</v>
      </c>
      <c r="AS2031">
        <v>0</v>
      </c>
      <c r="AT2031">
        <v>1</v>
      </c>
      <c r="AU2031">
        <v>0</v>
      </c>
      <c r="AV2031">
        <v>0</v>
      </c>
      <c r="BC2031">
        <v>0</v>
      </c>
      <c r="BD2031">
        <v>9</v>
      </c>
      <c r="BE2031">
        <v>330</v>
      </c>
      <c r="BF2031">
        <v>330</v>
      </c>
      <c r="BG2031">
        <v>382</v>
      </c>
      <c r="BJ2031">
        <v>1</v>
      </c>
      <c r="BL2031" t="s">
        <v>4235</v>
      </c>
      <c r="BM2031" s="4">
        <v>43283.109722222223</v>
      </c>
      <c r="BN2031" s="4">
        <v>43283.127141203702</v>
      </c>
      <c r="BO2031" s="4">
        <v>43283.127141203702</v>
      </c>
      <c r="BP2031" t="s">
        <v>92</v>
      </c>
      <c r="BQ2031" t="s">
        <v>93</v>
      </c>
      <c r="BR2031" t="s">
        <v>94</v>
      </c>
    </row>
    <row r="2032" spans="1:70" x14ac:dyDescent="0.3">
      <c r="A2032" t="str">
        <f>"201381E0100"</f>
        <v>201381E0100</v>
      </c>
      <c r="B2032" s="2" t="s">
        <v>4236</v>
      </c>
      <c r="C2032">
        <v>20</v>
      </c>
      <c r="D2032" t="s">
        <v>88</v>
      </c>
      <c r="E2032">
        <v>276</v>
      </c>
      <c r="F2032" t="s">
        <v>4190</v>
      </c>
      <c r="G2032">
        <v>1381</v>
      </c>
      <c r="H2032">
        <v>1</v>
      </c>
      <c r="I2032" t="s">
        <v>156</v>
      </c>
      <c r="J2032">
        <v>0</v>
      </c>
      <c r="K2032">
        <v>2</v>
      </c>
      <c r="L2032">
        <v>5</v>
      </c>
      <c r="M2032" t="s">
        <v>105</v>
      </c>
      <c r="N2032" t="s">
        <v>105</v>
      </c>
      <c r="O2032" t="s">
        <v>105</v>
      </c>
      <c r="P2032" t="s">
        <v>105</v>
      </c>
      <c r="Q2032">
        <v>20</v>
      </c>
      <c r="R2032">
        <v>319</v>
      </c>
      <c r="S2032">
        <v>4</v>
      </c>
      <c r="T2032">
        <v>1</v>
      </c>
      <c r="U2032">
        <v>5</v>
      </c>
      <c r="V2032">
        <v>6</v>
      </c>
      <c r="W2032">
        <v>1</v>
      </c>
      <c r="X2032">
        <v>1</v>
      </c>
      <c r="Y2032">
        <v>94</v>
      </c>
      <c r="Z2032">
        <v>5</v>
      </c>
      <c r="AC2032" t="s">
        <v>105</v>
      </c>
      <c r="AD2032" t="s">
        <v>105</v>
      </c>
      <c r="AE2032" t="s">
        <v>105</v>
      </c>
      <c r="AF2032" t="s">
        <v>105</v>
      </c>
      <c r="AK2032">
        <v>2</v>
      </c>
      <c r="AL2032" t="s">
        <v>105</v>
      </c>
      <c r="AM2032">
        <v>1</v>
      </c>
      <c r="AN2032" t="s">
        <v>105</v>
      </c>
      <c r="AS2032">
        <v>3</v>
      </c>
      <c r="AT2032">
        <v>9</v>
      </c>
      <c r="AU2032" t="s">
        <v>105</v>
      </c>
      <c r="AV2032" t="s">
        <v>105</v>
      </c>
      <c r="BC2032" t="s">
        <v>105</v>
      </c>
      <c r="BD2032">
        <v>8</v>
      </c>
      <c r="BE2032">
        <v>479</v>
      </c>
      <c r="BF2032">
        <v>479</v>
      </c>
      <c r="BG2032">
        <v>584</v>
      </c>
      <c r="BI2032" t="s">
        <v>106</v>
      </c>
      <c r="BJ2032">
        <v>1</v>
      </c>
      <c r="BL2032" t="s">
        <v>4237</v>
      </c>
      <c r="BM2032" s="4">
        <v>43283.115277777775</v>
      </c>
      <c r="BN2032" s="4">
        <v>43283.121099537035</v>
      </c>
      <c r="BO2032" s="4">
        <v>43283.121099537035</v>
      </c>
      <c r="BP2032" t="s">
        <v>92</v>
      </c>
      <c r="BQ2032" t="s">
        <v>93</v>
      </c>
      <c r="BR2032" t="s">
        <v>94</v>
      </c>
    </row>
    <row r="2033" spans="1:70" x14ac:dyDescent="0.3">
      <c r="A2033" t="str">
        <f>"201382B0100"</f>
        <v>201382B0100</v>
      </c>
      <c r="B2033" t="s">
        <v>4238</v>
      </c>
      <c r="C2033">
        <v>20</v>
      </c>
      <c r="D2033" t="s">
        <v>88</v>
      </c>
      <c r="E2033">
        <v>276</v>
      </c>
      <c r="F2033" t="s">
        <v>4190</v>
      </c>
      <c r="G2033">
        <v>1382</v>
      </c>
      <c r="H2033">
        <v>1</v>
      </c>
      <c r="I2033" t="s">
        <v>90</v>
      </c>
      <c r="J2033">
        <v>0</v>
      </c>
      <c r="K2033">
        <v>2</v>
      </c>
      <c r="L2033">
        <v>5</v>
      </c>
      <c r="M2033">
        <v>105</v>
      </c>
      <c r="N2033" t="s">
        <v>105</v>
      </c>
      <c r="O2033">
        <v>1</v>
      </c>
      <c r="P2033">
        <v>390</v>
      </c>
      <c r="Q2033">
        <v>42</v>
      </c>
      <c r="R2033">
        <v>166</v>
      </c>
      <c r="S2033">
        <v>1</v>
      </c>
      <c r="T2033">
        <v>53</v>
      </c>
      <c r="U2033">
        <v>4</v>
      </c>
      <c r="V2033">
        <v>36</v>
      </c>
      <c r="W2033">
        <v>1</v>
      </c>
      <c r="X2033">
        <v>2</v>
      </c>
      <c r="Y2033">
        <v>74</v>
      </c>
      <c r="Z2033">
        <v>2</v>
      </c>
      <c r="AC2033" t="s">
        <v>105</v>
      </c>
      <c r="AD2033" t="s">
        <v>105</v>
      </c>
      <c r="AE2033" t="s">
        <v>105</v>
      </c>
      <c r="AF2033" t="s">
        <v>105</v>
      </c>
      <c r="AK2033" t="s">
        <v>105</v>
      </c>
      <c r="AL2033" t="s">
        <v>105</v>
      </c>
      <c r="AM2033" t="s">
        <v>105</v>
      </c>
      <c r="AN2033" t="s">
        <v>105</v>
      </c>
      <c r="AS2033" t="s">
        <v>105</v>
      </c>
      <c r="AT2033" t="s">
        <v>105</v>
      </c>
      <c r="AU2033" t="s">
        <v>105</v>
      </c>
      <c r="AV2033" t="s">
        <v>105</v>
      </c>
      <c r="BC2033" t="s">
        <v>105</v>
      </c>
      <c r="BD2033" t="s">
        <v>105</v>
      </c>
      <c r="BE2033" t="s">
        <v>105</v>
      </c>
      <c r="BF2033">
        <v>381</v>
      </c>
      <c r="BG2033">
        <v>473</v>
      </c>
      <c r="BI2033" t="s">
        <v>106</v>
      </c>
      <c r="BJ2033">
        <v>1</v>
      </c>
      <c r="BL2033" t="s">
        <v>4239</v>
      </c>
      <c r="BM2033" s="4">
        <v>43283.138888888891</v>
      </c>
      <c r="BN2033" s="4">
        <v>43283.142812500002</v>
      </c>
      <c r="BO2033" s="4">
        <v>43283.142812500002</v>
      </c>
      <c r="BP2033" t="s">
        <v>92</v>
      </c>
      <c r="BQ2033" t="s">
        <v>93</v>
      </c>
      <c r="BR2033" t="s">
        <v>94</v>
      </c>
    </row>
    <row r="2034" spans="1:70" x14ac:dyDescent="0.3">
      <c r="A2034" t="str">
        <f>"201382C0100"</f>
        <v>201382C0100</v>
      </c>
      <c r="B2034" t="s">
        <v>4240</v>
      </c>
      <c r="C2034">
        <v>20</v>
      </c>
      <c r="D2034" t="s">
        <v>88</v>
      </c>
      <c r="E2034">
        <v>276</v>
      </c>
      <c r="F2034" t="s">
        <v>4190</v>
      </c>
      <c r="G2034">
        <v>1382</v>
      </c>
      <c r="H2034">
        <v>1</v>
      </c>
      <c r="I2034" t="s">
        <v>98</v>
      </c>
      <c r="J2034">
        <v>0</v>
      </c>
      <c r="K2034">
        <v>2</v>
      </c>
      <c r="L2034">
        <v>5</v>
      </c>
      <c r="M2034">
        <v>117</v>
      </c>
      <c r="N2034">
        <v>378</v>
      </c>
      <c r="O2034">
        <v>2</v>
      </c>
      <c r="P2034">
        <v>377</v>
      </c>
      <c r="Q2034">
        <v>21</v>
      </c>
      <c r="R2034">
        <v>173</v>
      </c>
      <c r="S2034">
        <v>6</v>
      </c>
      <c r="T2034">
        <v>55</v>
      </c>
      <c r="U2034">
        <v>3</v>
      </c>
      <c r="V2034">
        <v>29</v>
      </c>
      <c r="W2034">
        <v>2</v>
      </c>
      <c r="X2034">
        <v>2</v>
      </c>
      <c r="Y2034">
        <v>70</v>
      </c>
      <c r="Z2034" t="s">
        <v>105</v>
      </c>
      <c r="AC2034" t="s">
        <v>105</v>
      </c>
      <c r="AD2034">
        <v>1</v>
      </c>
      <c r="AE2034" t="s">
        <v>105</v>
      </c>
      <c r="AF2034" t="s">
        <v>105</v>
      </c>
      <c r="AK2034" t="s">
        <v>105</v>
      </c>
      <c r="AL2034" t="s">
        <v>105</v>
      </c>
      <c r="AM2034">
        <v>1</v>
      </c>
      <c r="AN2034" t="s">
        <v>105</v>
      </c>
      <c r="AS2034" t="s">
        <v>105</v>
      </c>
      <c r="AT2034">
        <v>1</v>
      </c>
      <c r="AU2034" t="s">
        <v>105</v>
      </c>
      <c r="AV2034" t="s">
        <v>105</v>
      </c>
      <c r="BC2034" t="s">
        <v>105</v>
      </c>
      <c r="BD2034">
        <v>13</v>
      </c>
      <c r="BE2034">
        <v>377</v>
      </c>
      <c r="BF2034">
        <v>377</v>
      </c>
      <c r="BG2034">
        <v>472</v>
      </c>
      <c r="BI2034" t="s">
        <v>106</v>
      </c>
      <c r="BJ2034">
        <v>1</v>
      </c>
      <c r="BL2034" t="s">
        <v>4241</v>
      </c>
      <c r="BM2034" s="4">
        <v>43283.140277777777</v>
      </c>
      <c r="BN2034" s="4">
        <v>43283.144189814811</v>
      </c>
      <c r="BO2034" s="4">
        <v>43283.144189814811</v>
      </c>
      <c r="BP2034" t="s">
        <v>92</v>
      </c>
      <c r="BQ2034" t="s">
        <v>93</v>
      </c>
      <c r="BR2034" t="s">
        <v>94</v>
      </c>
    </row>
    <row r="2035" spans="1:70" x14ac:dyDescent="0.3">
      <c r="A2035" t="str">
        <f>"201383B0100"</f>
        <v>201383B0100</v>
      </c>
      <c r="B2035" t="s">
        <v>4242</v>
      </c>
      <c r="C2035">
        <v>20</v>
      </c>
      <c r="D2035" t="s">
        <v>88</v>
      </c>
      <c r="E2035">
        <v>276</v>
      </c>
      <c r="F2035" t="s">
        <v>4190</v>
      </c>
      <c r="G2035">
        <v>1383</v>
      </c>
      <c r="H2035">
        <v>1</v>
      </c>
      <c r="I2035" t="s">
        <v>90</v>
      </c>
      <c r="J2035">
        <v>0</v>
      </c>
      <c r="K2035">
        <v>2</v>
      </c>
      <c r="L2035">
        <v>5</v>
      </c>
      <c r="M2035">
        <v>102</v>
      </c>
      <c r="N2035">
        <v>430</v>
      </c>
      <c r="O2035">
        <v>2</v>
      </c>
      <c r="P2035">
        <v>430</v>
      </c>
      <c r="Q2035">
        <v>56</v>
      </c>
      <c r="R2035">
        <v>201</v>
      </c>
      <c r="S2035">
        <v>25</v>
      </c>
      <c r="T2035">
        <v>0</v>
      </c>
      <c r="U2035">
        <v>1</v>
      </c>
      <c r="V2035">
        <v>10</v>
      </c>
      <c r="W2035">
        <v>1</v>
      </c>
      <c r="X2035">
        <v>4</v>
      </c>
      <c r="Y2035">
        <v>123</v>
      </c>
      <c r="Z2035">
        <v>3</v>
      </c>
      <c r="AC2035">
        <v>0</v>
      </c>
      <c r="AD2035">
        <v>0</v>
      </c>
      <c r="AE2035">
        <v>0</v>
      </c>
      <c r="AF2035">
        <v>0</v>
      </c>
      <c r="AK2035">
        <v>0</v>
      </c>
      <c r="AL2035">
        <v>0</v>
      </c>
      <c r="AM2035">
        <v>0</v>
      </c>
      <c r="AN2035">
        <v>0</v>
      </c>
      <c r="AS2035">
        <v>0</v>
      </c>
      <c r="AT2035">
        <v>0</v>
      </c>
      <c r="AU2035">
        <v>0</v>
      </c>
      <c r="AV2035">
        <v>0</v>
      </c>
      <c r="BC2035">
        <v>0</v>
      </c>
      <c r="BD2035">
        <v>6</v>
      </c>
      <c r="BE2035">
        <v>430</v>
      </c>
      <c r="BF2035">
        <v>430</v>
      </c>
      <c r="BG2035">
        <v>510</v>
      </c>
      <c r="BJ2035">
        <v>1</v>
      </c>
      <c r="BL2035" t="s">
        <v>4243</v>
      </c>
      <c r="BM2035" s="4">
        <v>43283.048182870371</v>
      </c>
      <c r="BN2035" s="4">
        <v>43283.051238425927</v>
      </c>
      <c r="BO2035" s="4">
        <v>43283.051238425927</v>
      </c>
      <c r="BP2035" t="s">
        <v>339</v>
      </c>
      <c r="BQ2035" t="s">
        <v>340</v>
      </c>
      <c r="BR2035" t="s">
        <v>94</v>
      </c>
    </row>
    <row r="2036" spans="1:70" x14ac:dyDescent="0.3">
      <c r="A2036" t="str">
        <f>"201383C0100"</f>
        <v>201383C0100</v>
      </c>
      <c r="B2036" t="s">
        <v>4244</v>
      </c>
      <c r="C2036">
        <v>20</v>
      </c>
      <c r="D2036" t="s">
        <v>88</v>
      </c>
      <c r="E2036">
        <v>276</v>
      </c>
      <c r="F2036" t="s">
        <v>4190</v>
      </c>
      <c r="G2036">
        <v>1383</v>
      </c>
      <c r="H2036">
        <v>1</v>
      </c>
      <c r="I2036" t="s">
        <v>98</v>
      </c>
      <c r="J2036">
        <v>0</v>
      </c>
      <c r="K2036">
        <v>2</v>
      </c>
      <c r="L2036">
        <v>5</v>
      </c>
      <c r="M2036" t="s">
        <v>105</v>
      </c>
      <c r="N2036" t="s">
        <v>105</v>
      </c>
      <c r="O2036" t="s">
        <v>105</v>
      </c>
      <c r="P2036" t="s">
        <v>105</v>
      </c>
      <c r="Q2036">
        <v>55</v>
      </c>
      <c r="R2036">
        <v>224</v>
      </c>
      <c r="S2036">
        <v>19</v>
      </c>
      <c r="T2036">
        <v>0</v>
      </c>
      <c r="U2036">
        <v>2</v>
      </c>
      <c r="V2036">
        <v>10</v>
      </c>
      <c r="W2036">
        <v>0</v>
      </c>
      <c r="X2036">
        <v>2</v>
      </c>
      <c r="Y2036">
        <v>85</v>
      </c>
      <c r="Z2036">
        <v>5</v>
      </c>
      <c r="AC2036">
        <v>1</v>
      </c>
      <c r="AD2036">
        <v>0</v>
      </c>
      <c r="AE2036">
        <v>0</v>
      </c>
      <c r="AF2036">
        <v>0</v>
      </c>
      <c r="AK2036">
        <v>1</v>
      </c>
      <c r="AL2036">
        <v>0</v>
      </c>
      <c r="AM2036">
        <v>0</v>
      </c>
      <c r="AN2036">
        <v>0</v>
      </c>
      <c r="AS2036">
        <v>0</v>
      </c>
      <c r="AT2036">
        <v>3</v>
      </c>
      <c r="AU2036">
        <v>0</v>
      </c>
      <c r="AV2036">
        <v>0</v>
      </c>
      <c r="BC2036">
        <v>0</v>
      </c>
      <c r="BD2036">
        <v>8</v>
      </c>
      <c r="BE2036">
        <v>418</v>
      </c>
      <c r="BF2036">
        <v>415</v>
      </c>
      <c r="BG2036">
        <v>510</v>
      </c>
      <c r="BJ2036">
        <v>1</v>
      </c>
      <c r="BL2036" t="s">
        <v>4245</v>
      </c>
      <c r="BM2036" s="4">
        <v>43283.061296296299</v>
      </c>
      <c r="BN2036" s="4">
        <v>43283.066168981481</v>
      </c>
      <c r="BO2036" s="4">
        <v>43283.066168981481</v>
      </c>
      <c r="BP2036" t="s">
        <v>339</v>
      </c>
      <c r="BQ2036" t="s">
        <v>340</v>
      </c>
      <c r="BR2036" t="s">
        <v>94</v>
      </c>
    </row>
    <row r="2037" spans="1:70" x14ac:dyDescent="0.3">
      <c r="A2037" t="str">
        <f>"201383C0200"</f>
        <v>201383C0200</v>
      </c>
      <c r="B2037" t="s">
        <v>4246</v>
      </c>
      <c r="C2037">
        <v>20</v>
      </c>
      <c r="D2037" t="s">
        <v>88</v>
      </c>
      <c r="E2037">
        <v>276</v>
      </c>
      <c r="F2037" t="s">
        <v>4190</v>
      </c>
      <c r="G2037">
        <v>1383</v>
      </c>
      <c r="H2037">
        <v>2</v>
      </c>
      <c r="I2037" t="s">
        <v>98</v>
      </c>
      <c r="J2037">
        <v>0</v>
      </c>
      <c r="K2037">
        <v>2</v>
      </c>
      <c r="L2037">
        <v>5</v>
      </c>
      <c r="M2037">
        <v>103</v>
      </c>
      <c r="N2037">
        <v>429</v>
      </c>
      <c r="O2037">
        <v>0</v>
      </c>
      <c r="P2037">
        <v>429</v>
      </c>
      <c r="Q2037">
        <v>43</v>
      </c>
      <c r="R2037">
        <v>248</v>
      </c>
      <c r="S2037">
        <v>26</v>
      </c>
      <c r="T2037">
        <v>0</v>
      </c>
      <c r="U2037">
        <v>7</v>
      </c>
      <c r="V2037">
        <v>17</v>
      </c>
      <c r="W2037">
        <v>0</v>
      </c>
      <c r="X2037">
        <v>2</v>
      </c>
      <c r="Y2037">
        <v>72</v>
      </c>
      <c r="Z2037">
        <v>2</v>
      </c>
      <c r="AC2037">
        <v>1</v>
      </c>
      <c r="AD2037">
        <v>1</v>
      </c>
      <c r="AE2037">
        <v>0</v>
      </c>
      <c r="AF2037">
        <v>0</v>
      </c>
      <c r="AK2037">
        <v>1</v>
      </c>
      <c r="AL2037">
        <v>1</v>
      </c>
      <c r="AM2037">
        <v>0</v>
      </c>
      <c r="AN2037">
        <v>0</v>
      </c>
      <c r="AS2037">
        <v>0</v>
      </c>
      <c r="AT2037">
        <v>0</v>
      </c>
      <c r="AU2037">
        <v>0</v>
      </c>
      <c r="AV2037">
        <v>0</v>
      </c>
      <c r="BC2037">
        <v>0</v>
      </c>
      <c r="BD2037">
        <v>8</v>
      </c>
      <c r="BE2037">
        <v>429</v>
      </c>
      <c r="BF2037">
        <v>429</v>
      </c>
      <c r="BG2037">
        <v>510</v>
      </c>
      <c r="BJ2037">
        <v>1</v>
      </c>
      <c r="BL2037" t="s">
        <v>4247</v>
      </c>
      <c r="BM2037" s="4">
        <v>43283.058865740742</v>
      </c>
      <c r="BN2037" s="4">
        <v>43283.064074074071</v>
      </c>
      <c r="BO2037" s="4">
        <v>43283.064074074071</v>
      </c>
      <c r="BP2037" t="s">
        <v>339</v>
      </c>
      <c r="BQ2037" t="s">
        <v>340</v>
      </c>
      <c r="BR2037" t="s">
        <v>94</v>
      </c>
    </row>
    <row r="2038" spans="1:70" x14ac:dyDescent="0.3">
      <c r="A2038" t="str">
        <f>"201384B0100"</f>
        <v>201384B0100</v>
      </c>
      <c r="B2038" t="s">
        <v>4248</v>
      </c>
      <c r="C2038">
        <v>20</v>
      </c>
      <c r="D2038" t="s">
        <v>88</v>
      </c>
      <c r="E2038">
        <v>276</v>
      </c>
      <c r="F2038" t="s">
        <v>4190</v>
      </c>
      <c r="G2038">
        <v>1384</v>
      </c>
      <c r="H2038">
        <v>1</v>
      </c>
      <c r="I2038" t="s">
        <v>90</v>
      </c>
      <c r="J2038">
        <v>0</v>
      </c>
      <c r="K2038">
        <v>2</v>
      </c>
      <c r="L2038">
        <v>5</v>
      </c>
      <c r="BG2038">
        <v>520</v>
      </c>
      <c r="BI2038" t="s">
        <v>122</v>
      </c>
      <c r="BJ2038">
        <v>0</v>
      </c>
      <c r="BL2038" t="s">
        <v>4249</v>
      </c>
      <c r="BM2038" s="4">
        <v>43283.574999999997</v>
      </c>
      <c r="BN2038" s="4">
        <v>43283.578067129631</v>
      </c>
      <c r="BO2038" s="4">
        <v>43283.578067129631</v>
      </c>
      <c r="BP2038" t="s">
        <v>92</v>
      </c>
      <c r="BQ2038" t="s">
        <v>93</v>
      </c>
      <c r="BR2038" t="s">
        <v>94</v>
      </c>
    </row>
    <row r="2039" spans="1:70" x14ac:dyDescent="0.3">
      <c r="A2039" t="str">
        <f>"201384E0100"</f>
        <v>201384E0100</v>
      </c>
      <c r="B2039" s="2" t="s">
        <v>4250</v>
      </c>
      <c r="C2039">
        <v>20</v>
      </c>
      <c r="D2039" t="s">
        <v>88</v>
      </c>
      <c r="E2039">
        <v>276</v>
      </c>
      <c r="F2039" t="s">
        <v>4190</v>
      </c>
      <c r="G2039">
        <v>1384</v>
      </c>
      <c r="H2039">
        <v>1</v>
      </c>
      <c r="I2039" t="s">
        <v>156</v>
      </c>
      <c r="J2039">
        <v>0</v>
      </c>
      <c r="K2039">
        <v>2</v>
      </c>
      <c r="L2039">
        <v>5</v>
      </c>
      <c r="M2039">
        <v>75</v>
      </c>
      <c r="N2039">
        <v>414</v>
      </c>
      <c r="O2039">
        <v>6</v>
      </c>
      <c r="P2039">
        <v>414</v>
      </c>
      <c r="Q2039">
        <v>25</v>
      </c>
      <c r="R2039">
        <v>256</v>
      </c>
      <c r="S2039">
        <v>6</v>
      </c>
      <c r="T2039">
        <v>1</v>
      </c>
      <c r="U2039">
        <v>2</v>
      </c>
      <c r="V2039">
        <v>6</v>
      </c>
      <c r="W2039">
        <v>1</v>
      </c>
      <c r="X2039">
        <v>0</v>
      </c>
      <c r="Y2039">
        <v>106</v>
      </c>
      <c r="Z2039">
        <v>2</v>
      </c>
      <c r="AC2039">
        <v>0</v>
      </c>
      <c r="AD2039">
        <v>0</v>
      </c>
      <c r="AE2039">
        <v>0</v>
      </c>
      <c r="AF2039">
        <v>0</v>
      </c>
      <c r="AK2039">
        <v>0</v>
      </c>
      <c r="AL2039">
        <v>1</v>
      </c>
      <c r="AM2039">
        <v>0</v>
      </c>
      <c r="AN2039">
        <v>0</v>
      </c>
      <c r="AS2039">
        <v>0</v>
      </c>
      <c r="AT2039">
        <v>2</v>
      </c>
      <c r="AU2039">
        <v>0</v>
      </c>
      <c r="AV2039">
        <v>0</v>
      </c>
      <c r="BC2039">
        <v>0</v>
      </c>
      <c r="BD2039">
        <v>6</v>
      </c>
      <c r="BE2039">
        <v>414</v>
      </c>
      <c r="BF2039">
        <v>414</v>
      </c>
      <c r="BG2039">
        <v>467</v>
      </c>
      <c r="BJ2039">
        <v>1</v>
      </c>
      <c r="BL2039" t="s">
        <v>4251</v>
      </c>
      <c r="BM2039" s="4">
        <v>43283.265972222223</v>
      </c>
      <c r="BN2039" s="4">
        <v>43283.292557870373</v>
      </c>
      <c r="BO2039" s="4">
        <v>43283.292557870373</v>
      </c>
      <c r="BP2039" t="s">
        <v>92</v>
      </c>
      <c r="BQ2039" t="s">
        <v>93</v>
      </c>
      <c r="BR2039" t="s">
        <v>94</v>
      </c>
    </row>
    <row r="2040" spans="1:70" x14ac:dyDescent="0.3">
      <c r="A2040" t="str">
        <f>"201385B0100"</f>
        <v>201385B0100</v>
      </c>
      <c r="B2040" t="s">
        <v>4252</v>
      </c>
      <c r="C2040">
        <v>20</v>
      </c>
      <c r="D2040" t="s">
        <v>88</v>
      </c>
      <c r="E2040">
        <v>276</v>
      </c>
      <c r="F2040" t="s">
        <v>4190</v>
      </c>
      <c r="G2040">
        <v>1385</v>
      </c>
      <c r="H2040">
        <v>1</v>
      </c>
      <c r="I2040" t="s">
        <v>90</v>
      </c>
      <c r="J2040">
        <v>0</v>
      </c>
      <c r="K2040">
        <v>2</v>
      </c>
      <c r="L2040">
        <v>5</v>
      </c>
      <c r="M2040">
        <v>64</v>
      </c>
      <c r="N2040">
        <v>273</v>
      </c>
      <c r="O2040">
        <v>0</v>
      </c>
      <c r="P2040">
        <v>273</v>
      </c>
      <c r="Q2040">
        <v>4</v>
      </c>
      <c r="R2040">
        <v>173</v>
      </c>
      <c r="S2040">
        <v>3</v>
      </c>
      <c r="T2040">
        <v>0</v>
      </c>
      <c r="U2040">
        <v>1</v>
      </c>
      <c r="V2040">
        <v>2</v>
      </c>
      <c r="W2040">
        <v>0</v>
      </c>
      <c r="X2040">
        <v>0</v>
      </c>
      <c r="Y2040">
        <v>79</v>
      </c>
      <c r="Z2040">
        <v>2</v>
      </c>
      <c r="AC2040">
        <v>0</v>
      </c>
      <c r="AD2040">
        <v>1</v>
      </c>
      <c r="AE2040">
        <v>0</v>
      </c>
      <c r="AF2040">
        <v>0</v>
      </c>
      <c r="AK2040">
        <v>2</v>
      </c>
      <c r="AL2040">
        <v>0</v>
      </c>
      <c r="AM2040">
        <v>0</v>
      </c>
      <c r="AN2040">
        <v>0</v>
      </c>
      <c r="AS2040">
        <v>0</v>
      </c>
      <c r="AT2040">
        <v>2</v>
      </c>
      <c r="AU2040">
        <v>0</v>
      </c>
      <c r="AV2040">
        <v>0</v>
      </c>
      <c r="BC2040">
        <v>0</v>
      </c>
      <c r="BD2040">
        <v>4</v>
      </c>
      <c r="BE2040">
        <v>273</v>
      </c>
      <c r="BF2040">
        <v>273</v>
      </c>
      <c r="BG2040">
        <v>315</v>
      </c>
      <c r="BJ2040">
        <v>1</v>
      </c>
      <c r="BL2040" t="s">
        <v>4253</v>
      </c>
      <c r="BM2040" s="4">
        <v>43283.263194444444</v>
      </c>
      <c r="BN2040" s="4">
        <v>43283.288831018515</v>
      </c>
      <c r="BO2040" s="4">
        <v>43283.288831018515</v>
      </c>
      <c r="BP2040" t="s">
        <v>92</v>
      </c>
      <c r="BQ2040" t="s">
        <v>93</v>
      </c>
      <c r="BR2040" t="s">
        <v>94</v>
      </c>
    </row>
    <row r="2041" spans="1:70" x14ac:dyDescent="0.3">
      <c r="A2041" t="str">
        <f>"201385E0100"</f>
        <v>201385E0100</v>
      </c>
      <c r="B2041" s="2" t="s">
        <v>4254</v>
      </c>
      <c r="C2041">
        <v>20</v>
      </c>
      <c r="D2041" t="s">
        <v>88</v>
      </c>
      <c r="E2041">
        <v>276</v>
      </c>
      <c r="F2041" t="s">
        <v>4190</v>
      </c>
      <c r="G2041">
        <v>1385</v>
      </c>
      <c r="H2041">
        <v>1</v>
      </c>
      <c r="I2041" t="s">
        <v>156</v>
      </c>
      <c r="J2041">
        <v>0</v>
      </c>
      <c r="K2041">
        <v>2</v>
      </c>
      <c r="L2041">
        <v>5</v>
      </c>
      <c r="M2041">
        <v>88</v>
      </c>
      <c r="N2041">
        <v>468</v>
      </c>
      <c r="O2041">
        <v>2</v>
      </c>
      <c r="P2041" t="s">
        <v>105</v>
      </c>
      <c r="Q2041">
        <v>81</v>
      </c>
      <c r="R2041">
        <v>171</v>
      </c>
      <c r="S2041">
        <v>16</v>
      </c>
      <c r="T2041">
        <v>1</v>
      </c>
      <c r="U2041">
        <v>2</v>
      </c>
      <c r="V2041">
        <v>1</v>
      </c>
      <c r="W2041">
        <v>1</v>
      </c>
      <c r="X2041">
        <v>0</v>
      </c>
      <c r="Y2041">
        <v>0</v>
      </c>
      <c r="Z2041">
        <v>89</v>
      </c>
      <c r="AC2041">
        <v>2</v>
      </c>
      <c r="AD2041">
        <v>0</v>
      </c>
      <c r="AE2041">
        <v>0</v>
      </c>
      <c r="AF2041">
        <v>0</v>
      </c>
      <c r="AK2041">
        <v>1</v>
      </c>
      <c r="AL2041">
        <v>0</v>
      </c>
      <c r="AM2041">
        <v>0</v>
      </c>
      <c r="AN2041">
        <v>0</v>
      </c>
      <c r="AS2041">
        <v>4</v>
      </c>
      <c r="AT2041">
        <v>3</v>
      </c>
      <c r="AU2041">
        <v>0</v>
      </c>
      <c r="AV2041">
        <v>0</v>
      </c>
      <c r="BC2041">
        <v>0</v>
      </c>
      <c r="BD2041">
        <v>7</v>
      </c>
      <c r="BE2041">
        <v>380</v>
      </c>
      <c r="BF2041">
        <v>379</v>
      </c>
      <c r="BG2041">
        <v>446</v>
      </c>
      <c r="BJ2041">
        <v>1</v>
      </c>
      <c r="BL2041" t="s">
        <v>4255</v>
      </c>
      <c r="BM2041" s="4">
        <v>43283.272916666669</v>
      </c>
      <c r="BN2041" s="4">
        <v>43283.299699074072</v>
      </c>
      <c r="BO2041" s="4">
        <v>43283.299699074072</v>
      </c>
      <c r="BP2041" t="s">
        <v>92</v>
      </c>
      <c r="BQ2041" t="s">
        <v>93</v>
      </c>
      <c r="BR2041" t="s">
        <v>254</v>
      </c>
    </row>
    <row r="2042" spans="1:70" x14ac:dyDescent="0.3">
      <c r="A2042" t="str">
        <f>"201385E0200"</f>
        <v>201385E0200</v>
      </c>
      <c r="B2042" s="2" t="s">
        <v>4256</v>
      </c>
      <c r="C2042">
        <v>20</v>
      </c>
      <c r="D2042" t="s">
        <v>88</v>
      </c>
      <c r="E2042">
        <v>276</v>
      </c>
      <c r="F2042" t="s">
        <v>4190</v>
      </c>
      <c r="G2042">
        <v>1385</v>
      </c>
      <c r="H2042">
        <v>2</v>
      </c>
      <c r="I2042" t="s">
        <v>156</v>
      </c>
      <c r="J2042">
        <v>0</v>
      </c>
      <c r="K2042">
        <v>2</v>
      </c>
      <c r="L2042">
        <v>5</v>
      </c>
      <c r="M2042">
        <v>79</v>
      </c>
      <c r="N2042">
        <v>418</v>
      </c>
      <c r="O2042">
        <v>2</v>
      </c>
      <c r="P2042">
        <v>418</v>
      </c>
      <c r="Q2042">
        <v>89</v>
      </c>
      <c r="R2042">
        <v>219</v>
      </c>
      <c r="S2042">
        <v>4</v>
      </c>
      <c r="T2042">
        <v>0</v>
      </c>
      <c r="U2042">
        <v>1</v>
      </c>
      <c r="V2042">
        <v>15</v>
      </c>
      <c r="W2042">
        <v>1</v>
      </c>
      <c r="X2042">
        <v>2</v>
      </c>
      <c r="Y2042">
        <v>60</v>
      </c>
      <c r="Z2042">
        <v>0</v>
      </c>
      <c r="AC2042">
        <v>0</v>
      </c>
      <c r="AD2042">
        <v>0</v>
      </c>
      <c r="AE2042">
        <v>0</v>
      </c>
      <c r="AF2042">
        <v>0</v>
      </c>
      <c r="AK2042">
        <v>0</v>
      </c>
      <c r="AL2042">
        <v>0</v>
      </c>
      <c r="AM2042">
        <v>0</v>
      </c>
      <c r="AN2042">
        <v>0</v>
      </c>
      <c r="AS2042">
        <v>0</v>
      </c>
      <c r="AT2042">
        <v>0</v>
      </c>
      <c r="AU2042">
        <v>0</v>
      </c>
      <c r="AV2042">
        <v>0</v>
      </c>
      <c r="BC2042">
        <v>0</v>
      </c>
      <c r="BD2042">
        <v>27</v>
      </c>
      <c r="BE2042">
        <v>418</v>
      </c>
      <c r="BF2042">
        <v>418</v>
      </c>
      <c r="BG2042">
        <v>483</v>
      </c>
      <c r="BJ2042">
        <v>1</v>
      </c>
      <c r="BL2042" t="s">
        <v>4257</v>
      </c>
      <c r="BM2042" s="4">
        <v>43283.268750000003</v>
      </c>
      <c r="BN2042" s="4">
        <v>43283.300115740742</v>
      </c>
      <c r="BO2042" s="4">
        <v>43283.300115740742</v>
      </c>
      <c r="BP2042" t="s">
        <v>92</v>
      </c>
      <c r="BQ2042" t="s">
        <v>93</v>
      </c>
      <c r="BR2042" t="s">
        <v>94</v>
      </c>
    </row>
    <row r="2043" spans="1:70" x14ac:dyDescent="0.3">
      <c r="A2043" t="str">
        <f>"201386B0100"</f>
        <v>201386B0100</v>
      </c>
      <c r="B2043" t="s">
        <v>4258</v>
      </c>
      <c r="C2043">
        <v>20</v>
      </c>
      <c r="D2043" t="s">
        <v>88</v>
      </c>
      <c r="E2043">
        <v>276</v>
      </c>
      <c r="F2043" t="s">
        <v>4190</v>
      </c>
      <c r="G2043">
        <v>1386</v>
      </c>
      <c r="H2043">
        <v>1</v>
      </c>
      <c r="I2043" t="s">
        <v>90</v>
      </c>
      <c r="J2043">
        <v>0</v>
      </c>
      <c r="K2043">
        <v>2</v>
      </c>
      <c r="L2043">
        <v>5</v>
      </c>
      <c r="M2043">
        <v>164</v>
      </c>
      <c r="N2043">
        <v>759</v>
      </c>
      <c r="O2043">
        <v>0</v>
      </c>
      <c r="P2043" t="s">
        <v>105</v>
      </c>
      <c r="Q2043">
        <v>32</v>
      </c>
      <c r="R2043">
        <v>315</v>
      </c>
      <c r="S2043">
        <v>8</v>
      </c>
      <c r="T2043">
        <v>36</v>
      </c>
      <c r="U2043">
        <v>7</v>
      </c>
      <c r="V2043">
        <v>4</v>
      </c>
      <c r="W2043">
        <v>1</v>
      </c>
      <c r="X2043">
        <v>4</v>
      </c>
      <c r="Y2043">
        <v>175</v>
      </c>
      <c r="Z2043">
        <v>5</v>
      </c>
      <c r="AC2043">
        <v>0</v>
      </c>
      <c r="AD2043">
        <v>0</v>
      </c>
      <c r="AE2043">
        <v>0</v>
      </c>
      <c r="AF2043">
        <v>0</v>
      </c>
      <c r="AK2043">
        <v>1</v>
      </c>
      <c r="AL2043">
        <v>0</v>
      </c>
      <c r="AM2043">
        <v>0</v>
      </c>
      <c r="AN2043">
        <v>0</v>
      </c>
      <c r="AS2043">
        <v>1</v>
      </c>
      <c r="AT2043">
        <v>0</v>
      </c>
      <c r="AU2043">
        <v>0</v>
      </c>
      <c r="AV2043">
        <v>0</v>
      </c>
      <c r="BC2043">
        <v>0</v>
      </c>
      <c r="BD2043">
        <v>5</v>
      </c>
      <c r="BE2043">
        <v>594</v>
      </c>
      <c r="BF2043">
        <v>594</v>
      </c>
      <c r="BG2043">
        <v>738</v>
      </c>
      <c r="BJ2043">
        <v>1</v>
      </c>
      <c r="BL2043" t="s">
        <v>4259</v>
      </c>
      <c r="BM2043" s="4">
        <v>43283.194444444445</v>
      </c>
      <c r="BN2043" s="4">
        <v>43283.214131944442</v>
      </c>
      <c r="BO2043" s="4">
        <v>43283.214131944442</v>
      </c>
      <c r="BP2043" t="s">
        <v>92</v>
      </c>
      <c r="BQ2043" t="s">
        <v>93</v>
      </c>
      <c r="BR2043" t="s">
        <v>94</v>
      </c>
    </row>
    <row r="2044" spans="1:70" x14ac:dyDescent="0.3">
      <c r="A2044" t="str">
        <f>"201386C0100"</f>
        <v>201386C0100</v>
      </c>
      <c r="B2044" t="s">
        <v>4260</v>
      </c>
      <c r="C2044">
        <v>20</v>
      </c>
      <c r="D2044" t="s">
        <v>88</v>
      </c>
      <c r="E2044">
        <v>276</v>
      </c>
      <c r="F2044" t="s">
        <v>4190</v>
      </c>
      <c r="G2044">
        <v>1386</v>
      </c>
      <c r="H2044">
        <v>1</v>
      </c>
      <c r="I2044" t="s">
        <v>98</v>
      </c>
      <c r="J2044">
        <v>0</v>
      </c>
      <c r="K2044">
        <v>2</v>
      </c>
      <c r="L2044">
        <v>5</v>
      </c>
      <c r="M2044">
        <v>173</v>
      </c>
      <c r="N2044">
        <v>855</v>
      </c>
      <c r="O2044">
        <v>4</v>
      </c>
      <c r="P2044">
        <v>0</v>
      </c>
      <c r="Q2044">
        <v>17</v>
      </c>
      <c r="R2044">
        <v>291</v>
      </c>
      <c r="S2044">
        <v>16</v>
      </c>
      <c r="T2044">
        <v>45</v>
      </c>
      <c r="U2044">
        <v>3</v>
      </c>
      <c r="V2044">
        <v>5</v>
      </c>
      <c r="W2044">
        <v>1</v>
      </c>
      <c r="X2044">
        <v>5</v>
      </c>
      <c r="Y2044">
        <v>181</v>
      </c>
      <c r="Z2044">
        <v>1</v>
      </c>
      <c r="AC2044">
        <v>0</v>
      </c>
      <c r="AD2044">
        <v>1</v>
      </c>
      <c r="AE2044">
        <v>0</v>
      </c>
      <c r="AF2044">
        <v>0</v>
      </c>
      <c r="AK2044">
        <v>5</v>
      </c>
      <c r="AL2044">
        <v>1</v>
      </c>
      <c r="AM2044">
        <v>0</v>
      </c>
      <c r="AN2044">
        <v>1</v>
      </c>
      <c r="AS2044">
        <v>4</v>
      </c>
      <c r="AT2044">
        <v>2</v>
      </c>
      <c r="AU2044">
        <v>1</v>
      </c>
      <c r="AV2044">
        <v>0</v>
      </c>
      <c r="BC2044">
        <v>0</v>
      </c>
      <c r="BD2044">
        <v>8</v>
      </c>
      <c r="BE2044">
        <v>760</v>
      </c>
      <c r="BF2044">
        <v>588</v>
      </c>
      <c r="BG2044">
        <v>738</v>
      </c>
      <c r="BJ2044">
        <v>1</v>
      </c>
      <c r="BL2044" t="s">
        <v>4261</v>
      </c>
      <c r="BM2044" s="4">
        <v>43283.194444444445</v>
      </c>
      <c r="BN2044" s="4">
        <v>43283.212210648147</v>
      </c>
      <c r="BO2044" s="4">
        <v>43283.212210648147</v>
      </c>
      <c r="BP2044" t="s">
        <v>92</v>
      </c>
      <c r="BQ2044" t="s">
        <v>93</v>
      </c>
      <c r="BR2044" t="s">
        <v>94</v>
      </c>
    </row>
    <row r="2045" spans="1:70" x14ac:dyDescent="0.3">
      <c r="A2045" t="str">
        <f>"201387B0100"</f>
        <v>201387B0100</v>
      </c>
      <c r="B2045" t="s">
        <v>4262</v>
      </c>
      <c r="C2045">
        <v>20</v>
      </c>
      <c r="D2045" t="s">
        <v>88</v>
      </c>
      <c r="E2045">
        <v>276</v>
      </c>
      <c r="F2045" t="s">
        <v>4190</v>
      </c>
      <c r="G2045">
        <v>1387</v>
      </c>
      <c r="H2045">
        <v>1</v>
      </c>
      <c r="I2045" t="s">
        <v>90</v>
      </c>
      <c r="J2045">
        <v>0</v>
      </c>
      <c r="K2045">
        <v>2</v>
      </c>
      <c r="L2045">
        <v>5</v>
      </c>
      <c r="M2045">
        <v>78</v>
      </c>
      <c r="N2045">
        <v>331</v>
      </c>
      <c r="O2045">
        <v>0</v>
      </c>
      <c r="P2045">
        <v>331</v>
      </c>
      <c r="Q2045">
        <v>7</v>
      </c>
      <c r="R2045">
        <v>197</v>
      </c>
      <c r="S2045">
        <v>3</v>
      </c>
      <c r="T2045">
        <v>9</v>
      </c>
      <c r="U2045">
        <v>4</v>
      </c>
      <c r="V2045">
        <v>3</v>
      </c>
      <c r="W2045">
        <v>2</v>
      </c>
      <c r="X2045">
        <v>1</v>
      </c>
      <c r="Y2045">
        <v>97</v>
      </c>
      <c r="Z2045">
        <v>1</v>
      </c>
      <c r="AC2045">
        <v>0</v>
      </c>
      <c r="AD2045">
        <v>0</v>
      </c>
      <c r="AE2045">
        <v>0</v>
      </c>
      <c r="AF2045">
        <v>3</v>
      </c>
      <c r="AK2045">
        <v>1</v>
      </c>
      <c r="AL2045">
        <v>1</v>
      </c>
      <c r="AM2045">
        <v>0</v>
      </c>
      <c r="AN2045">
        <v>0</v>
      </c>
      <c r="AS2045">
        <v>1</v>
      </c>
      <c r="AT2045">
        <v>0</v>
      </c>
      <c r="AU2045">
        <v>0</v>
      </c>
      <c r="AV2045">
        <v>0</v>
      </c>
      <c r="BC2045">
        <v>0</v>
      </c>
      <c r="BD2045">
        <v>1</v>
      </c>
      <c r="BE2045">
        <v>331</v>
      </c>
      <c r="BF2045">
        <v>331</v>
      </c>
      <c r="BG2045">
        <v>387</v>
      </c>
      <c r="BJ2045">
        <v>1</v>
      </c>
      <c r="BL2045" t="s">
        <v>4263</v>
      </c>
      <c r="BM2045" s="4">
        <v>43283.241666666669</v>
      </c>
      <c r="BN2045" s="4">
        <v>43283.266064814816</v>
      </c>
      <c r="BO2045" s="4">
        <v>43283.266064814816</v>
      </c>
      <c r="BP2045" t="s">
        <v>92</v>
      </c>
      <c r="BQ2045" t="s">
        <v>93</v>
      </c>
      <c r="BR2045" t="s">
        <v>94</v>
      </c>
    </row>
    <row r="2046" spans="1:70" x14ac:dyDescent="0.3">
      <c r="A2046" t="str">
        <f>"201387C0100"</f>
        <v>201387C0100</v>
      </c>
      <c r="B2046" t="s">
        <v>4264</v>
      </c>
      <c r="C2046">
        <v>20</v>
      </c>
      <c r="D2046" t="s">
        <v>88</v>
      </c>
      <c r="E2046">
        <v>276</v>
      </c>
      <c r="F2046" t="s">
        <v>4190</v>
      </c>
      <c r="G2046">
        <v>1387</v>
      </c>
      <c r="H2046">
        <v>1</v>
      </c>
      <c r="I2046" t="s">
        <v>98</v>
      </c>
      <c r="J2046">
        <v>0</v>
      </c>
      <c r="K2046">
        <v>2</v>
      </c>
      <c r="L2046">
        <v>5</v>
      </c>
      <c r="M2046">
        <v>87</v>
      </c>
      <c r="N2046">
        <v>322</v>
      </c>
      <c r="O2046">
        <v>0</v>
      </c>
      <c r="P2046">
        <v>322</v>
      </c>
      <c r="Q2046">
        <v>16</v>
      </c>
      <c r="R2046">
        <v>201</v>
      </c>
      <c r="S2046">
        <v>1</v>
      </c>
      <c r="T2046">
        <v>11</v>
      </c>
      <c r="U2046">
        <v>3</v>
      </c>
      <c r="V2046">
        <v>3</v>
      </c>
      <c r="W2046">
        <v>1</v>
      </c>
      <c r="X2046">
        <v>1</v>
      </c>
      <c r="Y2046">
        <v>79</v>
      </c>
      <c r="Z2046">
        <v>5</v>
      </c>
      <c r="AC2046">
        <v>0</v>
      </c>
      <c r="AD2046">
        <v>0</v>
      </c>
      <c r="AE2046">
        <v>0</v>
      </c>
      <c r="AF2046">
        <v>0</v>
      </c>
      <c r="AK2046">
        <v>0</v>
      </c>
      <c r="AL2046">
        <v>0</v>
      </c>
      <c r="AM2046">
        <v>0</v>
      </c>
      <c r="AN2046">
        <v>0</v>
      </c>
      <c r="AS2046">
        <v>0</v>
      </c>
      <c r="AT2046">
        <v>0</v>
      </c>
      <c r="AU2046">
        <v>0</v>
      </c>
      <c r="AV2046">
        <v>0</v>
      </c>
      <c r="BC2046">
        <v>0</v>
      </c>
      <c r="BD2046">
        <v>1</v>
      </c>
      <c r="BE2046">
        <v>322</v>
      </c>
      <c r="BF2046">
        <v>322</v>
      </c>
      <c r="BG2046">
        <v>387</v>
      </c>
      <c r="BJ2046">
        <v>1</v>
      </c>
      <c r="BL2046" t="s">
        <v>4265</v>
      </c>
      <c r="BM2046" s="4">
        <v>43283.243750000001</v>
      </c>
      <c r="BN2046" s="4">
        <v>43283.268113425926</v>
      </c>
      <c r="BO2046" s="4">
        <v>43283.268113425926</v>
      </c>
      <c r="BP2046" t="s">
        <v>92</v>
      </c>
      <c r="BQ2046" t="s">
        <v>93</v>
      </c>
      <c r="BR2046" t="s">
        <v>94</v>
      </c>
    </row>
    <row r="2047" spans="1:70" x14ac:dyDescent="0.3">
      <c r="A2047" t="str">
        <f>"201388B0100"</f>
        <v>201388B0100</v>
      </c>
      <c r="B2047" t="s">
        <v>4266</v>
      </c>
      <c r="C2047">
        <v>20</v>
      </c>
      <c r="D2047" t="s">
        <v>88</v>
      </c>
      <c r="E2047">
        <v>276</v>
      </c>
      <c r="F2047" t="s">
        <v>4190</v>
      </c>
      <c r="G2047">
        <v>1388</v>
      </c>
      <c r="H2047">
        <v>1</v>
      </c>
      <c r="I2047" t="s">
        <v>90</v>
      </c>
      <c r="J2047">
        <v>0</v>
      </c>
      <c r="K2047">
        <v>2</v>
      </c>
      <c r="L2047">
        <v>5</v>
      </c>
      <c r="M2047">
        <v>90</v>
      </c>
      <c r="N2047" t="s">
        <v>105</v>
      </c>
      <c r="O2047" t="s">
        <v>105</v>
      </c>
      <c r="P2047" t="s">
        <v>105</v>
      </c>
      <c r="Q2047">
        <v>13</v>
      </c>
      <c r="R2047">
        <v>179</v>
      </c>
      <c r="S2047">
        <v>45</v>
      </c>
      <c r="T2047">
        <v>1</v>
      </c>
      <c r="U2047">
        <v>2</v>
      </c>
      <c r="V2047">
        <v>2</v>
      </c>
      <c r="W2047">
        <v>2</v>
      </c>
      <c r="X2047">
        <v>2</v>
      </c>
      <c r="Y2047">
        <v>72</v>
      </c>
      <c r="Z2047">
        <v>3</v>
      </c>
      <c r="AC2047" t="s">
        <v>105</v>
      </c>
      <c r="AD2047" t="s">
        <v>105</v>
      </c>
      <c r="AE2047" t="s">
        <v>105</v>
      </c>
      <c r="AF2047">
        <v>2</v>
      </c>
      <c r="AK2047" t="s">
        <v>105</v>
      </c>
      <c r="AL2047" t="s">
        <v>105</v>
      </c>
      <c r="AM2047" t="s">
        <v>105</v>
      </c>
      <c r="AN2047" t="s">
        <v>105</v>
      </c>
      <c r="AS2047">
        <v>1</v>
      </c>
      <c r="AT2047">
        <v>1</v>
      </c>
      <c r="AU2047" t="s">
        <v>105</v>
      </c>
      <c r="AV2047" t="s">
        <v>105</v>
      </c>
      <c r="BC2047" t="s">
        <v>105</v>
      </c>
      <c r="BD2047">
        <v>9</v>
      </c>
      <c r="BE2047">
        <v>332</v>
      </c>
      <c r="BF2047">
        <v>334</v>
      </c>
      <c r="BG2047">
        <v>400</v>
      </c>
      <c r="BI2047" t="s">
        <v>106</v>
      </c>
      <c r="BJ2047">
        <v>1</v>
      </c>
      <c r="BL2047" t="s">
        <v>4267</v>
      </c>
      <c r="BM2047" s="4">
        <v>43283.183333333334</v>
      </c>
      <c r="BN2047" s="4">
        <v>43283.209953703707</v>
      </c>
      <c r="BO2047" s="4">
        <v>43283.209953703707</v>
      </c>
      <c r="BP2047" t="s">
        <v>92</v>
      </c>
      <c r="BQ2047" t="s">
        <v>93</v>
      </c>
      <c r="BR2047" t="s">
        <v>94</v>
      </c>
    </row>
    <row r="2048" spans="1:70" x14ac:dyDescent="0.3">
      <c r="A2048" t="str">
        <f>"201388C0100"</f>
        <v>201388C0100</v>
      </c>
      <c r="B2048" t="s">
        <v>4268</v>
      </c>
      <c r="C2048">
        <v>20</v>
      </c>
      <c r="D2048" t="s">
        <v>88</v>
      </c>
      <c r="E2048">
        <v>276</v>
      </c>
      <c r="F2048" t="s">
        <v>4190</v>
      </c>
      <c r="G2048">
        <v>1388</v>
      </c>
      <c r="H2048">
        <v>1</v>
      </c>
      <c r="I2048" t="s">
        <v>98</v>
      </c>
      <c r="J2048">
        <v>0</v>
      </c>
      <c r="K2048">
        <v>2</v>
      </c>
      <c r="L2048">
        <v>5</v>
      </c>
      <c r="M2048">
        <v>95</v>
      </c>
      <c r="N2048">
        <v>326</v>
      </c>
      <c r="O2048">
        <v>0</v>
      </c>
      <c r="P2048">
        <v>326</v>
      </c>
      <c r="Q2048">
        <v>14</v>
      </c>
      <c r="R2048">
        <v>181</v>
      </c>
      <c r="S2048">
        <v>15</v>
      </c>
      <c r="T2048">
        <v>2</v>
      </c>
      <c r="U2048">
        <v>3</v>
      </c>
      <c r="V2048">
        <v>5</v>
      </c>
      <c r="W2048">
        <v>0</v>
      </c>
      <c r="X2048">
        <v>3</v>
      </c>
      <c r="Y2048">
        <v>84</v>
      </c>
      <c r="Z2048">
        <v>3</v>
      </c>
      <c r="AC2048">
        <v>0</v>
      </c>
      <c r="AD2048">
        <v>0</v>
      </c>
      <c r="AE2048">
        <v>1</v>
      </c>
      <c r="AF2048">
        <v>0</v>
      </c>
      <c r="AK2048">
        <v>1</v>
      </c>
      <c r="AL2048">
        <v>0</v>
      </c>
      <c r="AM2048">
        <v>0</v>
      </c>
      <c r="AN2048">
        <v>0</v>
      </c>
      <c r="AS2048">
        <v>1</v>
      </c>
      <c r="AT2048">
        <v>2</v>
      </c>
      <c r="AU2048">
        <v>0</v>
      </c>
      <c r="AV2048">
        <v>1</v>
      </c>
      <c r="BC2048" t="s">
        <v>105</v>
      </c>
      <c r="BD2048">
        <v>10</v>
      </c>
      <c r="BE2048">
        <v>326</v>
      </c>
      <c r="BF2048">
        <v>326</v>
      </c>
      <c r="BG2048">
        <v>399</v>
      </c>
      <c r="BI2048" t="s">
        <v>106</v>
      </c>
      <c r="BJ2048">
        <v>1</v>
      </c>
      <c r="BL2048" t="s">
        <v>4269</v>
      </c>
      <c r="BM2048" s="4">
        <v>43283.184027777781</v>
      </c>
      <c r="BN2048" s="4">
        <v>43283.211064814815</v>
      </c>
      <c r="BO2048" s="4">
        <v>43283.211064814815</v>
      </c>
      <c r="BP2048" t="s">
        <v>92</v>
      </c>
      <c r="BQ2048" t="s">
        <v>93</v>
      </c>
      <c r="BR2048" t="s">
        <v>94</v>
      </c>
    </row>
    <row r="2049" spans="1:70" x14ac:dyDescent="0.3">
      <c r="A2049" t="str">
        <f>"201388E0100"</f>
        <v>201388E0100</v>
      </c>
      <c r="B2049" s="2" t="s">
        <v>4270</v>
      </c>
      <c r="C2049">
        <v>20</v>
      </c>
      <c r="D2049" t="s">
        <v>88</v>
      </c>
      <c r="E2049">
        <v>276</v>
      </c>
      <c r="F2049" t="s">
        <v>4190</v>
      </c>
      <c r="G2049">
        <v>1388</v>
      </c>
      <c r="H2049">
        <v>1</v>
      </c>
      <c r="I2049" t="s">
        <v>156</v>
      </c>
      <c r="J2049">
        <v>0</v>
      </c>
      <c r="K2049">
        <v>2</v>
      </c>
      <c r="L2049">
        <v>5</v>
      </c>
      <c r="M2049">
        <v>92</v>
      </c>
      <c r="N2049">
        <v>471</v>
      </c>
      <c r="O2049" t="s">
        <v>105</v>
      </c>
      <c r="P2049" t="s">
        <v>105</v>
      </c>
      <c r="Q2049">
        <v>10</v>
      </c>
      <c r="R2049">
        <v>156</v>
      </c>
      <c r="S2049">
        <v>0</v>
      </c>
      <c r="T2049">
        <v>55</v>
      </c>
      <c r="U2049">
        <v>4</v>
      </c>
      <c r="V2049">
        <v>39</v>
      </c>
      <c r="W2049">
        <v>1</v>
      </c>
      <c r="X2049">
        <v>4</v>
      </c>
      <c r="Y2049">
        <v>94</v>
      </c>
      <c r="Z2049">
        <v>4</v>
      </c>
      <c r="AC2049" t="s">
        <v>105</v>
      </c>
      <c r="AD2049" t="s">
        <v>105</v>
      </c>
      <c r="AE2049" t="s">
        <v>105</v>
      </c>
      <c r="AF2049" t="s">
        <v>105</v>
      </c>
      <c r="AK2049" t="s">
        <v>105</v>
      </c>
      <c r="AL2049" t="s">
        <v>105</v>
      </c>
      <c r="AM2049" t="s">
        <v>105</v>
      </c>
      <c r="AN2049" t="s">
        <v>105</v>
      </c>
      <c r="AS2049" t="s">
        <v>105</v>
      </c>
      <c r="AT2049">
        <v>5</v>
      </c>
      <c r="AU2049" t="s">
        <v>105</v>
      </c>
      <c r="AV2049" t="s">
        <v>105</v>
      </c>
      <c r="BC2049" t="s">
        <v>105</v>
      </c>
      <c r="BD2049">
        <v>7</v>
      </c>
      <c r="BE2049">
        <v>379</v>
      </c>
      <c r="BF2049">
        <v>379</v>
      </c>
      <c r="BG2049">
        <v>449</v>
      </c>
      <c r="BI2049" t="s">
        <v>106</v>
      </c>
      <c r="BJ2049">
        <v>1</v>
      </c>
      <c r="BL2049" t="s">
        <v>4271</v>
      </c>
      <c r="BM2049" s="4">
        <v>43283.177777777775</v>
      </c>
      <c r="BN2049" s="4">
        <v>43283.210740740738</v>
      </c>
      <c r="BO2049" s="4">
        <v>43283.210740740738</v>
      </c>
      <c r="BP2049" t="s">
        <v>92</v>
      </c>
      <c r="BQ2049" t="s">
        <v>93</v>
      </c>
      <c r="BR2049" t="s">
        <v>254</v>
      </c>
    </row>
    <row r="2050" spans="1:70" x14ac:dyDescent="0.3">
      <c r="A2050" t="str">
        <f>"201389B0100"</f>
        <v>201389B0100</v>
      </c>
      <c r="B2050" t="s">
        <v>4272</v>
      </c>
      <c r="C2050">
        <v>20</v>
      </c>
      <c r="D2050" t="s">
        <v>88</v>
      </c>
      <c r="E2050">
        <v>276</v>
      </c>
      <c r="F2050" t="s">
        <v>4190</v>
      </c>
      <c r="G2050">
        <v>1389</v>
      </c>
      <c r="H2050">
        <v>1</v>
      </c>
      <c r="I2050" t="s">
        <v>90</v>
      </c>
      <c r="J2050">
        <v>0</v>
      </c>
      <c r="K2050">
        <v>2</v>
      </c>
      <c r="L2050">
        <v>5</v>
      </c>
      <c r="M2050">
        <v>81</v>
      </c>
      <c r="N2050">
        <v>415</v>
      </c>
      <c r="O2050">
        <v>0</v>
      </c>
      <c r="P2050">
        <v>415</v>
      </c>
      <c r="Q2050">
        <v>9</v>
      </c>
      <c r="R2050">
        <v>228</v>
      </c>
      <c r="S2050">
        <v>9</v>
      </c>
      <c r="T2050">
        <v>46</v>
      </c>
      <c r="U2050">
        <v>2</v>
      </c>
      <c r="V2050">
        <v>6</v>
      </c>
      <c r="W2050">
        <v>1</v>
      </c>
      <c r="X2050">
        <v>1</v>
      </c>
      <c r="Y2050">
        <v>109</v>
      </c>
      <c r="Z2050">
        <v>3</v>
      </c>
      <c r="AC2050">
        <v>0</v>
      </c>
      <c r="AD2050">
        <v>0</v>
      </c>
      <c r="AE2050">
        <v>0</v>
      </c>
      <c r="AF2050">
        <v>0</v>
      </c>
      <c r="AK2050">
        <v>0</v>
      </c>
      <c r="AL2050">
        <v>0</v>
      </c>
      <c r="AM2050">
        <v>0</v>
      </c>
      <c r="AN2050">
        <v>0</v>
      </c>
      <c r="AS2050">
        <v>0</v>
      </c>
      <c r="AT2050">
        <v>0</v>
      </c>
      <c r="AU2050">
        <v>0</v>
      </c>
      <c r="AV2050">
        <v>0</v>
      </c>
      <c r="BC2050">
        <v>0</v>
      </c>
      <c r="BD2050">
        <v>1</v>
      </c>
      <c r="BE2050" t="s">
        <v>105</v>
      </c>
      <c r="BF2050">
        <v>415</v>
      </c>
      <c r="BG2050">
        <v>476</v>
      </c>
      <c r="BJ2050">
        <v>1</v>
      </c>
      <c r="BL2050" t="s">
        <v>4273</v>
      </c>
      <c r="BM2050" s="4">
        <v>43283.229861111111</v>
      </c>
      <c r="BN2050" s="4">
        <v>43283.253738425927</v>
      </c>
      <c r="BO2050" s="4">
        <v>43283.253738425927</v>
      </c>
      <c r="BP2050" t="s">
        <v>92</v>
      </c>
      <c r="BQ2050" t="s">
        <v>93</v>
      </c>
      <c r="BR2050" t="s">
        <v>94</v>
      </c>
    </row>
    <row r="2051" spans="1:70" x14ac:dyDescent="0.3">
      <c r="A2051" t="str">
        <f>"201389C0100"</f>
        <v>201389C0100</v>
      </c>
      <c r="B2051" t="s">
        <v>4274</v>
      </c>
      <c r="C2051">
        <v>20</v>
      </c>
      <c r="D2051" t="s">
        <v>88</v>
      </c>
      <c r="E2051">
        <v>276</v>
      </c>
      <c r="F2051" t="s">
        <v>4190</v>
      </c>
      <c r="G2051">
        <v>1389</v>
      </c>
      <c r="H2051">
        <v>1</v>
      </c>
      <c r="I2051" t="s">
        <v>98</v>
      </c>
      <c r="J2051">
        <v>0</v>
      </c>
      <c r="K2051">
        <v>2</v>
      </c>
      <c r="L2051">
        <v>5</v>
      </c>
      <c r="M2051">
        <v>84</v>
      </c>
      <c r="N2051">
        <v>414</v>
      </c>
      <c r="O2051">
        <v>0</v>
      </c>
      <c r="P2051">
        <v>414</v>
      </c>
      <c r="Q2051">
        <v>17</v>
      </c>
      <c r="R2051">
        <v>220</v>
      </c>
      <c r="S2051">
        <v>7</v>
      </c>
      <c r="T2051">
        <v>34</v>
      </c>
      <c r="U2051">
        <v>1</v>
      </c>
      <c r="V2051">
        <v>4</v>
      </c>
      <c r="W2051">
        <v>1</v>
      </c>
      <c r="X2051">
        <v>1</v>
      </c>
      <c r="Y2051">
        <v>118</v>
      </c>
      <c r="Z2051">
        <v>1</v>
      </c>
      <c r="AC2051">
        <v>0</v>
      </c>
      <c r="AD2051">
        <v>0</v>
      </c>
      <c r="AE2051">
        <v>0</v>
      </c>
      <c r="AF2051">
        <v>0</v>
      </c>
      <c r="AK2051">
        <v>0</v>
      </c>
      <c r="AL2051">
        <v>0</v>
      </c>
      <c r="AM2051">
        <v>0</v>
      </c>
      <c r="AN2051">
        <v>0</v>
      </c>
      <c r="AS2051">
        <v>1</v>
      </c>
      <c r="AT2051">
        <v>2</v>
      </c>
      <c r="AU2051">
        <v>0</v>
      </c>
      <c r="AV2051">
        <v>0</v>
      </c>
      <c r="BC2051">
        <v>0</v>
      </c>
      <c r="BD2051">
        <v>7</v>
      </c>
      <c r="BE2051">
        <v>414</v>
      </c>
      <c r="BF2051">
        <v>414</v>
      </c>
      <c r="BG2051">
        <v>476</v>
      </c>
      <c r="BJ2051">
        <v>1</v>
      </c>
      <c r="BL2051" t="s">
        <v>4275</v>
      </c>
      <c r="BM2051" s="4">
        <v>43283.224305555559</v>
      </c>
      <c r="BN2051" s="4">
        <v>43283.249085648145</v>
      </c>
      <c r="BO2051" s="4">
        <v>43283.249085648145</v>
      </c>
      <c r="BP2051" t="s">
        <v>92</v>
      </c>
      <c r="BQ2051" t="s">
        <v>93</v>
      </c>
      <c r="BR2051" t="s">
        <v>94</v>
      </c>
    </row>
    <row r="2052" spans="1:70" x14ac:dyDescent="0.3">
      <c r="A2052" t="str">
        <f>"201390B0100"</f>
        <v>201390B0100</v>
      </c>
      <c r="B2052" t="s">
        <v>4276</v>
      </c>
      <c r="C2052">
        <v>20</v>
      </c>
      <c r="D2052" t="s">
        <v>88</v>
      </c>
      <c r="E2052">
        <v>276</v>
      </c>
      <c r="F2052" t="s">
        <v>4190</v>
      </c>
      <c r="G2052">
        <v>1390</v>
      </c>
      <c r="H2052">
        <v>1</v>
      </c>
      <c r="I2052" t="s">
        <v>90</v>
      </c>
      <c r="J2052">
        <v>0</v>
      </c>
      <c r="K2052">
        <v>2</v>
      </c>
      <c r="L2052">
        <v>5</v>
      </c>
      <c r="M2052">
        <v>72</v>
      </c>
      <c r="N2052">
        <v>299</v>
      </c>
      <c r="O2052" t="s">
        <v>105</v>
      </c>
      <c r="P2052">
        <v>299</v>
      </c>
      <c r="Q2052">
        <v>42</v>
      </c>
      <c r="R2052">
        <v>165</v>
      </c>
      <c r="S2052">
        <v>6</v>
      </c>
      <c r="T2052">
        <v>20</v>
      </c>
      <c r="U2052">
        <v>2</v>
      </c>
      <c r="V2052">
        <v>5</v>
      </c>
      <c r="W2052">
        <v>2</v>
      </c>
      <c r="X2052" t="s">
        <v>105</v>
      </c>
      <c r="Y2052">
        <v>49</v>
      </c>
      <c r="Z2052">
        <v>2</v>
      </c>
      <c r="AC2052" t="s">
        <v>105</v>
      </c>
      <c r="AD2052" t="s">
        <v>105</v>
      </c>
      <c r="AE2052" t="s">
        <v>105</v>
      </c>
      <c r="AF2052" t="s">
        <v>105</v>
      </c>
      <c r="AK2052" t="s">
        <v>105</v>
      </c>
      <c r="AL2052" t="s">
        <v>105</v>
      </c>
      <c r="AM2052" t="s">
        <v>105</v>
      </c>
      <c r="AN2052" t="s">
        <v>105</v>
      </c>
      <c r="AS2052" t="s">
        <v>105</v>
      </c>
      <c r="AT2052">
        <v>1</v>
      </c>
      <c r="AU2052" t="s">
        <v>105</v>
      </c>
      <c r="AV2052" t="s">
        <v>105</v>
      </c>
      <c r="BC2052" t="s">
        <v>105</v>
      </c>
      <c r="BD2052" t="s">
        <v>105</v>
      </c>
      <c r="BE2052">
        <v>299</v>
      </c>
      <c r="BF2052">
        <v>294</v>
      </c>
      <c r="BG2052">
        <v>349</v>
      </c>
      <c r="BI2052" t="s">
        <v>106</v>
      </c>
      <c r="BJ2052">
        <v>1</v>
      </c>
      <c r="BL2052" t="s">
        <v>4277</v>
      </c>
      <c r="BM2052" s="4">
        <v>43283.247916666667</v>
      </c>
      <c r="BN2052" s="4">
        <v>43283.273020833331</v>
      </c>
      <c r="BO2052" s="4">
        <v>43283.273020833331</v>
      </c>
      <c r="BP2052" t="s">
        <v>92</v>
      </c>
      <c r="BQ2052" t="s">
        <v>93</v>
      </c>
      <c r="BR2052" t="s">
        <v>94</v>
      </c>
    </row>
    <row r="2053" spans="1:70" x14ac:dyDescent="0.3">
      <c r="A2053" t="str">
        <f>"201390E0100"</f>
        <v>201390E0100</v>
      </c>
      <c r="B2053" s="2" t="s">
        <v>4278</v>
      </c>
      <c r="C2053">
        <v>20</v>
      </c>
      <c r="D2053" t="s">
        <v>88</v>
      </c>
      <c r="E2053">
        <v>276</v>
      </c>
      <c r="F2053" t="s">
        <v>4190</v>
      </c>
      <c r="G2053">
        <v>1390</v>
      </c>
      <c r="H2053">
        <v>1</v>
      </c>
      <c r="I2053" t="s">
        <v>156</v>
      </c>
      <c r="J2053">
        <v>0</v>
      </c>
      <c r="K2053">
        <v>2</v>
      </c>
      <c r="L2053">
        <v>5</v>
      </c>
      <c r="M2053">
        <v>83</v>
      </c>
      <c r="N2053">
        <v>544</v>
      </c>
      <c r="O2053">
        <v>0</v>
      </c>
      <c r="P2053">
        <v>544</v>
      </c>
      <c r="Q2053">
        <v>26</v>
      </c>
      <c r="R2053">
        <v>251</v>
      </c>
      <c r="S2053">
        <v>0</v>
      </c>
      <c r="T2053">
        <v>152</v>
      </c>
      <c r="U2053">
        <v>4</v>
      </c>
      <c r="V2053">
        <v>13</v>
      </c>
      <c r="W2053">
        <v>0</v>
      </c>
      <c r="X2053">
        <v>2</v>
      </c>
      <c r="Y2053">
        <v>78</v>
      </c>
      <c r="Z2053">
        <v>2</v>
      </c>
      <c r="AC2053">
        <v>0</v>
      </c>
      <c r="AD2053">
        <v>0</v>
      </c>
      <c r="AE2053">
        <v>0</v>
      </c>
      <c r="AF2053">
        <v>0</v>
      </c>
      <c r="AK2053">
        <v>2</v>
      </c>
      <c r="AL2053">
        <v>0</v>
      </c>
      <c r="AM2053">
        <v>0</v>
      </c>
      <c r="AN2053">
        <v>0</v>
      </c>
      <c r="AS2053">
        <v>0</v>
      </c>
      <c r="AT2053">
        <v>3</v>
      </c>
      <c r="AU2053">
        <v>0</v>
      </c>
      <c r="AV2053">
        <v>0</v>
      </c>
      <c r="BC2053" t="s">
        <v>105</v>
      </c>
      <c r="BD2053">
        <v>11</v>
      </c>
      <c r="BE2053">
        <v>544</v>
      </c>
      <c r="BF2053">
        <v>544</v>
      </c>
      <c r="BG2053">
        <v>605</v>
      </c>
      <c r="BI2053" t="s">
        <v>106</v>
      </c>
      <c r="BJ2053">
        <v>1</v>
      </c>
      <c r="BL2053" t="s">
        <v>4279</v>
      </c>
      <c r="BM2053" s="4">
        <v>43283.245833333334</v>
      </c>
      <c r="BN2053" s="4">
        <v>43283.269201388888</v>
      </c>
      <c r="BO2053" s="4">
        <v>43283.269201388888</v>
      </c>
      <c r="BP2053" t="s">
        <v>92</v>
      </c>
      <c r="BQ2053" t="s">
        <v>93</v>
      </c>
      <c r="BR2053" t="s">
        <v>94</v>
      </c>
    </row>
    <row r="2054" spans="1:70" x14ac:dyDescent="0.3">
      <c r="A2054" t="str">
        <f>"201391B0100"</f>
        <v>201391B0100</v>
      </c>
      <c r="B2054" t="s">
        <v>4280</v>
      </c>
      <c r="C2054">
        <v>20</v>
      </c>
      <c r="D2054" t="s">
        <v>88</v>
      </c>
      <c r="E2054">
        <v>276</v>
      </c>
      <c r="F2054" t="s">
        <v>4190</v>
      </c>
      <c r="G2054">
        <v>1391</v>
      </c>
      <c r="H2054">
        <v>1</v>
      </c>
      <c r="I2054" t="s">
        <v>90</v>
      </c>
      <c r="J2054">
        <v>0</v>
      </c>
      <c r="K2054">
        <v>2</v>
      </c>
      <c r="L2054">
        <v>5</v>
      </c>
      <c r="M2054">
        <v>87</v>
      </c>
      <c r="N2054">
        <v>322</v>
      </c>
      <c r="O2054">
        <v>0</v>
      </c>
      <c r="P2054">
        <v>322</v>
      </c>
      <c r="Q2054">
        <v>13</v>
      </c>
      <c r="R2054">
        <v>222</v>
      </c>
      <c r="S2054">
        <v>20</v>
      </c>
      <c r="T2054">
        <v>3</v>
      </c>
      <c r="U2054">
        <v>9</v>
      </c>
      <c r="V2054">
        <v>4</v>
      </c>
      <c r="W2054">
        <v>0</v>
      </c>
      <c r="X2054">
        <v>4</v>
      </c>
      <c r="Y2054">
        <v>36</v>
      </c>
      <c r="Z2054">
        <v>2</v>
      </c>
      <c r="AC2054">
        <v>0</v>
      </c>
      <c r="AD2054">
        <v>0</v>
      </c>
      <c r="AE2054">
        <v>0</v>
      </c>
      <c r="AF2054">
        <v>1</v>
      </c>
      <c r="AK2054">
        <v>1</v>
      </c>
      <c r="AL2054">
        <v>0</v>
      </c>
      <c r="AM2054">
        <v>1</v>
      </c>
      <c r="AN2054">
        <v>0</v>
      </c>
      <c r="AS2054">
        <v>0</v>
      </c>
      <c r="AT2054">
        <v>1</v>
      </c>
      <c r="AU2054">
        <v>0</v>
      </c>
      <c r="AV2054">
        <v>0</v>
      </c>
      <c r="BC2054">
        <v>0</v>
      </c>
      <c r="BD2054">
        <v>5</v>
      </c>
      <c r="BE2054">
        <v>322</v>
      </c>
      <c r="BF2054">
        <v>322</v>
      </c>
      <c r="BG2054">
        <v>387</v>
      </c>
      <c r="BJ2054">
        <v>1</v>
      </c>
      <c r="BL2054" t="s">
        <v>4281</v>
      </c>
      <c r="BM2054" s="4">
        <v>43283.122916666667</v>
      </c>
      <c r="BN2054" s="4">
        <v>43283.14571759259</v>
      </c>
      <c r="BO2054" s="4">
        <v>43283.14571759259</v>
      </c>
      <c r="BP2054" t="s">
        <v>92</v>
      </c>
      <c r="BQ2054" t="s">
        <v>93</v>
      </c>
      <c r="BR2054" t="s">
        <v>94</v>
      </c>
    </row>
    <row r="2055" spans="1:70" x14ac:dyDescent="0.3">
      <c r="A2055" t="str">
        <f>"201391C0100"</f>
        <v>201391C0100</v>
      </c>
      <c r="B2055" t="s">
        <v>4282</v>
      </c>
      <c r="C2055">
        <v>20</v>
      </c>
      <c r="D2055" t="s">
        <v>88</v>
      </c>
      <c r="E2055">
        <v>276</v>
      </c>
      <c r="F2055" t="s">
        <v>4190</v>
      </c>
      <c r="G2055">
        <v>1391</v>
      </c>
      <c r="H2055">
        <v>1</v>
      </c>
      <c r="I2055" t="s">
        <v>98</v>
      </c>
      <c r="J2055">
        <v>0</v>
      </c>
      <c r="K2055">
        <v>2</v>
      </c>
      <c r="L2055">
        <v>5</v>
      </c>
      <c r="M2055">
        <v>94</v>
      </c>
      <c r="N2055">
        <v>314</v>
      </c>
      <c r="O2055">
        <v>0</v>
      </c>
      <c r="P2055">
        <v>314</v>
      </c>
      <c r="Q2055">
        <v>17</v>
      </c>
      <c r="R2055">
        <v>209</v>
      </c>
      <c r="S2055">
        <v>16</v>
      </c>
      <c r="T2055">
        <v>2</v>
      </c>
      <c r="U2055">
        <v>8</v>
      </c>
      <c r="V2055">
        <v>7</v>
      </c>
      <c r="W2055">
        <v>0</v>
      </c>
      <c r="X2055">
        <v>3</v>
      </c>
      <c r="Y2055">
        <v>34</v>
      </c>
      <c r="Z2055">
        <v>1</v>
      </c>
      <c r="AC2055">
        <v>0</v>
      </c>
      <c r="AD2055">
        <v>0</v>
      </c>
      <c r="AE2055">
        <v>0</v>
      </c>
      <c r="AF2055">
        <v>0</v>
      </c>
      <c r="AK2055">
        <v>2</v>
      </c>
      <c r="AL2055">
        <v>0</v>
      </c>
      <c r="AM2055">
        <v>0</v>
      </c>
      <c r="AN2055">
        <v>0</v>
      </c>
      <c r="AS2055">
        <v>4</v>
      </c>
      <c r="AT2055">
        <v>0</v>
      </c>
      <c r="AU2055">
        <v>1</v>
      </c>
      <c r="AV2055">
        <v>0</v>
      </c>
      <c r="BC2055">
        <v>0</v>
      </c>
      <c r="BD2055">
        <v>10</v>
      </c>
      <c r="BE2055">
        <v>314</v>
      </c>
      <c r="BF2055">
        <v>314</v>
      </c>
      <c r="BG2055">
        <v>386</v>
      </c>
      <c r="BJ2055">
        <v>1</v>
      </c>
      <c r="BL2055" t="s">
        <v>4283</v>
      </c>
      <c r="BM2055" s="4">
        <v>43283.125694444447</v>
      </c>
      <c r="BN2055" s="4">
        <v>43283.130162037036</v>
      </c>
      <c r="BO2055" s="4">
        <v>43283.130162037036</v>
      </c>
      <c r="BP2055" t="s">
        <v>92</v>
      </c>
      <c r="BQ2055" t="s">
        <v>93</v>
      </c>
      <c r="BR2055" t="s">
        <v>94</v>
      </c>
    </row>
    <row r="2056" spans="1:70" x14ac:dyDescent="0.3">
      <c r="A2056" t="str">
        <f>"201391E0100"</f>
        <v>201391E0100</v>
      </c>
      <c r="B2056" s="2" t="s">
        <v>4284</v>
      </c>
      <c r="C2056">
        <v>20</v>
      </c>
      <c r="D2056" t="s">
        <v>88</v>
      </c>
      <c r="E2056">
        <v>276</v>
      </c>
      <c r="F2056" t="s">
        <v>4190</v>
      </c>
      <c r="G2056">
        <v>1391</v>
      </c>
      <c r="H2056">
        <v>1</v>
      </c>
      <c r="I2056" t="s">
        <v>156</v>
      </c>
      <c r="J2056">
        <v>0</v>
      </c>
      <c r="K2056">
        <v>2</v>
      </c>
      <c r="L2056">
        <v>5</v>
      </c>
      <c r="M2056">
        <v>32</v>
      </c>
      <c r="N2056">
        <v>129</v>
      </c>
      <c r="O2056">
        <v>0</v>
      </c>
      <c r="P2056">
        <v>129</v>
      </c>
      <c r="Q2056">
        <v>1</v>
      </c>
      <c r="R2056">
        <v>116</v>
      </c>
      <c r="S2056">
        <v>1</v>
      </c>
      <c r="T2056">
        <v>1</v>
      </c>
      <c r="U2056">
        <v>0</v>
      </c>
      <c r="V2056">
        <v>0</v>
      </c>
      <c r="W2056">
        <v>0</v>
      </c>
      <c r="X2056">
        <v>0</v>
      </c>
      <c r="Y2056">
        <v>7</v>
      </c>
      <c r="Z2056">
        <v>1</v>
      </c>
      <c r="AC2056">
        <v>0</v>
      </c>
      <c r="AD2056">
        <v>0</v>
      </c>
      <c r="AE2056">
        <v>0</v>
      </c>
      <c r="AF2056">
        <v>0</v>
      </c>
      <c r="AK2056">
        <v>0</v>
      </c>
      <c r="AL2056">
        <v>0</v>
      </c>
      <c r="AM2056">
        <v>0</v>
      </c>
      <c r="AN2056">
        <v>0</v>
      </c>
      <c r="AS2056">
        <v>0</v>
      </c>
      <c r="AT2056">
        <v>1</v>
      </c>
      <c r="AU2056">
        <v>0</v>
      </c>
      <c r="AV2056">
        <v>0</v>
      </c>
      <c r="BC2056">
        <v>0</v>
      </c>
      <c r="BD2056">
        <v>1</v>
      </c>
      <c r="BE2056">
        <v>129</v>
      </c>
      <c r="BF2056">
        <v>129</v>
      </c>
      <c r="BG2056">
        <v>139</v>
      </c>
      <c r="BJ2056">
        <v>1</v>
      </c>
      <c r="BL2056" t="s">
        <v>4285</v>
      </c>
      <c r="BM2056" s="4">
        <v>43283.12222222222</v>
      </c>
      <c r="BN2056" s="4">
        <v>43283.126550925925</v>
      </c>
      <c r="BO2056" s="4">
        <v>43283.126550925925</v>
      </c>
      <c r="BP2056" t="s">
        <v>92</v>
      </c>
      <c r="BQ2056" t="s">
        <v>93</v>
      </c>
      <c r="BR2056" t="s">
        <v>94</v>
      </c>
    </row>
    <row r="2057" spans="1:70" x14ac:dyDescent="0.3">
      <c r="A2057" t="str">
        <f>"201392B0100"</f>
        <v>201392B0100</v>
      </c>
      <c r="B2057" t="s">
        <v>4286</v>
      </c>
      <c r="C2057">
        <v>20</v>
      </c>
      <c r="D2057" t="s">
        <v>88</v>
      </c>
      <c r="E2057">
        <v>276</v>
      </c>
      <c r="F2057" t="s">
        <v>4190</v>
      </c>
      <c r="G2057">
        <v>1392</v>
      </c>
      <c r="H2057">
        <v>1</v>
      </c>
      <c r="I2057" t="s">
        <v>90</v>
      </c>
      <c r="J2057">
        <v>0</v>
      </c>
      <c r="K2057">
        <v>2</v>
      </c>
      <c r="L2057">
        <v>5</v>
      </c>
      <c r="M2057">
        <v>135</v>
      </c>
      <c r="N2057">
        <v>424</v>
      </c>
      <c r="O2057">
        <v>1</v>
      </c>
      <c r="P2057">
        <v>424</v>
      </c>
      <c r="Q2057">
        <v>29</v>
      </c>
      <c r="R2057">
        <v>258</v>
      </c>
      <c r="S2057">
        <v>26</v>
      </c>
      <c r="T2057">
        <v>3</v>
      </c>
      <c r="U2057">
        <v>6</v>
      </c>
      <c r="V2057">
        <v>16</v>
      </c>
      <c r="W2057">
        <v>1</v>
      </c>
      <c r="X2057">
        <v>0</v>
      </c>
      <c r="Y2057">
        <v>66</v>
      </c>
      <c r="Z2057">
        <v>3</v>
      </c>
      <c r="AC2057">
        <v>0</v>
      </c>
      <c r="AD2057">
        <v>1</v>
      </c>
      <c r="AE2057">
        <v>0</v>
      </c>
      <c r="AF2057">
        <v>1</v>
      </c>
      <c r="AK2057">
        <v>0</v>
      </c>
      <c r="AL2057">
        <v>0</v>
      </c>
      <c r="AM2057">
        <v>0</v>
      </c>
      <c r="AN2057">
        <v>1</v>
      </c>
      <c r="AS2057">
        <v>0</v>
      </c>
      <c r="AT2057">
        <v>1</v>
      </c>
      <c r="AU2057">
        <v>0</v>
      </c>
      <c r="AV2057">
        <v>0</v>
      </c>
      <c r="BC2057">
        <v>0</v>
      </c>
      <c r="BD2057">
        <v>12</v>
      </c>
      <c r="BE2057">
        <v>427</v>
      </c>
      <c r="BF2057">
        <v>424</v>
      </c>
      <c r="BG2057">
        <v>537</v>
      </c>
      <c r="BJ2057">
        <v>1</v>
      </c>
      <c r="BL2057" t="s">
        <v>4287</v>
      </c>
      <c r="BM2057" s="4">
        <v>43283.527777777781</v>
      </c>
      <c r="BN2057" s="4">
        <v>43283.531388888892</v>
      </c>
      <c r="BO2057" s="4">
        <v>43283.531388888892</v>
      </c>
      <c r="BP2057" t="s">
        <v>92</v>
      </c>
      <c r="BQ2057" t="s">
        <v>93</v>
      </c>
      <c r="BR2057" t="s">
        <v>94</v>
      </c>
    </row>
    <row r="2058" spans="1:70" x14ac:dyDescent="0.3">
      <c r="A2058" t="str">
        <f>"201392C0100"</f>
        <v>201392C0100</v>
      </c>
      <c r="B2058" t="s">
        <v>4288</v>
      </c>
      <c r="C2058">
        <v>20</v>
      </c>
      <c r="D2058" t="s">
        <v>88</v>
      </c>
      <c r="E2058">
        <v>276</v>
      </c>
      <c r="F2058" t="s">
        <v>4190</v>
      </c>
      <c r="G2058">
        <v>1392</v>
      </c>
      <c r="H2058">
        <v>1</v>
      </c>
      <c r="I2058" t="s">
        <v>98</v>
      </c>
      <c r="J2058">
        <v>0</v>
      </c>
      <c r="K2058">
        <v>2</v>
      </c>
      <c r="L2058">
        <v>5</v>
      </c>
      <c r="M2058">
        <v>123</v>
      </c>
      <c r="N2058">
        <v>433</v>
      </c>
      <c r="O2058">
        <v>0</v>
      </c>
      <c r="P2058">
        <v>433</v>
      </c>
      <c r="Q2058">
        <v>27</v>
      </c>
      <c r="R2058">
        <v>237</v>
      </c>
      <c r="S2058">
        <v>49</v>
      </c>
      <c r="T2058">
        <v>1</v>
      </c>
      <c r="U2058">
        <v>9</v>
      </c>
      <c r="V2058">
        <v>6</v>
      </c>
      <c r="W2058">
        <v>0</v>
      </c>
      <c r="X2058">
        <v>3</v>
      </c>
      <c r="Y2058">
        <v>81</v>
      </c>
      <c r="Z2058">
        <v>2</v>
      </c>
      <c r="AC2058">
        <v>0</v>
      </c>
      <c r="AD2058">
        <v>0</v>
      </c>
      <c r="AE2058">
        <v>0</v>
      </c>
      <c r="AF2058">
        <v>0</v>
      </c>
      <c r="AK2058">
        <v>0</v>
      </c>
      <c r="AL2058">
        <v>1</v>
      </c>
      <c r="AM2058">
        <v>0</v>
      </c>
      <c r="AN2058">
        <v>0</v>
      </c>
      <c r="AS2058">
        <v>2</v>
      </c>
      <c r="AT2058">
        <v>0</v>
      </c>
      <c r="AU2058">
        <v>0</v>
      </c>
      <c r="AV2058">
        <v>0</v>
      </c>
      <c r="BC2058">
        <v>0</v>
      </c>
      <c r="BD2058">
        <v>15</v>
      </c>
      <c r="BE2058">
        <v>433</v>
      </c>
      <c r="BF2058">
        <v>433</v>
      </c>
      <c r="BG2058">
        <v>536</v>
      </c>
      <c r="BJ2058">
        <v>1</v>
      </c>
      <c r="BL2058" t="s">
        <v>4289</v>
      </c>
      <c r="BM2058" s="4">
        <v>43283.530555555553</v>
      </c>
      <c r="BN2058" s="4">
        <v>43283.537106481483</v>
      </c>
      <c r="BO2058" s="4">
        <v>43283.537106481483</v>
      </c>
      <c r="BP2058" t="s">
        <v>92</v>
      </c>
      <c r="BQ2058" t="s">
        <v>93</v>
      </c>
      <c r="BR2058" t="s">
        <v>254</v>
      </c>
    </row>
    <row r="2059" spans="1:70" x14ac:dyDescent="0.3">
      <c r="A2059" t="str">
        <f>"201392C0200"</f>
        <v>201392C0200</v>
      </c>
      <c r="B2059" t="s">
        <v>4290</v>
      </c>
      <c r="C2059">
        <v>20</v>
      </c>
      <c r="D2059" t="s">
        <v>88</v>
      </c>
      <c r="E2059">
        <v>276</v>
      </c>
      <c r="F2059" t="s">
        <v>4190</v>
      </c>
      <c r="G2059">
        <v>1392</v>
      </c>
      <c r="H2059">
        <v>2</v>
      </c>
      <c r="I2059" t="s">
        <v>98</v>
      </c>
      <c r="J2059">
        <v>0</v>
      </c>
      <c r="K2059">
        <v>2</v>
      </c>
      <c r="L2059">
        <v>5</v>
      </c>
      <c r="M2059">
        <v>128</v>
      </c>
      <c r="N2059">
        <v>436</v>
      </c>
      <c r="O2059" t="s">
        <v>105</v>
      </c>
      <c r="P2059" t="s">
        <v>105</v>
      </c>
      <c r="Q2059">
        <v>21</v>
      </c>
      <c r="R2059">
        <v>289</v>
      </c>
      <c r="S2059">
        <v>32</v>
      </c>
      <c r="T2059">
        <v>2</v>
      </c>
      <c r="U2059">
        <v>10</v>
      </c>
      <c r="V2059">
        <v>9</v>
      </c>
      <c r="W2059">
        <v>0</v>
      </c>
      <c r="X2059">
        <v>2</v>
      </c>
      <c r="Y2059">
        <v>56</v>
      </c>
      <c r="Z2059">
        <v>0</v>
      </c>
      <c r="AC2059">
        <v>0</v>
      </c>
      <c r="AD2059">
        <v>0</v>
      </c>
      <c r="AE2059">
        <v>0</v>
      </c>
      <c r="AF2059">
        <v>0</v>
      </c>
      <c r="AK2059">
        <v>0</v>
      </c>
      <c r="AL2059">
        <v>0</v>
      </c>
      <c r="AM2059">
        <v>0</v>
      </c>
      <c r="AN2059">
        <v>1</v>
      </c>
      <c r="AS2059">
        <v>2</v>
      </c>
      <c r="AT2059">
        <v>2</v>
      </c>
      <c r="AU2059">
        <v>0</v>
      </c>
      <c r="AV2059">
        <v>2</v>
      </c>
      <c r="BC2059">
        <v>0</v>
      </c>
      <c r="BD2059">
        <v>8</v>
      </c>
      <c r="BE2059">
        <v>436</v>
      </c>
      <c r="BF2059">
        <v>436</v>
      </c>
      <c r="BG2059">
        <v>536</v>
      </c>
      <c r="BJ2059">
        <v>1</v>
      </c>
      <c r="BL2059" t="s">
        <v>4291</v>
      </c>
      <c r="BM2059" s="4">
        <v>43283.409016203703</v>
      </c>
      <c r="BN2059" s="4">
        <v>43283.416608796295</v>
      </c>
      <c r="BO2059" s="4">
        <v>43283.416608796295</v>
      </c>
      <c r="BP2059" t="s">
        <v>339</v>
      </c>
      <c r="BQ2059" t="s">
        <v>340</v>
      </c>
      <c r="BR2059" t="s">
        <v>94</v>
      </c>
    </row>
    <row r="2060" spans="1:70" x14ac:dyDescent="0.3">
      <c r="A2060" t="str">
        <f>"201393B0100"</f>
        <v>201393B0100</v>
      </c>
      <c r="B2060" t="s">
        <v>4292</v>
      </c>
      <c r="C2060">
        <v>20</v>
      </c>
      <c r="D2060" t="s">
        <v>88</v>
      </c>
      <c r="E2060">
        <v>276</v>
      </c>
      <c r="F2060" t="s">
        <v>4190</v>
      </c>
      <c r="G2060">
        <v>1393</v>
      </c>
      <c r="H2060">
        <v>1</v>
      </c>
      <c r="I2060" t="s">
        <v>90</v>
      </c>
      <c r="J2060">
        <v>0</v>
      </c>
      <c r="K2060">
        <v>2</v>
      </c>
      <c r="L2060">
        <v>5</v>
      </c>
      <c r="M2060">
        <v>116</v>
      </c>
      <c r="N2060" t="s">
        <v>105</v>
      </c>
      <c r="O2060" t="s">
        <v>105</v>
      </c>
      <c r="P2060" t="s">
        <v>105</v>
      </c>
      <c r="Q2060">
        <v>3</v>
      </c>
      <c r="R2060">
        <v>240</v>
      </c>
      <c r="S2060">
        <v>46</v>
      </c>
      <c r="T2060">
        <v>3</v>
      </c>
      <c r="U2060">
        <v>36</v>
      </c>
      <c r="V2060">
        <v>10</v>
      </c>
      <c r="W2060">
        <v>9</v>
      </c>
      <c r="X2060">
        <v>4</v>
      </c>
      <c r="Y2060">
        <v>165</v>
      </c>
      <c r="Z2060">
        <v>5</v>
      </c>
      <c r="AC2060" t="s">
        <v>105</v>
      </c>
      <c r="AD2060" t="s">
        <v>105</v>
      </c>
      <c r="AE2060" t="s">
        <v>105</v>
      </c>
      <c r="AF2060" t="s">
        <v>105</v>
      </c>
      <c r="AK2060" t="s">
        <v>105</v>
      </c>
      <c r="AL2060" t="s">
        <v>105</v>
      </c>
      <c r="AM2060" t="s">
        <v>105</v>
      </c>
      <c r="AN2060" t="s">
        <v>105</v>
      </c>
      <c r="AS2060" t="s">
        <v>105</v>
      </c>
      <c r="AT2060">
        <v>1</v>
      </c>
      <c r="AU2060" t="s">
        <v>105</v>
      </c>
      <c r="AV2060" t="s">
        <v>105</v>
      </c>
      <c r="BC2060" t="s">
        <v>105</v>
      </c>
      <c r="BD2060" t="s">
        <v>105</v>
      </c>
      <c r="BE2060" t="s">
        <v>105</v>
      </c>
      <c r="BF2060">
        <v>522</v>
      </c>
      <c r="BG2060">
        <v>625</v>
      </c>
      <c r="BI2060" t="s">
        <v>106</v>
      </c>
      <c r="BJ2060">
        <v>1</v>
      </c>
      <c r="BL2060" t="s">
        <v>4293</v>
      </c>
      <c r="BM2060" s="4">
        <v>43283.534722222219</v>
      </c>
      <c r="BN2060" s="4">
        <v>43283.538587962961</v>
      </c>
      <c r="BO2060" s="4">
        <v>43283.538587962961</v>
      </c>
      <c r="BP2060" t="s">
        <v>92</v>
      </c>
      <c r="BQ2060" t="s">
        <v>93</v>
      </c>
      <c r="BR2060" t="s">
        <v>94</v>
      </c>
    </row>
    <row r="2061" spans="1:70" x14ac:dyDescent="0.3">
      <c r="A2061" t="str">
        <f>"201393C0100"</f>
        <v>201393C0100</v>
      </c>
      <c r="B2061" t="s">
        <v>4294</v>
      </c>
      <c r="C2061">
        <v>20</v>
      </c>
      <c r="D2061" t="s">
        <v>88</v>
      </c>
      <c r="E2061">
        <v>276</v>
      </c>
      <c r="F2061" t="s">
        <v>4190</v>
      </c>
      <c r="G2061">
        <v>1393</v>
      </c>
      <c r="H2061">
        <v>1</v>
      </c>
      <c r="I2061" t="s">
        <v>98</v>
      </c>
      <c r="J2061">
        <v>0</v>
      </c>
      <c r="K2061">
        <v>2</v>
      </c>
      <c r="L2061">
        <v>5</v>
      </c>
      <c r="M2061">
        <v>131</v>
      </c>
      <c r="N2061">
        <v>515</v>
      </c>
      <c r="O2061">
        <v>0</v>
      </c>
      <c r="P2061" t="s">
        <v>105</v>
      </c>
      <c r="Q2061">
        <v>11</v>
      </c>
      <c r="R2061">
        <v>214</v>
      </c>
      <c r="S2061">
        <v>50</v>
      </c>
      <c r="T2061">
        <v>23</v>
      </c>
      <c r="U2061">
        <v>39</v>
      </c>
      <c r="V2061">
        <v>20</v>
      </c>
      <c r="W2061">
        <v>3</v>
      </c>
      <c r="X2061">
        <v>0</v>
      </c>
      <c r="Y2061">
        <v>159</v>
      </c>
      <c r="Z2061">
        <v>1</v>
      </c>
      <c r="AC2061">
        <v>0</v>
      </c>
      <c r="AD2061">
        <v>0</v>
      </c>
      <c r="AE2061">
        <v>0</v>
      </c>
      <c r="AF2061">
        <v>0</v>
      </c>
      <c r="AK2061">
        <v>1</v>
      </c>
      <c r="AL2061">
        <v>0</v>
      </c>
      <c r="AM2061">
        <v>0</v>
      </c>
      <c r="AN2061">
        <v>0</v>
      </c>
      <c r="AS2061">
        <v>0</v>
      </c>
      <c r="AT2061">
        <v>2</v>
      </c>
      <c r="AU2061">
        <v>0</v>
      </c>
      <c r="AV2061">
        <v>0</v>
      </c>
      <c r="BC2061">
        <v>0</v>
      </c>
      <c r="BD2061">
        <v>2</v>
      </c>
      <c r="BE2061">
        <v>515</v>
      </c>
      <c r="BF2061">
        <v>525</v>
      </c>
      <c r="BG2061">
        <v>625</v>
      </c>
      <c r="BJ2061">
        <v>1</v>
      </c>
      <c r="BL2061" t="s">
        <v>4295</v>
      </c>
      <c r="BM2061" s="4">
        <v>43283.540277777778</v>
      </c>
      <c r="BN2061" s="4">
        <v>43283.544618055559</v>
      </c>
      <c r="BO2061" s="4">
        <v>43283.544618055559</v>
      </c>
      <c r="BP2061" t="s">
        <v>92</v>
      </c>
      <c r="BQ2061" t="s">
        <v>93</v>
      </c>
      <c r="BR2061" t="s">
        <v>94</v>
      </c>
    </row>
    <row r="2062" spans="1:70" x14ac:dyDescent="0.3">
      <c r="A2062" t="str">
        <f>"201394B0100"</f>
        <v>201394B0100</v>
      </c>
      <c r="B2062" t="s">
        <v>4296</v>
      </c>
      <c r="C2062">
        <v>20</v>
      </c>
      <c r="D2062" t="s">
        <v>88</v>
      </c>
      <c r="E2062">
        <v>276</v>
      </c>
      <c r="F2062" t="s">
        <v>4190</v>
      </c>
      <c r="G2062">
        <v>1394</v>
      </c>
      <c r="H2062">
        <v>1</v>
      </c>
      <c r="I2062" t="s">
        <v>90</v>
      </c>
      <c r="J2062">
        <v>0</v>
      </c>
      <c r="K2062">
        <v>2</v>
      </c>
      <c r="L2062">
        <v>5</v>
      </c>
      <c r="M2062">
        <v>140</v>
      </c>
      <c r="N2062">
        <v>594</v>
      </c>
      <c r="O2062">
        <v>0</v>
      </c>
      <c r="P2062">
        <v>594</v>
      </c>
      <c r="Q2062">
        <v>26</v>
      </c>
      <c r="R2062">
        <v>348</v>
      </c>
      <c r="S2062">
        <v>67</v>
      </c>
      <c r="T2062">
        <v>31</v>
      </c>
      <c r="U2062">
        <v>11</v>
      </c>
      <c r="V2062">
        <v>1</v>
      </c>
      <c r="W2062">
        <v>1</v>
      </c>
      <c r="X2062">
        <v>2</v>
      </c>
      <c r="Y2062">
        <v>90</v>
      </c>
      <c r="Z2062">
        <v>2</v>
      </c>
      <c r="AC2062">
        <v>0</v>
      </c>
      <c r="AD2062">
        <v>1</v>
      </c>
      <c r="AE2062">
        <v>0</v>
      </c>
      <c r="AF2062">
        <v>0</v>
      </c>
      <c r="AK2062">
        <v>1</v>
      </c>
      <c r="AL2062">
        <v>0</v>
      </c>
      <c r="AM2062">
        <v>0</v>
      </c>
      <c r="AN2062">
        <v>1</v>
      </c>
      <c r="AS2062">
        <v>2</v>
      </c>
      <c r="AT2062">
        <v>2</v>
      </c>
      <c r="AU2062">
        <v>0</v>
      </c>
      <c r="AV2062">
        <v>0</v>
      </c>
      <c r="BC2062">
        <v>0</v>
      </c>
      <c r="BD2062">
        <v>8</v>
      </c>
      <c r="BE2062">
        <v>594</v>
      </c>
      <c r="BF2062">
        <v>594</v>
      </c>
      <c r="BG2062">
        <v>712</v>
      </c>
      <c r="BJ2062">
        <v>1</v>
      </c>
      <c r="BL2062" t="s">
        <v>4297</v>
      </c>
      <c r="BM2062" s="4">
        <v>43283.542361111111</v>
      </c>
      <c r="BN2062" s="4">
        <v>43283.548101851855</v>
      </c>
      <c r="BO2062" s="4">
        <v>43283.548101851855</v>
      </c>
      <c r="BP2062" t="s">
        <v>92</v>
      </c>
      <c r="BQ2062" t="s">
        <v>93</v>
      </c>
      <c r="BR2062" t="s">
        <v>94</v>
      </c>
    </row>
    <row r="2063" spans="1:70" x14ac:dyDescent="0.3">
      <c r="A2063" t="str">
        <f>"201395B0100"</f>
        <v>201395B0100</v>
      </c>
      <c r="B2063" t="s">
        <v>4298</v>
      </c>
      <c r="C2063">
        <v>20</v>
      </c>
      <c r="D2063" t="s">
        <v>88</v>
      </c>
      <c r="E2063">
        <v>276</v>
      </c>
      <c r="F2063" t="s">
        <v>4190</v>
      </c>
      <c r="G2063">
        <v>1395</v>
      </c>
      <c r="H2063">
        <v>1</v>
      </c>
      <c r="I2063" t="s">
        <v>90</v>
      </c>
      <c r="J2063">
        <v>0</v>
      </c>
      <c r="K2063">
        <v>2</v>
      </c>
      <c r="L2063">
        <v>5</v>
      </c>
      <c r="M2063">
        <v>105</v>
      </c>
      <c r="N2063">
        <v>520</v>
      </c>
      <c r="O2063">
        <v>2</v>
      </c>
      <c r="P2063">
        <v>520</v>
      </c>
      <c r="Q2063">
        <v>42</v>
      </c>
      <c r="R2063">
        <v>269</v>
      </c>
      <c r="S2063">
        <v>52</v>
      </c>
      <c r="T2063">
        <v>37</v>
      </c>
      <c r="U2063">
        <v>7</v>
      </c>
      <c r="V2063">
        <v>26</v>
      </c>
      <c r="W2063">
        <v>0</v>
      </c>
      <c r="X2063">
        <v>0</v>
      </c>
      <c r="Y2063">
        <v>73</v>
      </c>
      <c r="Z2063">
        <v>0</v>
      </c>
      <c r="AC2063">
        <v>0</v>
      </c>
      <c r="AD2063">
        <v>0</v>
      </c>
      <c r="AE2063">
        <v>0</v>
      </c>
      <c r="AF2063">
        <v>0</v>
      </c>
      <c r="AK2063">
        <v>1</v>
      </c>
      <c r="AL2063">
        <v>0</v>
      </c>
      <c r="AM2063">
        <v>0</v>
      </c>
      <c r="AN2063">
        <v>0</v>
      </c>
      <c r="AS2063">
        <v>2</v>
      </c>
      <c r="AT2063">
        <v>4</v>
      </c>
      <c r="AU2063">
        <v>1</v>
      </c>
      <c r="AV2063">
        <v>0</v>
      </c>
      <c r="BC2063">
        <v>2</v>
      </c>
      <c r="BD2063">
        <v>4</v>
      </c>
      <c r="BE2063">
        <v>520</v>
      </c>
      <c r="BF2063">
        <v>520</v>
      </c>
      <c r="BG2063">
        <v>603</v>
      </c>
      <c r="BJ2063">
        <v>1</v>
      </c>
      <c r="BL2063" t="s">
        <v>4299</v>
      </c>
      <c r="BM2063" s="4">
        <v>43283.543055555558</v>
      </c>
      <c r="BN2063" s="4">
        <v>43283.549467592595</v>
      </c>
      <c r="BO2063" s="4">
        <v>43283.549467592595</v>
      </c>
      <c r="BP2063" t="s">
        <v>92</v>
      </c>
      <c r="BQ2063" t="s">
        <v>93</v>
      </c>
      <c r="BR2063" t="s">
        <v>94</v>
      </c>
    </row>
    <row r="2064" spans="1:70" x14ac:dyDescent="0.3">
      <c r="A2064" t="str">
        <f>"201395E0100"</f>
        <v>201395E0100</v>
      </c>
      <c r="B2064" s="2" t="s">
        <v>4300</v>
      </c>
      <c r="C2064">
        <v>20</v>
      </c>
      <c r="D2064" t="s">
        <v>88</v>
      </c>
      <c r="E2064">
        <v>276</v>
      </c>
      <c r="F2064" t="s">
        <v>4190</v>
      </c>
      <c r="G2064">
        <v>1395</v>
      </c>
      <c r="H2064">
        <v>1</v>
      </c>
      <c r="I2064" t="s">
        <v>156</v>
      </c>
      <c r="J2064">
        <v>0</v>
      </c>
      <c r="K2064">
        <v>2</v>
      </c>
      <c r="L2064">
        <v>5</v>
      </c>
      <c r="M2064">
        <v>106</v>
      </c>
      <c r="N2064">
        <v>530</v>
      </c>
      <c r="O2064">
        <v>1</v>
      </c>
      <c r="P2064">
        <v>530</v>
      </c>
      <c r="Q2064">
        <v>14</v>
      </c>
      <c r="R2064">
        <v>207</v>
      </c>
      <c r="S2064">
        <v>59</v>
      </c>
      <c r="T2064">
        <v>11</v>
      </c>
      <c r="U2064">
        <v>7</v>
      </c>
      <c r="V2064">
        <v>14</v>
      </c>
      <c r="W2064">
        <v>3</v>
      </c>
      <c r="X2064">
        <v>0</v>
      </c>
      <c r="Y2064">
        <v>95</v>
      </c>
      <c r="Z2064">
        <v>2</v>
      </c>
      <c r="AC2064">
        <v>0</v>
      </c>
      <c r="AD2064">
        <v>0</v>
      </c>
      <c r="AE2064">
        <v>0</v>
      </c>
      <c r="AF2064">
        <v>0</v>
      </c>
      <c r="AK2064">
        <v>2</v>
      </c>
      <c r="AL2064">
        <v>0</v>
      </c>
      <c r="AM2064">
        <v>0</v>
      </c>
      <c r="AN2064">
        <v>0</v>
      </c>
      <c r="AS2064">
        <v>3</v>
      </c>
      <c r="AT2064">
        <v>1</v>
      </c>
      <c r="AU2064">
        <v>0</v>
      </c>
      <c r="AV2064">
        <v>0</v>
      </c>
      <c r="BC2064" t="s">
        <v>105</v>
      </c>
      <c r="BD2064">
        <v>12</v>
      </c>
      <c r="BE2064">
        <v>530</v>
      </c>
      <c r="BF2064">
        <v>430</v>
      </c>
      <c r="BG2064">
        <v>614</v>
      </c>
      <c r="BI2064" t="s">
        <v>106</v>
      </c>
      <c r="BJ2064">
        <v>1</v>
      </c>
      <c r="BL2064" t="s">
        <v>4301</v>
      </c>
      <c r="BM2064" s="4">
        <v>43283.085115740738</v>
      </c>
      <c r="BN2064" s="4">
        <v>43283.08902777778</v>
      </c>
      <c r="BO2064" s="4">
        <v>43283.08902777778</v>
      </c>
      <c r="BP2064" t="s">
        <v>339</v>
      </c>
      <c r="BQ2064" t="s">
        <v>340</v>
      </c>
      <c r="BR2064" t="s">
        <v>94</v>
      </c>
    </row>
    <row r="2065" spans="1:70" x14ac:dyDescent="0.3">
      <c r="A2065" t="str">
        <f>"201409B0100"</f>
        <v>201409B0100</v>
      </c>
      <c r="B2065" t="s">
        <v>4302</v>
      </c>
      <c r="C2065">
        <v>20</v>
      </c>
      <c r="D2065" t="s">
        <v>88</v>
      </c>
      <c r="E2065">
        <v>283</v>
      </c>
      <c r="F2065" t="s">
        <v>4303</v>
      </c>
      <c r="G2065">
        <v>1409</v>
      </c>
      <c r="H2065">
        <v>1</v>
      </c>
      <c r="I2065" t="s">
        <v>90</v>
      </c>
      <c r="J2065">
        <v>0</v>
      </c>
      <c r="K2065">
        <v>1</v>
      </c>
      <c r="L2065">
        <v>5</v>
      </c>
      <c r="M2065">
        <v>99</v>
      </c>
      <c r="N2065">
        <v>445</v>
      </c>
      <c r="O2065">
        <v>1</v>
      </c>
      <c r="P2065">
        <v>445</v>
      </c>
      <c r="Q2065">
        <v>0</v>
      </c>
      <c r="R2065">
        <v>150</v>
      </c>
      <c r="S2065">
        <v>94</v>
      </c>
      <c r="U2065">
        <v>0</v>
      </c>
      <c r="V2065">
        <v>0</v>
      </c>
      <c r="W2065">
        <v>135</v>
      </c>
      <c r="X2065">
        <v>1</v>
      </c>
      <c r="Y2065">
        <v>4</v>
      </c>
      <c r="Z2065">
        <v>0</v>
      </c>
      <c r="AA2065">
        <v>37</v>
      </c>
      <c r="AC2065">
        <v>0</v>
      </c>
      <c r="AD2065">
        <v>0</v>
      </c>
      <c r="AE2065">
        <v>0</v>
      </c>
      <c r="AF2065">
        <v>0</v>
      </c>
      <c r="AK2065">
        <v>0</v>
      </c>
      <c r="AL2065">
        <v>0</v>
      </c>
      <c r="AM2065">
        <v>0</v>
      </c>
      <c r="AN2065">
        <v>0</v>
      </c>
      <c r="BC2065">
        <v>0</v>
      </c>
      <c r="BD2065">
        <v>23</v>
      </c>
      <c r="BE2065">
        <v>444</v>
      </c>
      <c r="BF2065">
        <v>444</v>
      </c>
      <c r="BG2065">
        <v>522</v>
      </c>
      <c r="BJ2065">
        <v>1</v>
      </c>
      <c r="BL2065" t="s">
        <v>4304</v>
      </c>
      <c r="BM2065" s="4">
        <v>43283.232638888891</v>
      </c>
      <c r="BN2065" s="4">
        <v>43283.261018518519</v>
      </c>
      <c r="BO2065" s="4">
        <v>43283.261018518519</v>
      </c>
      <c r="BP2065" t="s">
        <v>92</v>
      </c>
      <c r="BQ2065" t="s">
        <v>93</v>
      </c>
      <c r="BR2065" t="s">
        <v>94</v>
      </c>
    </row>
    <row r="2066" spans="1:70" x14ac:dyDescent="0.3">
      <c r="A2066" t="str">
        <f>"201409C0100"</f>
        <v>201409C0100</v>
      </c>
      <c r="B2066" t="s">
        <v>4305</v>
      </c>
      <c r="C2066">
        <v>20</v>
      </c>
      <c r="D2066" t="s">
        <v>88</v>
      </c>
      <c r="E2066">
        <v>283</v>
      </c>
      <c r="F2066" t="s">
        <v>4303</v>
      </c>
      <c r="G2066">
        <v>1409</v>
      </c>
      <c r="H2066">
        <v>1</v>
      </c>
      <c r="I2066" t="s">
        <v>98</v>
      </c>
      <c r="J2066">
        <v>0</v>
      </c>
      <c r="K2066">
        <v>1</v>
      </c>
      <c r="L2066">
        <v>5</v>
      </c>
      <c r="M2066">
        <v>111</v>
      </c>
      <c r="N2066">
        <v>433</v>
      </c>
      <c r="O2066">
        <v>4</v>
      </c>
      <c r="P2066">
        <v>433</v>
      </c>
      <c r="Q2066">
        <v>1</v>
      </c>
      <c r="R2066">
        <v>100</v>
      </c>
      <c r="S2066">
        <v>101</v>
      </c>
      <c r="U2066">
        <v>2</v>
      </c>
      <c r="V2066">
        <v>1</v>
      </c>
      <c r="W2066">
        <v>136</v>
      </c>
      <c r="X2066">
        <v>1</v>
      </c>
      <c r="Y2066">
        <v>8</v>
      </c>
      <c r="Z2066">
        <v>0</v>
      </c>
      <c r="AA2066">
        <v>53</v>
      </c>
      <c r="AC2066">
        <v>0</v>
      </c>
      <c r="AD2066">
        <v>2</v>
      </c>
      <c r="AE2066">
        <v>0</v>
      </c>
      <c r="AF2066">
        <v>0</v>
      </c>
      <c r="AK2066">
        <v>0</v>
      </c>
      <c r="AL2066">
        <v>0</v>
      </c>
      <c r="AM2066">
        <v>0</v>
      </c>
      <c r="AN2066">
        <v>0</v>
      </c>
      <c r="BC2066">
        <v>0</v>
      </c>
      <c r="BD2066">
        <v>28</v>
      </c>
      <c r="BE2066">
        <v>433</v>
      </c>
      <c r="BF2066">
        <v>433</v>
      </c>
      <c r="BG2066">
        <v>522</v>
      </c>
      <c r="BJ2066">
        <v>1</v>
      </c>
      <c r="BL2066" t="s">
        <v>4306</v>
      </c>
      <c r="BM2066" s="4">
        <v>43283.232638888891</v>
      </c>
      <c r="BN2066" s="4">
        <v>43283.261828703704</v>
      </c>
      <c r="BO2066" s="4">
        <v>43283.261828703704</v>
      </c>
      <c r="BP2066" t="s">
        <v>92</v>
      </c>
      <c r="BQ2066" t="s">
        <v>93</v>
      </c>
      <c r="BR2066" t="s">
        <v>94</v>
      </c>
    </row>
    <row r="2067" spans="1:70" x14ac:dyDescent="0.3">
      <c r="A2067" t="str">
        <f>"201409C0200"</f>
        <v>201409C0200</v>
      </c>
      <c r="B2067" t="s">
        <v>4307</v>
      </c>
      <c r="C2067">
        <v>20</v>
      </c>
      <c r="D2067" t="s">
        <v>88</v>
      </c>
      <c r="E2067">
        <v>283</v>
      </c>
      <c r="F2067" t="s">
        <v>4303</v>
      </c>
      <c r="G2067">
        <v>1409</v>
      </c>
      <c r="H2067">
        <v>2</v>
      </c>
      <c r="I2067" t="s">
        <v>98</v>
      </c>
      <c r="J2067">
        <v>0</v>
      </c>
      <c r="K2067">
        <v>1</v>
      </c>
      <c r="L2067">
        <v>5</v>
      </c>
      <c r="M2067">
        <v>97</v>
      </c>
      <c r="N2067">
        <v>446</v>
      </c>
      <c r="O2067">
        <v>2</v>
      </c>
      <c r="P2067">
        <v>446</v>
      </c>
      <c r="Q2067">
        <v>1</v>
      </c>
      <c r="R2067">
        <v>149</v>
      </c>
      <c r="S2067">
        <v>86</v>
      </c>
      <c r="U2067">
        <v>0</v>
      </c>
      <c r="V2067">
        <v>0</v>
      </c>
      <c r="W2067">
        <v>123</v>
      </c>
      <c r="X2067">
        <v>0</v>
      </c>
      <c r="Y2067">
        <v>9</v>
      </c>
      <c r="Z2067">
        <v>0</v>
      </c>
      <c r="AA2067">
        <v>40</v>
      </c>
      <c r="AC2067">
        <v>1</v>
      </c>
      <c r="AD2067">
        <v>0</v>
      </c>
      <c r="AE2067">
        <v>0</v>
      </c>
      <c r="AF2067">
        <v>0</v>
      </c>
      <c r="AK2067">
        <v>1</v>
      </c>
      <c r="AL2067">
        <v>0</v>
      </c>
      <c r="AM2067">
        <v>0</v>
      </c>
      <c r="AN2067">
        <v>0</v>
      </c>
      <c r="BC2067">
        <v>0</v>
      </c>
      <c r="BD2067">
        <v>29</v>
      </c>
      <c r="BE2067">
        <v>447</v>
      </c>
      <c r="BF2067">
        <v>439</v>
      </c>
      <c r="BG2067">
        <v>521</v>
      </c>
      <c r="BJ2067">
        <v>1</v>
      </c>
      <c r="BL2067" t="s">
        <v>4308</v>
      </c>
      <c r="BM2067" s="4">
        <v>43283.231944444444</v>
      </c>
      <c r="BN2067" s="4">
        <v>43283.263124999998</v>
      </c>
      <c r="BO2067" s="4">
        <v>43283.263124999998</v>
      </c>
      <c r="BP2067" t="s">
        <v>92</v>
      </c>
      <c r="BQ2067" t="s">
        <v>93</v>
      </c>
      <c r="BR2067" t="s">
        <v>94</v>
      </c>
    </row>
    <row r="2068" spans="1:70" x14ac:dyDescent="0.3">
      <c r="A2068" t="str">
        <f>"201410B0100"</f>
        <v>201410B0100</v>
      </c>
      <c r="B2068" t="s">
        <v>4309</v>
      </c>
      <c r="C2068">
        <v>20</v>
      </c>
      <c r="D2068" t="s">
        <v>88</v>
      </c>
      <c r="E2068">
        <v>283</v>
      </c>
      <c r="F2068" t="s">
        <v>4303</v>
      </c>
      <c r="G2068">
        <v>1410</v>
      </c>
      <c r="H2068">
        <v>1</v>
      </c>
      <c r="I2068" t="s">
        <v>90</v>
      </c>
      <c r="J2068">
        <v>0</v>
      </c>
      <c r="K2068">
        <v>2</v>
      </c>
      <c r="L2068">
        <v>5</v>
      </c>
      <c r="M2068">
        <v>108</v>
      </c>
      <c r="N2068">
        <v>389</v>
      </c>
      <c r="O2068">
        <v>8</v>
      </c>
      <c r="P2068">
        <v>389</v>
      </c>
      <c r="Q2068">
        <v>0</v>
      </c>
      <c r="R2068">
        <v>175</v>
      </c>
      <c r="S2068">
        <v>44</v>
      </c>
      <c r="U2068">
        <v>3</v>
      </c>
      <c r="V2068">
        <v>0</v>
      </c>
      <c r="W2068">
        <v>71</v>
      </c>
      <c r="X2068">
        <v>0</v>
      </c>
      <c r="Y2068">
        <v>10</v>
      </c>
      <c r="Z2068">
        <v>0</v>
      </c>
      <c r="AA2068">
        <v>48</v>
      </c>
      <c r="AC2068" t="s">
        <v>105</v>
      </c>
      <c r="AD2068" t="s">
        <v>105</v>
      </c>
      <c r="AE2068" t="s">
        <v>105</v>
      </c>
      <c r="AF2068" t="s">
        <v>105</v>
      </c>
      <c r="AK2068" t="s">
        <v>105</v>
      </c>
      <c r="AL2068" t="s">
        <v>105</v>
      </c>
      <c r="AM2068" t="s">
        <v>105</v>
      </c>
      <c r="AN2068" t="s">
        <v>105</v>
      </c>
      <c r="BC2068" t="s">
        <v>105</v>
      </c>
      <c r="BD2068">
        <v>38</v>
      </c>
      <c r="BE2068">
        <v>389</v>
      </c>
      <c r="BF2068">
        <v>389</v>
      </c>
      <c r="BG2068">
        <v>475</v>
      </c>
      <c r="BI2068" t="s">
        <v>106</v>
      </c>
      <c r="BJ2068">
        <v>1</v>
      </c>
      <c r="BL2068" t="s">
        <v>4310</v>
      </c>
      <c r="BM2068" s="4">
        <v>43283.232638888891</v>
      </c>
      <c r="BN2068" s="4">
        <v>43283.255787037036</v>
      </c>
      <c r="BO2068" s="4">
        <v>43283.255787037036</v>
      </c>
      <c r="BP2068" t="s">
        <v>92</v>
      </c>
      <c r="BQ2068" t="s">
        <v>93</v>
      </c>
      <c r="BR2068" t="s">
        <v>94</v>
      </c>
    </row>
    <row r="2069" spans="1:70" x14ac:dyDescent="0.3">
      <c r="A2069" t="str">
        <f>"201410C0100"</f>
        <v>201410C0100</v>
      </c>
      <c r="B2069" t="s">
        <v>4311</v>
      </c>
      <c r="C2069">
        <v>20</v>
      </c>
      <c r="D2069" t="s">
        <v>88</v>
      </c>
      <c r="E2069">
        <v>283</v>
      </c>
      <c r="F2069" t="s">
        <v>4303</v>
      </c>
      <c r="G2069">
        <v>1410</v>
      </c>
      <c r="H2069">
        <v>1</v>
      </c>
      <c r="I2069" t="s">
        <v>98</v>
      </c>
      <c r="J2069">
        <v>0</v>
      </c>
      <c r="K2069">
        <v>2</v>
      </c>
      <c r="L2069">
        <v>5</v>
      </c>
      <c r="M2069">
        <v>140</v>
      </c>
      <c r="N2069">
        <v>356</v>
      </c>
      <c r="O2069">
        <v>6</v>
      </c>
      <c r="P2069">
        <v>356</v>
      </c>
      <c r="Q2069">
        <v>0</v>
      </c>
      <c r="R2069">
        <v>148</v>
      </c>
      <c r="S2069">
        <v>41</v>
      </c>
      <c r="U2069">
        <v>2</v>
      </c>
      <c r="V2069">
        <v>0</v>
      </c>
      <c r="W2069">
        <v>58</v>
      </c>
      <c r="X2069">
        <v>1</v>
      </c>
      <c r="Y2069">
        <v>15</v>
      </c>
      <c r="Z2069">
        <v>2</v>
      </c>
      <c r="AA2069">
        <v>55</v>
      </c>
      <c r="AC2069">
        <v>0</v>
      </c>
      <c r="AD2069">
        <v>1</v>
      </c>
      <c r="AE2069">
        <v>0</v>
      </c>
      <c r="AF2069">
        <v>0</v>
      </c>
      <c r="AK2069">
        <v>0</v>
      </c>
      <c r="AL2069">
        <v>0</v>
      </c>
      <c r="AM2069">
        <v>0</v>
      </c>
      <c r="AN2069">
        <v>0</v>
      </c>
      <c r="BC2069">
        <v>0</v>
      </c>
      <c r="BD2069">
        <v>33</v>
      </c>
      <c r="BE2069">
        <v>356</v>
      </c>
      <c r="BF2069">
        <v>356</v>
      </c>
      <c r="BG2069">
        <v>474</v>
      </c>
      <c r="BJ2069">
        <v>1</v>
      </c>
      <c r="BL2069" t="s">
        <v>4312</v>
      </c>
      <c r="BM2069" s="4">
        <v>43283.23333333333</v>
      </c>
      <c r="BN2069" s="4">
        <v>43283.257604166669</v>
      </c>
      <c r="BO2069" s="4">
        <v>43283.257604166669</v>
      </c>
      <c r="BP2069" t="s">
        <v>92</v>
      </c>
      <c r="BQ2069" t="s">
        <v>93</v>
      </c>
      <c r="BR2069" t="s">
        <v>94</v>
      </c>
    </row>
    <row r="2070" spans="1:70" x14ac:dyDescent="0.3">
      <c r="A2070" t="str">
        <f>"201418B0100"</f>
        <v>201418B0100</v>
      </c>
      <c r="B2070" t="s">
        <v>4313</v>
      </c>
      <c r="C2070">
        <v>20</v>
      </c>
      <c r="D2070" t="s">
        <v>88</v>
      </c>
      <c r="E2070">
        <v>288</v>
      </c>
      <c r="F2070" t="s">
        <v>4314</v>
      </c>
      <c r="G2070">
        <v>1418</v>
      </c>
      <c r="H2070">
        <v>1</v>
      </c>
      <c r="I2070" t="s">
        <v>90</v>
      </c>
      <c r="J2070">
        <v>0</v>
      </c>
      <c r="K2070">
        <v>2</v>
      </c>
      <c r="L2070">
        <v>5</v>
      </c>
      <c r="M2070">
        <v>131</v>
      </c>
      <c r="N2070">
        <v>283</v>
      </c>
      <c r="O2070">
        <v>0</v>
      </c>
      <c r="P2070">
        <v>284</v>
      </c>
      <c r="Q2070">
        <v>0</v>
      </c>
      <c r="R2070">
        <v>86</v>
      </c>
      <c r="S2070">
        <v>96</v>
      </c>
      <c r="T2070">
        <v>0</v>
      </c>
      <c r="U2070">
        <v>4</v>
      </c>
      <c r="V2070">
        <v>3</v>
      </c>
      <c r="X2070">
        <v>1</v>
      </c>
      <c r="Y2070">
        <v>79</v>
      </c>
      <c r="Z2070">
        <v>0</v>
      </c>
      <c r="AC2070">
        <v>0</v>
      </c>
      <c r="AD2070">
        <v>0</v>
      </c>
      <c r="AE2070">
        <v>0</v>
      </c>
      <c r="AF2070">
        <v>0</v>
      </c>
      <c r="AG2070">
        <v>0</v>
      </c>
      <c r="AH2070">
        <v>0</v>
      </c>
      <c r="AI2070">
        <v>0</v>
      </c>
      <c r="AJ2070">
        <v>0</v>
      </c>
      <c r="AK2070">
        <v>1</v>
      </c>
      <c r="AL2070">
        <v>1</v>
      </c>
      <c r="AM2070">
        <v>0</v>
      </c>
      <c r="AN2070">
        <v>1</v>
      </c>
      <c r="BC2070">
        <v>0</v>
      </c>
      <c r="BD2070">
        <v>12</v>
      </c>
      <c r="BE2070">
        <v>284</v>
      </c>
      <c r="BF2070">
        <v>284</v>
      </c>
      <c r="BG2070">
        <v>392</v>
      </c>
      <c r="BJ2070">
        <v>1</v>
      </c>
      <c r="BL2070" t="s">
        <v>4315</v>
      </c>
      <c r="BM2070" s="4">
        <v>43283.554166666669</v>
      </c>
      <c r="BN2070" s="4">
        <v>43283.557534722226</v>
      </c>
      <c r="BO2070" s="4">
        <v>43283.557534722226</v>
      </c>
      <c r="BP2070" t="s">
        <v>92</v>
      </c>
      <c r="BQ2070" t="s">
        <v>93</v>
      </c>
      <c r="BR2070" t="s">
        <v>94</v>
      </c>
    </row>
    <row r="2071" spans="1:70" x14ac:dyDescent="0.3">
      <c r="A2071" t="str">
        <f>"201418C0100"</f>
        <v>201418C0100</v>
      </c>
      <c r="B2071" t="s">
        <v>4316</v>
      </c>
      <c r="C2071">
        <v>20</v>
      </c>
      <c r="D2071" t="s">
        <v>88</v>
      </c>
      <c r="E2071">
        <v>288</v>
      </c>
      <c r="F2071" t="s">
        <v>4314</v>
      </c>
      <c r="G2071">
        <v>1418</v>
      </c>
      <c r="H2071">
        <v>1</v>
      </c>
      <c r="I2071" t="s">
        <v>98</v>
      </c>
      <c r="J2071">
        <v>0</v>
      </c>
      <c r="K2071">
        <v>2</v>
      </c>
      <c r="L2071">
        <v>5</v>
      </c>
      <c r="M2071">
        <v>139</v>
      </c>
      <c r="N2071">
        <v>274</v>
      </c>
      <c r="O2071">
        <v>0</v>
      </c>
      <c r="P2071">
        <v>274</v>
      </c>
      <c r="Q2071">
        <v>0</v>
      </c>
      <c r="R2071">
        <v>65</v>
      </c>
      <c r="S2071">
        <v>92</v>
      </c>
      <c r="T2071">
        <v>1</v>
      </c>
      <c r="U2071">
        <v>2</v>
      </c>
      <c r="V2071">
        <v>2</v>
      </c>
      <c r="X2071">
        <v>3</v>
      </c>
      <c r="Y2071">
        <v>90</v>
      </c>
      <c r="Z2071">
        <v>0</v>
      </c>
      <c r="AC2071">
        <v>3</v>
      </c>
      <c r="AD2071">
        <v>0</v>
      </c>
      <c r="AE2071">
        <v>0</v>
      </c>
      <c r="AF2071">
        <v>0</v>
      </c>
      <c r="AG2071">
        <v>0</v>
      </c>
      <c r="AH2071">
        <v>2</v>
      </c>
      <c r="AI2071">
        <v>0</v>
      </c>
      <c r="AJ2071">
        <v>0</v>
      </c>
      <c r="AK2071">
        <v>1</v>
      </c>
      <c r="AL2071">
        <v>1</v>
      </c>
      <c r="AM2071">
        <v>0</v>
      </c>
      <c r="AN2071">
        <v>1</v>
      </c>
      <c r="BC2071">
        <v>0</v>
      </c>
      <c r="BD2071">
        <v>9</v>
      </c>
      <c r="BE2071">
        <v>274</v>
      </c>
      <c r="BF2071">
        <v>272</v>
      </c>
      <c r="BG2071">
        <v>392</v>
      </c>
      <c r="BJ2071">
        <v>1</v>
      </c>
      <c r="BL2071" t="s">
        <v>4317</v>
      </c>
      <c r="BM2071" s="4">
        <v>43283.554166666669</v>
      </c>
      <c r="BN2071" s="4">
        <v>43283.56145833333</v>
      </c>
      <c r="BO2071" s="4">
        <v>43283.56145833333</v>
      </c>
      <c r="BP2071" t="s">
        <v>92</v>
      </c>
      <c r="BQ2071" t="s">
        <v>93</v>
      </c>
      <c r="BR2071" t="s">
        <v>94</v>
      </c>
    </row>
    <row r="2072" spans="1:70" x14ac:dyDescent="0.3">
      <c r="A2072" t="str">
        <f>"201426B0100"</f>
        <v>201426B0100</v>
      </c>
      <c r="B2072" t="s">
        <v>4318</v>
      </c>
      <c r="C2072">
        <v>20</v>
      </c>
      <c r="D2072" t="s">
        <v>88</v>
      </c>
      <c r="E2072">
        <v>292</v>
      </c>
      <c r="F2072" t="s">
        <v>4319</v>
      </c>
      <c r="G2072">
        <v>1426</v>
      </c>
      <c r="H2072">
        <v>1</v>
      </c>
      <c r="I2072" t="s">
        <v>90</v>
      </c>
      <c r="J2072">
        <v>0</v>
      </c>
      <c r="K2072">
        <v>2</v>
      </c>
      <c r="L2072">
        <v>5</v>
      </c>
      <c r="M2072" t="s">
        <v>127</v>
      </c>
      <c r="N2072" t="s">
        <v>127</v>
      </c>
      <c r="O2072" t="s">
        <v>127</v>
      </c>
      <c r="P2072" t="s">
        <v>127</v>
      </c>
      <c r="Q2072" t="s">
        <v>127</v>
      </c>
      <c r="R2072" t="s">
        <v>127</v>
      </c>
      <c r="S2072" t="s">
        <v>127</v>
      </c>
      <c r="T2072" t="s">
        <v>127</v>
      </c>
      <c r="U2072" t="s">
        <v>127</v>
      </c>
      <c r="V2072" t="s">
        <v>127</v>
      </c>
      <c r="W2072" t="s">
        <v>127</v>
      </c>
      <c r="X2072" t="s">
        <v>127</v>
      </c>
      <c r="Y2072" t="s">
        <v>127</v>
      </c>
      <c r="Z2072" t="s">
        <v>127</v>
      </c>
      <c r="AA2072" t="s">
        <v>127</v>
      </c>
      <c r="AC2072" t="s">
        <v>127</v>
      </c>
      <c r="AD2072" t="s">
        <v>127</v>
      </c>
      <c r="AE2072" t="s">
        <v>127</v>
      </c>
      <c r="AF2072" t="s">
        <v>127</v>
      </c>
      <c r="AG2072" t="s">
        <v>127</v>
      </c>
      <c r="AH2072" t="s">
        <v>127</v>
      </c>
      <c r="AI2072" t="s">
        <v>127</v>
      </c>
      <c r="AJ2072" t="s">
        <v>127</v>
      </c>
      <c r="AK2072" t="s">
        <v>127</v>
      </c>
      <c r="AL2072" t="s">
        <v>127</v>
      </c>
      <c r="AM2072" t="s">
        <v>127</v>
      </c>
      <c r="AN2072" t="s">
        <v>127</v>
      </c>
      <c r="BC2072" t="s">
        <v>127</v>
      </c>
      <c r="BD2072" t="s">
        <v>127</v>
      </c>
      <c r="BG2072">
        <v>572</v>
      </c>
      <c r="BI2072" t="s">
        <v>1244</v>
      </c>
      <c r="BJ2072">
        <v>0</v>
      </c>
      <c r="BL2072" t="s">
        <v>4320</v>
      </c>
      <c r="BM2072" s="4">
        <v>43283.194444444445</v>
      </c>
      <c r="BN2072" s="4">
        <v>43283.212453703702</v>
      </c>
      <c r="BO2072" s="4">
        <v>43283.212453703702</v>
      </c>
      <c r="BP2072" t="s">
        <v>92</v>
      </c>
      <c r="BQ2072" t="s">
        <v>93</v>
      </c>
      <c r="BR2072" t="s">
        <v>94</v>
      </c>
    </row>
    <row r="2073" spans="1:70" x14ac:dyDescent="0.3">
      <c r="A2073" t="str">
        <f>"201426C0100"</f>
        <v>201426C0100</v>
      </c>
      <c r="B2073" t="s">
        <v>4321</v>
      </c>
      <c r="C2073">
        <v>20</v>
      </c>
      <c r="D2073" t="s">
        <v>88</v>
      </c>
      <c r="E2073">
        <v>292</v>
      </c>
      <c r="F2073" t="s">
        <v>4319</v>
      </c>
      <c r="G2073">
        <v>1426</v>
      </c>
      <c r="H2073">
        <v>1</v>
      </c>
      <c r="I2073" t="s">
        <v>98</v>
      </c>
      <c r="J2073">
        <v>0</v>
      </c>
      <c r="K2073">
        <v>2</v>
      </c>
      <c r="L2073">
        <v>5</v>
      </c>
      <c r="M2073">
        <v>164</v>
      </c>
      <c r="N2073">
        <v>429</v>
      </c>
      <c r="O2073">
        <v>4</v>
      </c>
      <c r="P2073">
        <v>429</v>
      </c>
      <c r="Q2073">
        <v>26</v>
      </c>
      <c r="R2073">
        <v>98</v>
      </c>
      <c r="S2073">
        <v>11</v>
      </c>
      <c r="T2073">
        <v>3</v>
      </c>
      <c r="U2073">
        <v>19</v>
      </c>
      <c r="V2073">
        <v>1</v>
      </c>
      <c r="W2073">
        <v>45</v>
      </c>
      <c r="X2073">
        <v>40</v>
      </c>
      <c r="Y2073">
        <v>147</v>
      </c>
      <c r="Z2073">
        <v>9</v>
      </c>
      <c r="AA2073">
        <v>12</v>
      </c>
      <c r="AC2073">
        <v>0</v>
      </c>
      <c r="AD2073">
        <v>0</v>
      </c>
      <c r="AE2073">
        <v>0</v>
      </c>
      <c r="AF2073">
        <v>0</v>
      </c>
      <c r="AG2073">
        <v>3</v>
      </c>
      <c r="AH2073">
        <v>0</v>
      </c>
      <c r="AI2073">
        <v>1</v>
      </c>
      <c r="AJ2073">
        <v>0</v>
      </c>
      <c r="AK2073">
        <v>5</v>
      </c>
      <c r="AL2073">
        <v>1</v>
      </c>
      <c r="AM2073">
        <v>0</v>
      </c>
      <c r="AN2073">
        <v>1</v>
      </c>
      <c r="BC2073">
        <v>0</v>
      </c>
      <c r="BD2073">
        <v>7</v>
      </c>
      <c r="BE2073">
        <v>429</v>
      </c>
      <c r="BF2073">
        <v>429</v>
      </c>
      <c r="BG2073">
        <v>571</v>
      </c>
      <c r="BJ2073">
        <v>1</v>
      </c>
      <c r="BL2073" t="s">
        <v>4322</v>
      </c>
      <c r="BM2073" s="4">
        <v>43283.193749999999</v>
      </c>
      <c r="BN2073" s="4">
        <v>43283.222731481481</v>
      </c>
      <c r="BO2073" s="4">
        <v>43283.222731481481</v>
      </c>
      <c r="BP2073" t="s">
        <v>92</v>
      </c>
      <c r="BQ2073" t="s">
        <v>93</v>
      </c>
      <c r="BR2073" t="s">
        <v>94</v>
      </c>
    </row>
    <row r="2074" spans="1:70" x14ac:dyDescent="0.3">
      <c r="A2074" t="str">
        <f>"201427B0100"</f>
        <v>201427B0100</v>
      </c>
      <c r="B2074" t="s">
        <v>4323</v>
      </c>
      <c r="C2074">
        <v>20</v>
      </c>
      <c r="D2074" t="s">
        <v>88</v>
      </c>
      <c r="E2074">
        <v>292</v>
      </c>
      <c r="F2074" t="s">
        <v>4319</v>
      </c>
      <c r="G2074">
        <v>1427</v>
      </c>
      <c r="H2074">
        <v>1</v>
      </c>
      <c r="I2074" t="s">
        <v>90</v>
      </c>
      <c r="J2074">
        <v>0</v>
      </c>
      <c r="K2074">
        <v>2</v>
      </c>
      <c r="L2074">
        <v>5</v>
      </c>
      <c r="M2074">
        <v>162</v>
      </c>
      <c r="N2074" t="s">
        <v>105</v>
      </c>
      <c r="O2074">
        <v>3</v>
      </c>
      <c r="P2074" t="s">
        <v>105</v>
      </c>
      <c r="Q2074">
        <v>34</v>
      </c>
      <c r="R2074">
        <v>71</v>
      </c>
      <c r="S2074">
        <v>8</v>
      </c>
      <c r="T2074">
        <v>2</v>
      </c>
      <c r="U2074">
        <v>20</v>
      </c>
      <c r="V2074">
        <v>3</v>
      </c>
      <c r="W2074">
        <v>35</v>
      </c>
      <c r="X2074">
        <v>19</v>
      </c>
      <c r="Y2074">
        <v>144</v>
      </c>
      <c r="Z2074">
        <v>3</v>
      </c>
      <c r="AA2074">
        <v>34</v>
      </c>
      <c r="AC2074">
        <v>2</v>
      </c>
      <c r="AD2074">
        <v>0</v>
      </c>
      <c r="AE2074">
        <v>0</v>
      </c>
      <c r="AF2074">
        <v>1</v>
      </c>
      <c r="AG2074">
        <v>0</v>
      </c>
      <c r="AH2074">
        <v>2</v>
      </c>
      <c r="AI2074">
        <v>0</v>
      </c>
      <c r="AJ2074">
        <v>5</v>
      </c>
      <c r="AK2074">
        <v>1</v>
      </c>
      <c r="AL2074">
        <v>0</v>
      </c>
      <c r="AM2074">
        <v>0</v>
      </c>
      <c r="AN2074">
        <v>1</v>
      </c>
      <c r="BC2074">
        <v>10</v>
      </c>
      <c r="BD2074">
        <v>10</v>
      </c>
      <c r="BE2074">
        <v>395</v>
      </c>
      <c r="BF2074">
        <v>405</v>
      </c>
      <c r="BG2074">
        <v>535</v>
      </c>
      <c r="BJ2074">
        <v>1</v>
      </c>
      <c r="BL2074" t="s">
        <v>4324</v>
      </c>
      <c r="BM2074" s="4">
        <v>43283.193055555559</v>
      </c>
      <c r="BN2074" s="4">
        <v>43283.21361111111</v>
      </c>
      <c r="BO2074" s="4">
        <v>43283.21361111111</v>
      </c>
      <c r="BP2074" t="s">
        <v>92</v>
      </c>
      <c r="BQ2074" t="s">
        <v>93</v>
      </c>
      <c r="BR2074" t="s">
        <v>94</v>
      </c>
    </row>
    <row r="2075" spans="1:70" x14ac:dyDescent="0.3">
      <c r="A2075" t="str">
        <f>"201427C0100"</f>
        <v>201427C0100</v>
      </c>
      <c r="B2075" t="s">
        <v>4325</v>
      </c>
      <c r="C2075">
        <v>20</v>
      </c>
      <c r="D2075" t="s">
        <v>88</v>
      </c>
      <c r="E2075">
        <v>292</v>
      </c>
      <c r="F2075" t="s">
        <v>4319</v>
      </c>
      <c r="G2075">
        <v>1427</v>
      </c>
      <c r="H2075">
        <v>1</v>
      </c>
      <c r="I2075" t="s">
        <v>98</v>
      </c>
      <c r="J2075">
        <v>0</v>
      </c>
      <c r="K2075">
        <v>2</v>
      </c>
      <c r="L2075">
        <v>5</v>
      </c>
      <c r="M2075">
        <v>169</v>
      </c>
      <c r="N2075">
        <v>388</v>
      </c>
      <c r="O2075">
        <v>3</v>
      </c>
      <c r="P2075">
        <v>388</v>
      </c>
      <c r="Q2075">
        <v>39</v>
      </c>
      <c r="R2075">
        <v>90</v>
      </c>
      <c r="S2075">
        <v>6</v>
      </c>
      <c r="T2075">
        <v>6</v>
      </c>
      <c r="U2075">
        <v>10</v>
      </c>
      <c r="V2075">
        <v>0</v>
      </c>
      <c r="W2075">
        <v>39</v>
      </c>
      <c r="X2075">
        <v>15</v>
      </c>
      <c r="Y2075">
        <v>107</v>
      </c>
      <c r="Z2075">
        <v>9</v>
      </c>
      <c r="AA2075">
        <v>39</v>
      </c>
      <c r="AC2075">
        <v>0</v>
      </c>
      <c r="AD2075">
        <v>0</v>
      </c>
      <c r="AE2075">
        <v>1</v>
      </c>
      <c r="AF2075">
        <v>0</v>
      </c>
      <c r="AG2075">
        <v>1</v>
      </c>
      <c r="AH2075">
        <v>0</v>
      </c>
      <c r="AI2075">
        <v>2</v>
      </c>
      <c r="AJ2075">
        <v>0</v>
      </c>
      <c r="AK2075">
        <v>4</v>
      </c>
      <c r="AL2075">
        <v>0</v>
      </c>
      <c r="AM2075">
        <v>0</v>
      </c>
      <c r="AN2075">
        <v>4</v>
      </c>
      <c r="BC2075">
        <v>1</v>
      </c>
      <c r="BD2075">
        <v>15</v>
      </c>
      <c r="BE2075">
        <v>388</v>
      </c>
      <c r="BF2075">
        <v>388</v>
      </c>
      <c r="BG2075">
        <v>535</v>
      </c>
      <c r="BJ2075">
        <v>1</v>
      </c>
      <c r="BL2075" t="s">
        <v>4326</v>
      </c>
      <c r="BM2075" s="4">
        <v>43283.192361111112</v>
      </c>
      <c r="BN2075" s="4">
        <v>43283.212870370371</v>
      </c>
      <c r="BO2075" s="4">
        <v>43283.212870370371</v>
      </c>
      <c r="BP2075" t="s">
        <v>92</v>
      </c>
      <c r="BQ2075" t="s">
        <v>93</v>
      </c>
      <c r="BR2075" t="s">
        <v>94</v>
      </c>
    </row>
    <row r="2076" spans="1:70" x14ac:dyDescent="0.3">
      <c r="A2076" t="str">
        <f>"201427C0200"</f>
        <v>201427C0200</v>
      </c>
      <c r="B2076" t="s">
        <v>4327</v>
      </c>
      <c r="C2076">
        <v>20</v>
      </c>
      <c r="D2076" t="s">
        <v>88</v>
      </c>
      <c r="E2076">
        <v>292</v>
      </c>
      <c r="F2076" t="s">
        <v>4319</v>
      </c>
      <c r="G2076">
        <v>1427</v>
      </c>
      <c r="H2076">
        <v>2</v>
      </c>
      <c r="I2076" t="s">
        <v>98</v>
      </c>
      <c r="J2076">
        <v>0</v>
      </c>
      <c r="K2076">
        <v>2</v>
      </c>
      <c r="L2076">
        <v>5</v>
      </c>
      <c r="M2076">
        <v>173</v>
      </c>
      <c r="N2076">
        <v>384</v>
      </c>
      <c r="O2076">
        <v>2</v>
      </c>
      <c r="P2076">
        <v>384</v>
      </c>
      <c r="Q2076">
        <v>45</v>
      </c>
      <c r="R2076">
        <v>101</v>
      </c>
      <c r="S2076">
        <v>9</v>
      </c>
      <c r="T2076">
        <v>1</v>
      </c>
      <c r="U2076">
        <v>15</v>
      </c>
      <c r="V2076">
        <v>1</v>
      </c>
      <c r="W2076">
        <v>49</v>
      </c>
      <c r="X2076">
        <v>11</v>
      </c>
      <c r="Y2076">
        <v>103</v>
      </c>
      <c r="Z2076">
        <v>6</v>
      </c>
      <c r="AA2076">
        <v>23</v>
      </c>
      <c r="AC2076">
        <v>0</v>
      </c>
      <c r="AD2076">
        <v>1</v>
      </c>
      <c r="AE2076">
        <v>0</v>
      </c>
      <c r="AF2076">
        <v>0</v>
      </c>
      <c r="AG2076">
        <v>1</v>
      </c>
      <c r="AH2076">
        <v>0</v>
      </c>
      <c r="AI2076">
        <v>1</v>
      </c>
      <c r="AJ2076">
        <v>0</v>
      </c>
      <c r="AK2076">
        <v>3</v>
      </c>
      <c r="AL2076">
        <v>2</v>
      </c>
      <c r="AM2076">
        <v>0</v>
      </c>
      <c r="AN2076">
        <v>2</v>
      </c>
      <c r="BC2076">
        <v>0</v>
      </c>
      <c r="BD2076">
        <v>10</v>
      </c>
      <c r="BE2076">
        <v>384</v>
      </c>
      <c r="BF2076">
        <v>384</v>
      </c>
      <c r="BG2076">
        <v>535</v>
      </c>
      <c r="BJ2076">
        <v>1</v>
      </c>
      <c r="BL2076" t="s">
        <v>4328</v>
      </c>
      <c r="BM2076" s="4">
        <v>43283.170138888891</v>
      </c>
      <c r="BN2076" s="4">
        <v>43283.203888888886</v>
      </c>
      <c r="BO2076" s="4">
        <v>43283.203888888886</v>
      </c>
      <c r="BP2076" t="s">
        <v>92</v>
      </c>
      <c r="BQ2076" t="s">
        <v>93</v>
      </c>
      <c r="BR2076" t="s">
        <v>94</v>
      </c>
    </row>
    <row r="2077" spans="1:70" x14ac:dyDescent="0.3">
      <c r="A2077" t="str">
        <f>"201428B0100"</f>
        <v>201428B0100</v>
      </c>
      <c r="B2077" t="s">
        <v>4329</v>
      </c>
      <c r="C2077">
        <v>20</v>
      </c>
      <c r="D2077" t="s">
        <v>88</v>
      </c>
      <c r="E2077">
        <v>292</v>
      </c>
      <c r="F2077" t="s">
        <v>4319</v>
      </c>
      <c r="G2077">
        <v>1428</v>
      </c>
      <c r="H2077">
        <v>1</v>
      </c>
      <c r="I2077" t="s">
        <v>90</v>
      </c>
      <c r="J2077">
        <v>0</v>
      </c>
      <c r="K2077">
        <v>1</v>
      </c>
      <c r="L2077">
        <v>5</v>
      </c>
      <c r="M2077">
        <v>114</v>
      </c>
      <c r="N2077">
        <v>409</v>
      </c>
      <c r="O2077">
        <v>0</v>
      </c>
      <c r="P2077">
        <v>409</v>
      </c>
      <c r="Q2077">
        <v>24</v>
      </c>
      <c r="R2077">
        <v>142</v>
      </c>
      <c r="S2077">
        <v>7</v>
      </c>
      <c r="T2077">
        <v>1</v>
      </c>
      <c r="U2077">
        <v>11</v>
      </c>
      <c r="V2077">
        <v>0</v>
      </c>
      <c r="W2077">
        <v>51</v>
      </c>
      <c r="X2077">
        <v>28</v>
      </c>
      <c r="Y2077">
        <v>88</v>
      </c>
      <c r="Z2077">
        <v>7</v>
      </c>
      <c r="AA2077">
        <v>11</v>
      </c>
      <c r="AC2077">
        <v>2</v>
      </c>
      <c r="AD2077">
        <v>0</v>
      </c>
      <c r="AE2077">
        <v>0</v>
      </c>
      <c r="AF2077">
        <v>0</v>
      </c>
      <c r="AG2077">
        <v>0</v>
      </c>
      <c r="AH2077">
        <v>3</v>
      </c>
      <c r="AI2077">
        <v>2</v>
      </c>
      <c r="AJ2077">
        <v>0</v>
      </c>
      <c r="AK2077">
        <v>5</v>
      </c>
      <c r="AL2077">
        <v>0</v>
      </c>
      <c r="AM2077">
        <v>0</v>
      </c>
      <c r="AN2077">
        <v>1</v>
      </c>
      <c r="BC2077">
        <v>3</v>
      </c>
      <c r="BD2077">
        <v>23</v>
      </c>
      <c r="BE2077">
        <v>409</v>
      </c>
      <c r="BF2077">
        <v>409</v>
      </c>
      <c r="BG2077">
        <v>501</v>
      </c>
      <c r="BJ2077">
        <v>1</v>
      </c>
      <c r="BL2077" t="s">
        <v>4330</v>
      </c>
      <c r="BM2077" s="4">
        <v>43283.191666666666</v>
      </c>
      <c r="BN2077" s="4">
        <v>43283.212731481479</v>
      </c>
      <c r="BO2077" s="4">
        <v>43283.212731481479</v>
      </c>
      <c r="BP2077" t="s">
        <v>92</v>
      </c>
      <c r="BQ2077" t="s">
        <v>93</v>
      </c>
      <c r="BR2077" t="s">
        <v>94</v>
      </c>
    </row>
    <row r="2078" spans="1:70" x14ac:dyDescent="0.3">
      <c r="A2078" t="str">
        <f>"201428C0100"</f>
        <v>201428C0100</v>
      </c>
      <c r="B2078" t="s">
        <v>4331</v>
      </c>
      <c r="C2078">
        <v>20</v>
      </c>
      <c r="D2078" t="s">
        <v>88</v>
      </c>
      <c r="E2078">
        <v>292</v>
      </c>
      <c r="F2078" t="s">
        <v>4319</v>
      </c>
      <c r="G2078">
        <v>1428</v>
      </c>
      <c r="H2078">
        <v>1</v>
      </c>
      <c r="I2078" t="s">
        <v>98</v>
      </c>
      <c r="J2078">
        <v>0</v>
      </c>
      <c r="K2078">
        <v>1</v>
      </c>
      <c r="L2078">
        <v>5</v>
      </c>
      <c r="M2078">
        <v>129</v>
      </c>
      <c r="N2078">
        <v>394</v>
      </c>
      <c r="O2078">
        <v>3</v>
      </c>
      <c r="P2078">
        <v>394</v>
      </c>
      <c r="Q2078">
        <v>13</v>
      </c>
      <c r="R2078">
        <v>152</v>
      </c>
      <c r="S2078">
        <v>2</v>
      </c>
      <c r="T2078">
        <v>1</v>
      </c>
      <c r="U2078">
        <v>11</v>
      </c>
      <c r="V2078">
        <v>1</v>
      </c>
      <c r="W2078">
        <v>39</v>
      </c>
      <c r="X2078">
        <v>21</v>
      </c>
      <c r="Y2078">
        <v>115</v>
      </c>
      <c r="Z2078">
        <v>14</v>
      </c>
      <c r="AA2078">
        <v>9</v>
      </c>
      <c r="AC2078">
        <v>0</v>
      </c>
      <c r="AD2078">
        <v>0</v>
      </c>
      <c r="AE2078">
        <v>0</v>
      </c>
      <c r="AF2078">
        <v>0</v>
      </c>
      <c r="AG2078">
        <v>2</v>
      </c>
      <c r="AH2078">
        <v>2</v>
      </c>
      <c r="AI2078">
        <v>1</v>
      </c>
      <c r="AJ2078">
        <v>1</v>
      </c>
      <c r="AK2078">
        <v>2</v>
      </c>
      <c r="AL2078">
        <v>0</v>
      </c>
      <c r="AM2078">
        <v>0</v>
      </c>
      <c r="AN2078">
        <v>3</v>
      </c>
      <c r="BC2078">
        <v>2</v>
      </c>
      <c r="BD2078">
        <v>3</v>
      </c>
      <c r="BE2078">
        <v>394</v>
      </c>
      <c r="BF2078">
        <v>394</v>
      </c>
      <c r="BG2078">
        <v>501</v>
      </c>
      <c r="BJ2078">
        <v>1</v>
      </c>
      <c r="BL2078" t="s">
        <v>4332</v>
      </c>
      <c r="BM2078" s="4">
        <v>43283.068796296298</v>
      </c>
      <c r="BN2078" s="4">
        <v>43283.077210648145</v>
      </c>
      <c r="BO2078" s="4">
        <v>43283.077210648145</v>
      </c>
      <c r="BP2078" t="s">
        <v>339</v>
      </c>
      <c r="BQ2078" t="s">
        <v>340</v>
      </c>
      <c r="BR2078" t="s">
        <v>94</v>
      </c>
    </row>
    <row r="2079" spans="1:70" x14ac:dyDescent="0.3">
      <c r="A2079" t="str">
        <f>"201429B0100"</f>
        <v>201429B0100</v>
      </c>
      <c r="B2079" t="s">
        <v>4333</v>
      </c>
      <c r="C2079">
        <v>20</v>
      </c>
      <c r="D2079" t="s">
        <v>88</v>
      </c>
      <c r="E2079">
        <v>292</v>
      </c>
      <c r="F2079" t="s">
        <v>4319</v>
      </c>
      <c r="G2079">
        <v>1429</v>
      </c>
      <c r="H2079">
        <v>1</v>
      </c>
      <c r="I2079" t="s">
        <v>90</v>
      </c>
      <c r="J2079">
        <v>0</v>
      </c>
      <c r="K2079">
        <v>1</v>
      </c>
      <c r="L2079">
        <v>5</v>
      </c>
      <c r="M2079">
        <v>167</v>
      </c>
      <c r="N2079">
        <v>464</v>
      </c>
      <c r="O2079">
        <v>2</v>
      </c>
      <c r="P2079">
        <v>463</v>
      </c>
      <c r="Q2079">
        <v>62</v>
      </c>
      <c r="R2079">
        <v>83</v>
      </c>
      <c r="S2079">
        <v>16</v>
      </c>
      <c r="T2079">
        <v>3</v>
      </c>
      <c r="U2079">
        <v>13</v>
      </c>
      <c r="V2079">
        <v>2</v>
      </c>
      <c r="W2079">
        <v>32</v>
      </c>
      <c r="X2079">
        <v>14</v>
      </c>
      <c r="Y2079">
        <v>149</v>
      </c>
      <c r="Z2079">
        <v>14</v>
      </c>
      <c r="AA2079">
        <v>30</v>
      </c>
      <c r="AC2079">
        <v>3</v>
      </c>
      <c r="AD2079">
        <v>0</v>
      </c>
      <c r="AE2079">
        <v>1</v>
      </c>
      <c r="AF2079">
        <v>0</v>
      </c>
      <c r="AG2079">
        <v>4</v>
      </c>
      <c r="AH2079">
        <v>0</v>
      </c>
      <c r="AI2079">
        <v>1</v>
      </c>
      <c r="AJ2079">
        <v>0</v>
      </c>
      <c r="AK2079">
        <v>8</v>
      </c>
      <c r="AL2079">
        <v>3</v>
      </c>
      <c r="AM2079">
        <v>0</v>
      </c>
      <c r="AN2079">
        <v>6</v>
      </c>
      <c r="BC2079">
        <v>0</v>
      </c>
      <c r="BD2079">
        <v>18</v>
      </c>
      <c r="BE2079">
        <v>463</v>
      </c>
      <c r="BF2079">
        <v>462</v>
      </c>
      <c r="BG2079">
        <v>609</v>
      </c>
      <c r="BJ2079">
        <v>1</v>
      </c>
      <c r="BL2079" t="s">
        <v>4334</v>
      </c>
      <c r="BM2079" s="4">
        <v>43283.19027777778</v>
      </c>
      <c r="BN2079" s="4">
        <v>43283.214016203703</v>
      </c>
      <c r="BO2079" s="4">
        <v>43283.214016203703</v>
      </c>
      <c r="BP2079" t="s">
        <v>92</v>
      </c>
      <c r="BQ2079" t="s">
        <v>93</v>
      </c>
      <c r="BR2079" t="s">
        <v>94</v>
      </c>
    </row>
    <row r="2080" spans="1:70" x14ac:dyDescent="0.3">
      <c r="A2080" t="str">
        <f>"201429C0100"</f>
        <v>201429C0100</v>
      </c>
      <c r="B2080" t="s">
        <v>4335</v>
      </c>
      <c r="C2080">
        <v>20</v>
      </c>
      <c r="D2080" t="s">
        <v>88</v>
      </c>
      <c r="E2080">
        <v>292</v>
      </c>
      <c r="F2080" t="s">
        <v>4319</v>
      </c>
      <c r="G2080">
        <v>1429</v>
      </c>
      <c r="H2080">
        <v>1</v>
      </c>
      <c r="I2080" t="s">
        <v>98</v>
      </c>
      <c r="J2080">
        <v>0</v>
      </c>
      <c r="K2080">
        <v>1</v>
      </c>
      <c r="L2080">
        <v>5</v>
      </c>
      <c r="M2080">
        <v>181</v>
      </c>
      <c r="N2080">
        <v>450</v>
      </c>
      <c r="O2080">
        <v>5</v>
      </c>
      <c r="P2080">
        <v>449</v>
      </c>
      <c r="Q2080">
        <v>59</v>
      </c>
      <c r="R2080">
        <v>81</v>
      </c>
      <c r="S2080">
        <v>15</v>
      </c>
      <c r="T2080">
        <v>5</v>
      </c>
      <c r="U2080">
        <v>16</v>
      </c>
      <c r="V2080">
        <v>2</v>
      </c>
      <c r="W2080">
        <v>28</v>
      </c>
      <c r="X2080">
        <v>21</v>
      </c>
      <c r="Y2080">
        <v>158</v>
      </c>
      <c r="Z2080">
        <v>15</v>
      </c>
      <c r="AA2080">
        <v>29</v>
      </c>
      <c r="AC2080">
        <v>1</v>
      </c>
      <c r="AD2080">
        <v>0</v>
      </c>
      <c r="AE2080">
        <v>0</v>
      </c>
      <c r="AF2080">
        <v>0</v>
      </c>
      <c r="AG2080">
        <v>2</v>
      </c>
      <c r="AH2080">
        <v>0</v>
      </c>
      <c r="AI2080">
        <v>0</v>
      </c>
      <c r="AJ2080">
        <v>0</v>
      </c>
      <c r="AK2080">
        <v>6</v>
      </c>
      <c r="AL2080">
        <v>0</v>
      </c>
      <c r="AM2080">
        <v>1</v>
      </c>
      <c r="AN2080">
        <v>0</v>
      </c>
      <c r="BC2080">
        <v>1</v>
      </c>
      <c r="BD2080">
        <v>7</v>
      </c>
      <c r="BE2080">
        <v>449</v>
      </c>
      <c r="BF2080">
        <v>447</v>
      </c>
      <c r="BG2080">
        <v>609</v>
      </c>
      <c r="BJ2080">
        <v>1</v>
      </c>
      <c r="BL2080" t="s">
        <v>4336</v>
      </c>
      <c r="BM2080" s="4">
        <v>43283.189583333333</v>
      </c>
      <c r="BN2080" s="4">
        <v>43283.213773148149</v>
      </c>
      <c r="BO2080" s="4">
        <v>43283.213773148149</v>
      </c>
      <c r="BP2080" t="s">
        <v>92</v>
      </c>
      <c r="BQ2080" t="s">
        <v>93</v>
      </c>
      <c r="BR2080" t="s">
        <v>94</v>
      </c>
    </row>
    <row r="2081" spans="1:70" x14ac:dyDescent="0.3">
      <c r="A2081" t="str">
        <f>"201430B0100"</f>
        <v>201430B0100</v>
      </c>
      <c r="B2081" t="s">
        <v>4337</v>
      </c>
      <c r="C2081">
        <v>20</v>
      </c>
      <c r="D2081" t="s">
        <v>88</v>
      </c>
      <c r="E2081">
        <v>292</v>
      </c>
      <c r="F2081" t="s">
        <v>4319</v>
      </c>
      <c r="G2081">
        <v>1430</v>
      </c>
      <c r="H2081">
        <v>1</v>
      </c>
      <c r="I2081" t="s">
        <v>90</v>
      </c>
      <c r="J2081">
        <v>0</v>
      </c>
      <c r="K2081">
        <v>2</v>
      </c>
      <c r="L2081">
        <v>5</v>
      </c>
      <c r="M2081">
        <v>79</v>
      </c>
      <c r="N2081">
        <v>200</v>
      </c>
      <c r="O2081">
        <v>6</v>
      </c>
      <c r="P2081">
        <v>200</v>
      </c>
      <c r="Q2081">
        <v>7</v>
      </c>
      <c r="R2081">
        <v>65</v>
      </c>
      <c r="S2081">
        <v>8</v>
      </c>
      <c r="T2081">
        <v>1</v>
      </c>
      <c r="U2081">
        <v>14</v>
      </c>
      <c r="V2081">
        <v>3</v>
      </c>
      <c r="W2081">
        <v>10</v>
      </c>
      <c r="X2081">
        <v>6</v>
      </c>
      <c r="Y2081">
        <v>63</v>
      </c>
      <c r="Z2081">
        <v>3</v>
      </c>
      <c r="AA2081">
        <v>7</v>
      </c>
      <c r="AC2081">
        <v>1</v>
      </c>
      <c r="AD2081">
        <v>0</v>
      </c>
      <c r="AE2081">
        <v>1</v>
      </c>
      <c r="AF2081">
        <v>0</v>
      </c>
      <c r="AG2081">
        <v>1</v>
      </c>
      <c r="AH2081">
        <v>0</v>
      </c>
      <c r="AI2081">
        <v>0</v>
      </c>
      <c r="AJ2081">
        <v>0</v>
      </c>
      <c r="AK2081">
        <v>1</v>
      </c>
      <c r="AL2081">
        <v>2</v>
      </c>
      <c r="AM2081">
        <v>0</v>
      </c>
      <c r="AN2081">
        <v>0</v>
      </c>
      <c r="BC2081">
        <v>0</v>
      </c>
      <c r="BD2081">
        <v>7</v>
      </c>
      <c r="BE2081">
        <v>200</v>
      </c>
      <c r="BF2081">
        <v>200</v>
      </c>
      <c r="BG2081">
        <v>257</v>
      </c>
      <c r="BJ2081">
        <v>1</v>
      </c>
      <c r="BL2081" t="s">
        <v>4338</v>
      </c>
      <c r="BM2081" s="4">
        <v>43282.983912037038</v>
      </c>
      <c r="BN2081" s="4">
        <v>43282.987118055556</v>
      </c>
      <c r="BO2081" s="4">
        <v>43282.987118055556</v>
      </c>
      <c r="BP2081" t="s">
        <v>339</v>
      </c>
      <c r="BQ2081" t="s">
        <v>340</v>
      </c>
      <c r="BR2081" t="s">
        <v>94</v>
      </c>
    </row>
    <row r="2082" spans="1:70" x14ac:dyDescent="0.3">
      <c r="A2082" t="str">
        <f>"201431B0100"</f>
        <v>201431B0100</v>
      </c>
      <c r="B2082" t="s">
        <v>4339</v>
      </c>
      <c r="C2082">
        <v>20</v>
      </c>
      <c r="D2082" t="s">
        <v>88</v>
      </c>
      <c r="E2082">
        <v>293</v>
      </c>
      <c r="F2082" t="s">
        <v>4340</v>
      </c>
      <c r="G2082">
        <v>1431</v>
      </c>
      <c r="H2082">
        <v>1</v>
      </c>
      <c r="I2082" t="s">
        <v>90</v>
      </c>
      <c r="J2082">
        <v>0</v>
      </c>
      <c r="K2082">
        <v>1</v>
      </c>
      <c r="L2082">
        <v>5</v>
      </c>
      <c r="M2082">
        <v>189</v>
      </c>
      <c r="N2082">
        <v>553</v>
      </c>
      <c r="O2082">
        <v>0</v>
      </c>
      <c r="P2082">
        <v>553</v>
      </c>
      <c r="Q2082">
        <v>67</v>
      </c>
      <c r="R2082">
        <v>206</v>
      </c>
      <c r="S2082">
        <v>3</v>
      </c>
      <c r="T2082">
        <v>3</v>
      </c>
      <c r="U2082">
        <v>56</v>
      </c>
      <c r="V2082">
        <v>4</v>
      </c>
      <c r="X2082">
        <v>1</v>
      </c>
      <c r="Y2082">
        <v>99</v>
      </c>
      <c r="Z2082">
        <v>4</v>
      </c>
      <c r="AB2082">
        <v>16</v>
      </c>
      <c r="AC2082">
        <v>0</v>
      </c>
      <c r="AD2082">
        <v>0</v>
      </c>
      <c r="AE2082">
        <v>0</v>
      </c>
      <c r="AF2082">
        <v>0</v>
      </c>
      <c r="AG2082">
        <v>2</v>
      </c>
      <c r="AH2082">
        <v>2</v>
      </c>
      <c r="AI2082">
        <v>0</v>
      </c>
      <c r="AJ2082">
        <v>2</v>
      </c>
      <c r="AK2082">
        <v>2</v>
      </c>
      <c r="AL2082">
        <v>3</v>
      </c>
      <c r="AM2082">
        <v>1</v>
      </c>
      <c r="AN2082">
        <v>1</v>
      </c>
      <c r="AZ2082">
        <v>57</v>
      </c>
      <c r="BC2082">
        <v>0</v>
      </c>
      <c r="BD2082">
        <v>26</v>
      </c>
      <c r="BE2082">
        <v>553</v>
      </c>
      <c r="BF2082">
        <v>555</v>
      </c>
      <c r="BG2082">
        <v>719</v>
      </c>
      <c r="BJ2082">
        <v>1</v>
      </c>
      <c r="BL2082" t="s">
        <v>4341</v>
      </c>
      <c r="BM2082" s="4">
        <v>43283.104861111111</v>
      </c>
      <c r="BN2082" s="4">
        <v>43283.117731481485</v>
      </c>
      <c r="BO2082" s="4">
        <v>43283.117731481485</v>
      </c>
      <c r="BP2082" t="s">
        <v>92</v>
      </c>
      <c r="BQ2082" t="s">
        <v>93</v>
      </c>
      <c r="BR2082" t="s">
        <v>94</v>
      </c>
    </row>
    <row r="2083" spans="1:70" x14ac:dyDescent="0.3">
      <c r="A2083" t="str">
        <f>"201431C0100"</f>
        <v>201431C0100</v>
      </c>
      <c r="B2083" t="s">
        <v>4342</v>
      </c>
      <c r="C2083">
        <v>20</v>
      </c>
      <c r="D2083" t="s">
        <v>88</v>
      </c>
      <c r="E2083">
        <v>293</v>
      </c>
      <c r="F2083" t="s">
        <v>4340</v>
      </c>
      <c r="G2083">
        <v>1431</v>
      </c>
      <c r="H2083">
        <v>1</v>
      </c>
      <c r="I2083" t="s">
        <v>98</v>
      </c>
      <c r="J2083">
        <v>0</v>
      </c>
      <c r="K2083">
        <v>1</v>
      </c>
      <c r="L2083">
        <v>5</v>
      </c>
      <c r="M2083">
        <v>187</v>
      </c>
      <c r="N2083" t="s">
        <v>105</v>
      </c>
      <c r="O2083" t="s">
        <v>105</v>
      </c>
      <c r="P2083">
        <v>555</v>
      </c>
      <c r="Q2083">
        <v>61</v>
      </c>
      <c r="R2083">
        <v>169</v>
      </c>
      <c r="S2083">
        <v>8</v>
      </c>
      <c r="T2083">
        <v>2</v>
      </c>
      <c r="U2083">
        <v>46</v>
      </c>
      <c r="V2083">
        <v>3</v>
      </c>
      <c r="X2083" t="s">
        <v>105</v>
      </c>
      <c r="Y2083">
        <v>145</v>
      </c>
      <c r="Z2083" t="s">
        <v>105</v>
      </c>
      <c r="AB2083">
        <v>11</v>
      </c>
      <c r="AC2083" t="s">
        <v>105</v>
      </c>
      <c r="AD2083" t="s">
        <v>105</v>
      </c>
      <c r="AE2083" t="s">
        <v>105</v>
      </c>
      <c r="AF2083" t="s">
        <v>105</v>
      </c>
      <c r="AG2083">
        <v>5</v>
      </c>
      <c r="AH2083" t="s">
        <v>105</v>
      </c>
      <c r="AI2083" t="s">
        <v>105</v>
      </c>
      <c r="AJ2083" t="s">
        <v>105</v>
      </c>
      <c r="AK2083">
        <v>8</v>
      </c>
      <c r="AL2083" t="s">
        <v>105</v>
      </c>
      <c r="AM2083" t="s">
        <v>105</v>
      </c>
      <c r="AN2083" t="s">
        <v>105</v>
      </c>
      <c r="AZ2083">
        <v>77</v>
      </c>
      <c r="BC2083" t="s">
        <v>105</v>
      </c>
      <c r="BD2083">
        <v>20</v>
      </c>
      <c r="BE2083">
        <v>555</v>
      </c>
      <c r="BF2083">
        <v>555</v>
      </c>
      <c r="BG2083">
        <v>719</v>
      </c>
      <c r="BI2083" t="s">
        <v>106</v>
      </c>
      <c r="BJ2083">
        <v>1</v>
      </c>
      <c r="BL2083" t="s">
        <v>4343</v>
      </c>
      <c r="BM2083" s="4">
        <v>43283.106249999997</v>
      </c>
      <c r="BN2083" s="4">
        <v>43283.111585648148</v>
      </c>
      <c r="BO2083" s="4">
        <v>43283.111585648148</v>
      </c>
      <c r="BP2083" t="s">
        <v>92</v>
      </c>
      <c r="BQ2083" t="s">
        <v>93</v>
      </c>
      <c r="BR2083" t="s">
        <v>94</v>
      </c>
    </row>
    <row r="2084" spans="1:70" x14ac:dyDescent="0.3">
      <c r="A2084" t="str">
        <f>"201432B0100"</f>
        <v>201432B0100</v>
      </c>
      <c r="B2084" t="s">
        <v>4344</v>
      </c>
      <c r="C2084">
        <v>20</v>
      </c>
      <c r="D2084" t="s">
        <v>88</v>
      </c>
      <c r="E2084">
        <v>293</v>
      </c>
      <c r="F2084" t="s">
        <v>4340</v>
      </c>
      <c r="G2084">
        <v>1432</v>
      </c>
      <c r="H2084">
        <v>1</v>
      </c>
      <c r="I2084" t="s">
        <v>90</v>
      </c>
      <c r="J2084">
        <v>0</v>
      </c>
      <c r="K2084">
        <v>1</v>
      </c>
      <c r="L2084">
        <v>5</v>
      </c>
      <c r="M2084">
        <v>185</v>
      </c>
      <c r="N2084">
        <v>494</v>
      </c>
      <c r="O2084">
        <v>3</v>
      </c>
      <c r="P2084">
        <v>494</v>
      </c>
      <c r="Q2084">
        <v>75</v>
      </c>
      <c r="R2084">
        <v>109</v>
      </c>
      <c r="S2084">
        <v>4</v>
      </c>
      <c r="T2084">
        <v>3</v>
      </c>
      <c r="U2084">
        <v>52</v>
      </c>
      <c r="V2084">
        <v>2</v>
      </c>
      <c r="X2084">
        <v>0</v>
      </c>
      <c r="Y2084">
        <v>125</v>
      </c>
      <c r="Z2084">
        <v>2</v>
      </c>
      <c r="AB2084">
        <v>30</v>
      </c>
      <c r="AC2084">
        <v>1</v>
      </c>
      <c r="AD2084">
        <v>0</v>
      </c>
      <c r="AE2084">
        <v>0</v>
      </c>
      <c r="AF2084">
        <v>0</v>
      </c>
      <c r="AG2084">
        <v>6</v>
      </c>
      <c r="AH2084">
        <v>2</v>
      </c>
      <c r="AI2084">
        <v>3</v>
      </c>
      <c r="AJ2084">
        <v>0</v>
      </c>
      <c r="AK2084">
        <v>4</v>
      </c>
      <c r="AL2084">
        <v>5</v>
      </c>
      <c r="AM2084">
        <v>0</v>
      </c>
      <c r="AN2084">
        <v>1</v>
      </c>
      <c r="AZ2084">
        <v>52</v>
      </c>
      <c r="BC2084">
        <v>0</v>
      </c>
      <c r="BD2084">
        <v>18</v>
      </c>
      <c r="BE2084">
        <v>494</v>
      </c>
      <c r="BF2084">
        <v>494</v>
      </c>
      <c r="BG2084">
        <v>656</v>
      </c>
      <c r="BJ2084">
        <v>1</v>
      </c>
      <c r="BL2084" t="s">
        <v>4345</v>
      </c>
      <c r="BM2084" s="4">
        <v>43283.10833333333</v>
      </c>
      <c r="BN2084" s="4">
        <v>43283.113587962966</v>
      </c>
      <c r="BO2084" s="4">
        <v>43283.113587962966</v>
      </c>
      <c r="BP2084" t="s">
        <v>92</v>
      </c>
      <c r="BQ2084" t="s">
        <v>93</v>
      </c>
      <c r="BR2084" t="s">
        <v>94</v>
      </c>
    </row>
    <row r="2085" spans="1:70" x14ac:dyDescent="0.3">
      <c r="A2085" t="str">
        <f>"201432C0100"</f>
        <v>201432C0100</v>
      </c>
      <c r="B2085" t="s">
        <v>4346</v>
      </c>
      <c r="C2085">
        <v>20</v>
      </c>
      <c r="D2085" t="s">
        <v>88</v>
      </c>
      <c r="E2085">
        <v>293</v>
      </c>
      <c r="F2085" t="s">
        <v>4340</v>
      </c>
      <c r="G2085">
        <v>1432</v>
      </c>
      <c r="H2085">
        <v>1</v>
      </c>
      <c r="I2085" t="s">
        <v>98</v>
      </c>
      <c r="J2085">
        <v>0</v>
      </c>
      <c r="K2085">
        <v>1</v>
      </c>
      <c r="L2085">
        <v>5</v>
      </c>
      <c r="M2085">
        <v>187</v>
      </c>
      <c r="N2085">
        <v>491</v>
      </c>
      <c r="O2085">
        <v>3</v>
      </c>
      <c r="P2085">
        <v>491</v>
      </c>
      <c r="Q2085">
        <v>42</v>
      </c>
      <c r="R2085">
        <v>133</v>
      </c>
      <c r="S2085">
        <v>6</v>
      </c>
      <c r="T2085">
        <v>0</v>
      </c>
      <c r="U2085">
        <v>66</v>
      </c>
      <c r="V2085">
        <v>5</v>
      </c>
      <c r="X2085">
        <v>0</v>
      </c>
      <c r="Y2085">
        <v>126</v>
      </c>
      <c r="Z2085">
        <v>1</v>
      </c>
      <c r="AB2085">
        <v>20</v>
      </c>
      <c r="AC2085">
        <v>1</v>
      </c>
      <c r="AD2085">
        <v>0</v>
      </c>
      <c r="AE2085">
        <v>0</v>
      </c>
      <c r="AF2085">
        <v>0</v>
      </c>
      <c r="AG2085">
        <v>0</v>
      </c>
      <c r="AH2085">
        <v>4</v>
      </c>
      <c r="AI2085">
        <v>0</v>
      </c>
      <c r="AJ2085">
        <v>0</v>
      </c>
      <c r="AK2085">
        <v>1</v>
      </c>
      <c r="AL2085">
        <v>3</v>
      </c>
      <c r="AM2085">
        <v>0</v>
      </c>
      <c r="AN2085">
        <v>0</v>
      </c>
      <c r="AZ2085">
        <v>62</v>
      </c>
      <c r="BC2085">
        <v>0</v>
      </c>
      <c r="BD2085">
        <v>21</v>
      </c>
      <c r="BE2085">
        <v>491</v>
      </c>
      <c r="BF2085">
        <v>491</v>
      </c>
      <c r="BG2085">
        <v>655</v>
      </c>
      <c r="BJ2085">
        <v>1</v>
      </c>
      <c r="BL2085" t="s">
        <v>4347</v>
      </c>
      <c r="BM2085" s="4">
        <v>43283.109722222223</v>
      </c>
      <c r="BN2085" s="4">
        <v>43283.11546296296</v>
      </c>
      <c r="BO2085" s="4">
        <v>43283.11546296296</v>
      </c>
      <c r="BP2085" t="s">
        <v>92</v>
      </c>
      <c r="BQ2085" t="s">
        <v>93</v>
      </c>
      <c r="BR2085" t="s">
        <v>94</v>
      </c>
    </row>
    <row r="2086" spans="1:70" x14ac:dyDescent="0.3">
      <c r="A2086" t="str">
        <f>"201433B0100"</f>
        <v>201433B0100</v>
      </c>
      <c r="B2086" t="s">
        <v>4348</v>
      </c>
      <c r="C2086">
        <v>20</v>
      </c>
      <c r="D2086" t="s">
        <v>88</v>
      </c>
      <c r="E2086">
        <v>293</v>
      </c>
      <c r="F2086" t="s">
        <v>4340</v>
      </c>
      <c r="G2086">
        <v>1433</v>
      </c>
      <c r="H2086">
        <v>1</v>
      </c>
      <c r="I2086" t="s">
        <v>90</v>
      </c>
      <c r="J2086">
        <v>0</v>
      </c>
      <c r="K2086">
        <v>1</v>
      </c>
      <c r="L2086">
        <v>5</v>
      </c>
      <c r="M2086">
        <v>155</v>
      </c>
      <c r="N2086">
        <v>495</v>
      </c>
      <c r="O2086">
        <v>2</v>
      </c>
      <c r="P2086">
        <v>492</v>
      </c>
      <c r="Q2086">
        <v>64</v>
      </c>
      <c r="R2086">
        <v>131</v>
      </c>
      <c r="S2086">
        <v>7</v>
      </c>
      <c r="T2086">
        <v>3</v>
      </c>
      <c r="U2086">
        <v>44</v>
      </c>
      <c r="V2086">
        <v>2</v>
      </c>
      <c r="X2086">
        <v>2</v>
      </c>
      <c r="Y2086">
        <v>101</v>
      </c>
      <c r="Z2086">
        <v>0</v>
      </c>
      <c r="AB2086">
        <v>22</v>
      </c>
      <c r="AC2086">
        <v>0</v>
      </c>
      <c r="AD2086">
        <v>0</v>
      </c>
      <c r="AE2086">
        <v>0</v>
      </c>
      <c r="AF2086">
        <v>0</v>
      </c>
      <c r="AG2086">
        <v>0</v>
      </c>
      <c r="AH2086">
        <v>0</v>
      </c>
      <c r="AI2086">
        <v>0</v>
      </c>
      <c r="AJ2086">
        <v>0</v>
      </c>
      <c r="AK2086">
        <v>3</v>
      </c>
      <c r="AL2086">
        <v>1</v>
      </c>
      <c r="AM2086">
        <v>0</v>
      </c>
      <c r="AN2086">
        <v>1</v>
      </c>
      <c r="AZ2086">
        <v>98</v>
      </c>
      <c r="BC2086">
        <v>0</v>
      </c>
      <c r="BD2086">
        <v>20</v>
      </c>
      <c r="BE2086">
        <v>499</v>
      </c>
      <c r="BF2086">
        <v>499</v>
      </c>
      <c r="BG2086">
        <v>633</v>
      </c>
      <c r="BJ2086">
        <v>1</v>
      </c>
      <c r="BL2086" t="s">
        <v>4349</v>
      </c>
      <c r="BM2086" s="4">
        <v>43283.111111111109</v>
      </c>
      <c r="BN2086" s="4">
        <v>43283.116331018522</v>
      </c>
      <c r="BO2086" s="4">
        <v>43283.116331018522</v>
      </c>
      <c r="BP2086" t="s">
        <v>92</v>
      </c>
      <c r="BQ2086" t="s">
        <v>93</v>
      </c>
      <c r="BR2086" t="s">
        <v>94</v>
      </c>
    </row>
    <row r="2087" spans="1:70" x14ac:dyDescent="0.3">
      <c r="A2087" t="str">
        <f>"201433C0100"</f>
        <v>201433C0100</v>
      </c>
      <c r="B2087" t="s">
        <v>4350</v>
      </c>
      <c r="C2087">
        <v>20</v>
      </c>
      <c r="D2087" t="s">
        <v>88</v>
      </c>
      <c r="E2087">
        <v>293</v>
      </c>
      <c r="F2087" t="s">
        <v>4340</v>
      </c>
      <c r="G2087">
        <v>1433</v>
      </c>
      <c r="H2087">
        <v>1</v>
      </c>
      <c r="I2087" t="s">
        <v>98</v>
      </c>
      <c r="J2087">
        <v>0</v>
      </c>
      <c r="K2087">
        <v>1</v>
      </c>
      <c r="L2087">
        <v>5</v>
      </c>
      <c r="M2087">
        <v>172</v>
      </c>
      <c r="N2087">
        <v>483</v>
      </c>
      <c r="O2087">
        <v>4</v>
      </c>
      <c r="P2087">
        <v>481</v>
      </c>
      <c r="Q2087">
        <v>63</v>
      </c>
      <c r="R2087">
        <v>111</v>
      </c>
      <c r="S2087">
        <v>5</v>
      </c>
      <c r="T2087">
        <v>1</v>
      </c>
      <c r="U2087">
        <v>52</v>
      </c>
      <c r="V2087">
        <v>1</v>
      </c>
      <c r="X2087">
        <v>2</v>
      </c>
      <c r="Y2087">
        <v>95</v>
      </c>
      <c r="Z2087">
        <v>1</v>
      </c>
      <c r="AB2087">
        <v>13</v>
      </c>
      <c r="AC2087">
        <v>1</v>
      </c>
      <c r="AD2087">
        <v>0</v>
      </c>
      <c r="AE2087">
        <v>0</v>
      </c>
      <c r="AF2087">
        <v>0</v>
      </c>
      <c r="AG2087">
        <v>2</v>
      </c>
      <c r="AH2087">
        <v>1</v>
      </c>
      <c r="AI2087">
        <v>0</v>
      </c>
      <c r="AJ2087">
        <v>0</v>
      </c>
      <c r="AK2087">
        <v>3</v>
      </c>
      <c r="AL2087">
        <v>3</v>
      </c>
      <c r="AM2087">
        <v>0</v>
      </c>
      <c r="AN2087">
        <v>0</v>
      </c>
      <c r="AZ2087">
        <v>110</v>
      </c>
      <c r="BC2087">
        <v>0</v>
      </c>
      <c r="BD2087">
        <v>20</v>
      </c>
      <c r="BE2087" t="s">
        <v>105</v>
      </c>
      <c r="BF2087">
        <v>484</v>
      </c>
      <c r="BG2087">
        <v>632</v>
      </c>
      <c r="BJ2087">
        <v>1</v>
      </c>
      <c r="BL2087" t="s">
        <v>4351</v>
      </c>
      <c r="BM2087" s="4">
        <v>43283.112500000003</v>
      </c>
      <c r="BN2087" s="4">
        <v>43283.116990740738</v>
      </c>
      <c r="BO2087" s="4">
        <v>43283.116990740738</v>
      </c>
      <c r="BP2087" t="s">
        <v>92</v>
      </c>
      <c r="BQ2087" t="s">
        <v>93</v>
      </c>
      <c r="BR2087" t="s">
        <v>94</v>
      </c>
    </row>
    <row r="2088" spans="1:70" x14ac:dyDescent="0.3">
      <c r="A2088" t="str">
        <f>"201434B0100"</f>
        <v>201434B0100</v>
      </c>
      <c r="B2088" t="s">
        <v>4352</v>
      </c>
      <c r="C2088">
        <v>20</v>
      </c>
      <c r="D2088" t="s">
        <v>88</v>
      </c>
      <c r="E2088">
        <v>293</v>
      </c>
      <c r="F2088" t="s">
        <v>4340</v>
      </c>
      <c r="G2088">
        <v>1434</v>
      </c>
      <c r="H2088">
        <v>1</v>
      </c>
      <c r="I2088" t="s">
        <v>90</v>
      </c>
      <c r="J2088">
        <v>0</v>
      </c>
      <c r="K2088">
        <v>1</v>
      </c>
      <c r="L2088">
        <v>5</v>
      </c>
      <c r="M2088">
        <v>146</v>
      </c>
      <c r="N2088">
        <v>426</v>
      </c>
      <c r="O2088">
        <v>4</v>
      </c>
      <c r="P2088">
        <v>426</v>
      </c>
      <c r="Q2088">
        <v>26</v>
      </c>
      <c r="R2088">
        <v>171</v>
      </c>
      <c r="S2088">
        <v>8</v>
      </c>
      <c r="T2088">
        <v>1</v>
      </c>
      <c r="U2088">
        <v>36</v>
      </c>
      <c r="V2088">
        <v>2</v>
      </c>
      <c r="X2088">
        <v>0</v>
      </c>
      <c r="Y2088">
        <v>97</v>
      </c>
      <c r="Z2088">
        <v>1</v>
      </c>
      <c r="AB2088">
        <v>14</v>
      </c>
      <c r="AC2088" t="s">
        <v>105</v>
      </c>
      <c r="AD2088" t="s">
        <v>105</v>
      </c>
      <c r="AE2088" t="s">
        <v>105</v>
      </c>
      <c r="AF2088" t="s">
        <v>105</v>
      </c>
      <c r="AG2088">
        <v>1</v>
      </c>
      <c r="AH2088">
        <v>1</v>
      </c>
      <c r="AI2088" t="s">
        <v>105</v>
      </c>
      <c r="AJ2088" t="s">
        <v>105</v>
      </c>
      <c r="AK2088" t="s">
        <v>105</v>
      </c>
      <c r="AL2088">
        <v>1</v>
      </c>
      <c r="AM2088" t="s">
        <v>105</v>
      </c>
      <c r="AN2088">
        <v>1</v>
      </c>
      <c r="AZ2088">
        <v>57</v>
      </c>
      <c r="BC2088" t="s">
        <v>105</v>
      </c>
      <c r="BD2088">
        <v>9</v>
      </c>
      <c r="BE2088">
        <v>426</v>
      </c>
      <c r="BF2088">
        <v>426</v>
      </c>
      <c r="BG2088">
        <v>549</v>
      </c>
      <c r="BI2088" t="s">
        <v>106</v>
      </c>
      <c r="BJ2088">
        <v>1</v>
      </c>
      <c r="BL2088" t="s">
        <v>4353</v>
      </c>
      <c r="BM2088" s="4">
        <v>43283.083333333336</v>
      </c>
      <c r="BN2088" s="4">
        <v>43283.093645833331</v>
      </c>
      <c r="BO2088" s="4">
        <v>43283.093645833331</v>
      </c>
      <c r="BP2088" t="s">
        <v>92</v>
      </c>
      <c r="BQ2088" t="s">
        <v>93</v>
      </c>
      <c r="BR2088" t="s">
        <v>94</v>
      </c>
    </row>
    <row r="2089" spans="1:70" x14ac:dyDescent="0.3">
      <c r="A2089" t="str">
        <f>"201434C0100"</f>
        <v>201434C0100</v>
      </c>
      <c r="B2089" t="s">
        <v>4354</v>
      </c>
      <c r="C2089">
        <v>20</v>
      </c>
      <c r="D2089" t="s">
        <v>88</v>
      </c>
      <c r="E2089">
        <v>293</v>
      </c>
      <c r="F2089" t="s">
        <v>4340</v>
      </c>
      <c r="G2089">
        <v>1434</v>
      </c>
      <c r="H2089">
        <v>1</v>
      </c>
      <c r="I2089" t="s">
        <v>98</v>
      </c>
      <c r="J2089">
        <v>0</v>
      </c>
      <c r="K2089">
        <v>1</v>
      </c>
      <c r="L2089">
        <v>5</v>
      </c>
      <c r="M2089">
        <v>152</v>
      </c>
      <c r="N2089">
        <v>419</v>
      </c>
      <c r="O2089">
        <v>1</v>
      </c>
      <c r="P2089">
        <v>419</v>
      </c>
      <c r="Q2089">
        <v>21</v>
      </c>
      <c r="R2089">
        <v>165</v>
      </c>
      <c r="S2089">
        <v>2</v>
      </c>
      <c r="T2089">
        <v>1</v>
      </c>
      <c r="U2089">
        <v>47</v>
      </c>
      <c r="V2089">
        <v>3</v>
      </c>
      <c r="X2089">
        <v>1</v>
      </c>
      <c r="Y2089">
        <v>85</v>
      </c>
      <c r="Z2089">
        <v>1</v>
      </c>
      <c r="AB2089">
        <v>6</v>
      </c>
      <c r="AC2089">
        <v>0</v>
      </c>
      <c r="AD2089">
        <v>0</v>
      </c>
      <c r="AE2089">
        <v>0</v>
      </c>
      <c r="AF2089">
        <v>0</v>
      </c>
      <c r="AG2089">
        <v>2</v>
      </c>
      <c r="AH2089">
        <v>4</v>
      </c>
      <c r="AI2089">
        <v>0</v>
      </c>
      <c r="AJ2089">
        <v>0</v>
      </c>
      <c r="AK2089">
        <v>2</v>
      </c>
      <c r="AL2089">
        <v>4</v>
      </c>
      <c r="AM2089">
        <v>0</v>
      </c>
      <c r="AN2089">
        <v>1</v>
      </c>
      <c r="AZ2089">
        <v>58</v>
      </c>
      <c r="BC2089">
        <v>0</v>
      </c>
      <c r="BD2089">
        <v>16</v>
      </c>
      <c r="BE2089">
        <v>419</v>
      </c>
      <c r="BF2089">
        <v>419</v>
      </c>
      <c r="BG2089">
        <v>549</v>
      </c>
      <c r="BJ2089">
        <v>1</v>
      </c>
      <c r="BL2089" t="s">
        <v>4355</v>
      </c>
      <c r="BM2089" s="4">
        <v>43283.087500000001</v>
      </c>
      <c r="BN2089" s="4">
        <v>43283.091458333336</v>
      </c>
      <c r="BO2089" s="4">
        <v>43283.091458333336</v>
      </c>
      <c r="BP2089" t="s">
        <v>92</v>
      </c>
      <c r="BQ2089" t="s">
        <v>93</v>
      </c>
      <c r="BR2089" t="s">
        <v>94</v>
      </c>
    </row>
    <row r="2090" spans="1:70" x14ac:dyDescent="0.3">
      <c r="A2090" t="str">
        <f>"201435B0100"</f>
        <v>201435B0100</v>
      </c>
      <c r="B2090" t="s">
        <v>4356</v>
      </c>
      <c r="C2090">
        <v>20</v>
      </c>
      <c r="D2090" t="s">
        <v>88</v>
      </c>
      <c r="E2090">
        <v>293</v>
      </c>
      <c r="F2090" t="s">
        <v>4340</v>
      </c>
      <c r="G2090">
        <v>1435</v>
      </c>
      <c r="H2090">
        <v>1</v>
      </c>
      <c r="I2090" t="s">
        <v>90</v>
      </c>
      <c r="J2090">
        <v>0</v>
      </c>
      <c r="K2090">
        <v>1</v>
      </c>
      <c r="L2090">
        <v>5</v>
      </c>
      <c r="M2090">
        <v>152</v>
      </c>
      <c r="N2090">
        <v>360</v>
      </c>
      <c r="O2090">
        <v>3</v>
      </c>
      <c r="P2090">
        <v>359</v>
      </c>
      <c r="Q2090">
        <v>41</v>
      </c>
      <c r="R2090">
        <v>147</v>
      </c>
      <c r="S2090">
        <v>4</v>
      </c>
      <c r="T2090">
        <v>1</v>
      </c>
      <c r="U2090">
        <v>53</v>
      </c>
      <c r="V2090">
        <v>1</v>
      </c>
      <c r="X2090">
        <v>0</v>
      </c>
      <c r="Y2090">
        <v>61</v>
      </c>
      <c r="Z2090">
        <v>1</v>
      </c>
      <c r="AB2090">
        <v>4</v>
      </c>
      <c r="AC2090">
        <v>0</v>
      </c>
      <c r="AD2090">
        <v>0</v>
      </c>
      <c r="AE2090">
        <v>0</v>
      </c>
      <c r="AF2090">
        <v>0</v>
      </c>
      <c r="AG2090">
        <v>0</v>
      </c>
      <c r="AH2090">
        <v>0</v>
      </c>
      <c r="AI2090">
        <v>0</v>
      </c>
      <c r="AJ2090">
        <v>0</v>
      </c>
      <c r="AK2090">
        <v>3</v>
      </c>
      <c r="AL2090">
        <v>1</v>
      </c>
      <c r="AM2090">
        <v>0</v>
      </c>
      <c r="AN2090">
        <v>0</v>
      </c>
      <c r="AZ2090">
        <v>37</v>
      </c>
      <c r="BC2090">
        <v>0</v>
      </c>
      <c r="BD2090">
        <v>2</v>
      </c>
      <c r="BE2090">
        <v>359</v>
      </c>
      <c r="BF2090">
        <v>356</v>
      </c>
      <c r="BG2090">
        <v>488</v>
      </c>
      <c r="BJ2090">
        <v>1</v>
      </c>
      <c r="BL2090" t="s">
        <v>4357</v>
      </c>
      <c r="BM2090" s="4">
        <v>43283.088888888888</v>
      </c>
      <c r="BN2090" s="4">
        <v>43283.09447916667</v>
      </c>
      <c r="BO2090" s="4">
        <v>43283.09447916667</v>
      </c>
      <c r="BP2090" t="s">
        <v>92</v>
      </c>
      <c r="BQ2090" t="s">
        <v>93</v>
      </c>
      <c r="BR2090" t="s">
        <v>94</v>
      </c>
    </row>
    <row r="2091" spans="1:70" x14ac:dyDescent="0.3">
      <c r="A2091" t="str">
        <f>"201435C0100"</f>
        <v>201435C0100</v>
      </c>
      <c r="B2091" t="s">
        <v>4358</v>
      </c>
      <c r="C2091">
        <v>20</v>
      </c>
      <c r="D2091" t="s">
        <v>88</v>
      </c>
      <c r="E2091">
        <v>293</v>
      </c>
      <c r="F2091" t="s">
        <v>4340</v>
      </c>
      <c r="G2091">
        <v>1435</v>
      </c>
      <c r="H2091">
        <v>1</v>
      </c>
      <c r="I2091" t="s">
        <v>98</v>
      </c>
      <c r="J2091">
        <v>0</v>
      </c>
      <c r="K2091">
        <v>1</v>
      </c>
      <c r="L2091">
        <v>5</v>
      </c>
      <c r="M2091">
        <v>150</v>
      </c>
      <c r="N2091">
        <v>361</v>
      </c>
      <c r="O2091">
        <v>8</v>
      </c>
      <c r="P2091">
        <v>361</v>
      </c>
      <c r="Q2091">
        <v>38</v>
      </c>
      <c r="R2091">
        <v>121</v>
      </c>
      <c r="S2091">
        <v>4</v>
      </c>
      <c r="T2091">
        <v>0</v>
      </c>
      <c r="U2091">
        <v>44</v>
      </c>
      <c r="V2091">
        <v>3</v>
      </c>
      <c r="X2091">
        <v>0</v>
      </c>
      <c r="Y2091">
        <v>82</v>
      </c>
      <c r="Z2091">
        <v>2</v>
      </c>
      <c r="AB2091">
        <v>1</v>
      </c>
      <c r="AC2091">
        <v>1</v>
      </c>
      <c r="AD2091">
        <v>0</v>
      </c>
      <c r="AE2091">
        <v>1</v>
      </c>
      <c r="AF2091">
        <v>0</v>
      </c>
      <c r="AG2091">
        <v>0</v>
      </c>
      <c r="AH2091">
        <v>3</v>
      </c>
      <c r="AI2091">
        <v>0</v>
      </c>
      <c r="AJ2091">
        <v>0</v>
      </c>
      <c r="AK2091">
        <v>2</v>
      </c>
      <c r="AL2091">
        <v>2</v>
      </c>
      <c r="AM2091">
        <v>0</v>
      </c>
      <c r="AN2091">
        <v>0</v>
      </c>
      <c r="AZ2091">
        <v>44</v>
      </c>
      <c r="BC2091">
        <v>0</v>
      </c>
      <c r="BD2091">
        <v>13</v>
      </c>
      <c r="BE2091">
        <v>361</v>
      </c>
      <c r="BF2091">
        <v>361</v>
      </c>
      <c r="BG2091">
        <v>488</v>
      </c>
      <c r="BJ2091">
        <v>1</v>
      </c>
      <c r="BL2091" t="s">
        <v>4359</v>
      </c>
      <c r="BM2091" s="4">
        <v>43283.09097222222</v>
      </c>
      <c r="BN2091" s="4">
        <v>43283.096631944441</v>
      </c>
      <c r="BO2091" s="4">
        <v>43283.096631944441</v>
      </c>
      <c r="BP2091" t="s">
        <v>92</v>
      </c>
      <c r="BQ2091" t="s">
        <v>93</v>
      </c>
      <c r="BR2091" t="s">
        <v>94</v>
      </c>
    </row>
    <row r="2092" spans="1:70" x14ac:dyDescent="0.3">
      <c r="A2092" t="str">
        <f>"201436B0100"</f>
        <v>201436B0100</v>
      </c>
      <c r="B2092" t="s">
        <v>4360</v>
      </c>
      <c r="C2092">
        <v>20</v>
      </c>
      <c r="D2092" t="s">
        <v>88</v>
      </c>
      <c r="E2092">
        <v>293</v>
      </c>
      <c r="F2092" t="s">
        <v>4340</v>
      </c>
      <c r="G2092">
        <v>1436</v>
      </c>
      <c r="H2092">
        <v>1</v>
      </c>
      <c r="I2092" t="s">
        <v>90</v>
      </c>
      <c r="J2092">
        <v>0</v>
      </c>
      <c r="K2092">
        <v>1</v>
      </c>
      <c r="L2092">
        <v>5</v>
      </c>
      <c r="M2092">
        <v>165</v>
      </c>
      <c r="N2092">
        <v>442</v>
      </c>
      <c r="O2092">
        <v>0</v>
      </c>
      <c r="P2092">
        <v>0</v>
      </c>
      <c r="Q2092">
        <v>27</v>
      </c>
      <c r="R2092">
        <v>196</v>
      </c>
      <c r="S2092">
        <v>3</v>
      </c>
      <c r="T2092">
        <v>3</v>
      </c>
      <c r="U2092">
        <v>45</v>
      </c>
      <c r="V2092">
        <v>3</v>
      </c>
      <c r="X2092">
        <v>0</v>
      </c>
      <c r="Y2092">
        <v>76</v>
      </c>
      <c r="Z2092">
        <v>1</v>
      </c>
      <c r="AB2092">
        <v>14</v>
      </c>
      <c r="AC2092">
        <v>1</v>
      </c>
      <c r="AD2092">
        <v>1</v>
      </c>
      <c r="AE2092">
        <v>0</v>
      </c>
      <c r="AF2092">
        <v>0</v>
      </c>
      <c r="AG2092">
        <v>2</v>
      </c>
      <c r="AH2092">
        <v>2</v>
      </c>
      <c r="AI2092">
        <v>1</v>
      </c>
      <c r="AJ2092">
        <v>0</v>
      </c>
      <c r="AK2092">
        <v>3</v>
      </c>
      <c r="AL2092">
        <v>4</v>
      </c>
      <c r="AM2092">
        <v>0</v>
      </c>
      <c r="AN2092">
        <v>0</v>
      </c>
      <c r="AZ2092">
        <v>45</v>
      </c>
      <c r="BC2092">
        <v>0</v>
      </c>
      <c r="BD2092">
        <v>15</v>
      </c>
      <c r="BE2092">
        <v>442</v>
      </c>
      <c r="BF2092">
        <v>442</v>
      </c>
      <c r="BG2092">
        <v>584</v>
      </c>
      <c r="BJ2092">
        <v>1</v>
      </c>
      <c r="BL2092" t="s">
        <v>4361</v>
      </c>
      <c r="BM2092" s="4">
        <v>43283.09375</v>
      </c>
      <c r="BN2092" s="4">
        <v>43283.098865740743</v>
      </c>
      <c r="BO2092" s="4">
        <v>43283.098865740743</v>
      </c>
      <c r="BP2092" t="s">
        <v>92</v>
      </c>
      <c r="BQ2092" t="s">
        <v>93</v>
      </c>
      <c r="BR2092" t="s">
        <v>94</v>
      </c>
    </row>
    <row r="2093" spans="1:70" x14ac:dyDescent="0.3">
      <c r="A2093" t="str">
        <f>"201436C0100"</f>
        <v>201436C0100</v>
      </c>
      <c r="B2093" t="s">
        <v>4362</v>
      </c>
      <c r="C2093">
        <v>20</v>
      </c>
      <c r="D2093" t="s">
        <v>88</v>
      </c>
      <c r="E2093">
        <v>293</v>
      </c>
      <c r="F2093" t="s">
        <v>4340</v>
      </c>
      <c r="G2093">
        <v>1436</v>
      </c>
      <c r="H2093">
        <v>1</v>
      </c>
      <c r="I2093" t="s">
        <v>98</v>
      </c>
      <c r="J2093">
        <v>0</v>
      </c>
      <c r="K2093">
        <v>1</v>
      </c>
      <c r="L2093">
        <v>5</v>
      </c>
      <c r="M2093">
        <v>162</v>
      </c>
      <c r="N2093">
        <v>445</v>
      </c>
      <c r="O2093">
        <v>1</v>
      </c>
      <c r="P2093">
        <v>446</v>
      </c>
      <c r="Q2093">
        <v>18</v>
      </c>
      <c r="R2093">
        <v>191</v>
      </c>
      <c r="S2093">
        <v>3</v>
      </c>
      <c r="T2093">
        <v>4</v>
      </c>
      <c r="U2093">
        <v>48</v>
      </c>
      <c r="V2093">
        <v>5</v>
      </c>
      <c r="X2093">
        <v>1</v>
      </c>
      <c r="Y2093">
        <v>77</v>
      </c>
      <c r="Z2093">
        <v>2</v>
      </c>
      <c r="AB2093">
        <v>10</v>
      </c>
      <c r="AC2093">
        <v>0</v>
      </c>
      <c r="AD2093">
        <v>0</v>
      </c>
      <c r="AE2093">
        <v>0</v>
      </c>
      <c r="AF2093">
        <v>0</v>
      </c>
      <c r="AG2093">
        <v>1</v>
      </c>
      <c r="AH2093">
        <v>2</v>
      </c>
      <c r="AI2093">
        <v>0</v>
      </c>
      <c r="AJ2093">
        <v>0</v>
      </c>
      <c r="AK2093">
        <v>3</v>
      </c>
      <c r="AL2093">
        <v>8</v>
      </c>
      <c r="AM2093">
        <v>1</v>
      </c>
      <c r="AN2093">
        <v>0</v>
      </c>
      <c r="AZ2093">
        <v>55</v>
      </c>
      <c r="BC2093">
        <v>0</v>
      </c>
      <c r="BD2093">
        <v>17</v>
      </c>
      <c r="BE2093">
        <v>446</v>
      </c>
      <c r="BF2093">
        <v>446</v>
      </c>
      <c r="BG2093">
        <v>584</v>
      </c>
      <c r="BJ2093">
        <v>1</v>
      </c>
      <c r="BL2093" t="s">
        <v>4363</v>
      </c>
      <c r="BM2093" s="4">
        <v>43283.095138888886</v>
      </c>
      <c r="BN2093" s="4">
        <v>43283.101921296293</v>
      </c>
      <c r="BO2093" s="4">
        <v>43283.101921296293</v>
      </c>
      <c r="BP2093" t="s">
        <v>92</v>
      </c>
      <c r="BQ2093" t="s">
        <v>93</v>
      </c>
      <c r="BR2093" t="s">
        <v>94</v>
      </c>
    </row>
    <row r="2094" spans="1:70" x14ac:dyDescent="0.3">
      <c r="A2094" t="str">
        <f>"201440B0100"</f>
        <v>201440B0100</v>
      </c>
      <c r="B2094" t="s">
        <v>4364</v>
      </c>
      <c r="C2094">
        <v>20</v>
      </c>
      <c r="D2094" t="s">
        <v>88</v>
      </c>
      <c r="E2094">
        <v>296</v>
      </c>
      <c r="F2094" t="s">
        <v>4365</v>
      </c>
      <c r="G2094">
        <v>1440</v>
      </c>
      <c r="H2094">
        <v>1</v>
      </c>
      <c r="I2094" t="s">
        <v>90</v>
      </c>
      <c r="J2094">
        <v>0</v>
      </c>
      <c r="K2094">
        <v>1</v>
      </c>
      <c r="L2094">
        <v>5</v>
      </c>
      <c r="M2094">
        <v>155</v>
      </c>
      <c r="N2094">
        <v>486</v>
      </c>
      <c r="O2094">
        <v>5</v>
      </c>
      <c r="P2094">
        <v>486</v>
      </c>
      <c r="Q2094">
        <v>13</v>
      </c>
      <c r="R2094">
        <v>170</v>
      </c>
      <c r="S2094">
        <v>1</v>
      </c>
      <c r="T2094">
        <v>267</v>
      </c>
      <c r="U2094">
        <v>5</v>
      </c>
      <c r="V2094">
        <v>0</v>
      </c>
      <c r="W2094">
        <v>2</v>
      </c>
      <c r="X2094">
        <v>3</v>
      </c>
      <c r="Y2094">
        <v>8</v>
      </c>
      <c r="Z2094">
        <v>1</v>
      </c>
      <c r="AA2094">
        <v>0</v>
      </c>
      <c r="AB2094">
        <v>0</v>
      </c>
      <c r="AC2094">
        <v>0</v>
      </c>
      <c r="AD2094">
        <v>0</v>
      </c>
      <c r="AE2094">
        <v>0</v>
      </c>
      <c r="AF2094">
        <v>0</v>
      </c>
      <c r="AK2094">
        <v>1</v>
      </c>
      <c r="AL2094">
        <v>0</v>
      </c>
      <c r="AM2094">
        <v>0</v>
      </c>
      <c r="AN2094">
        <v>1</v>
      </c>
      <c r="BC2094">
        <v>0</v>
      </c>
      <c r="BD2094">
        <v>14</v>
      </c>
      <c r="BE2094">
        <v>486</v>
      </c>
      <c r="BF2094">
        <v>486</v>
      </c>
      <c r="BG2094">
        <v>619</v>
      </c>
      <c r="BJ2094">
        <v>1</v>
      </c>
      <c r="BL2094" t="s">
        <v>4366</v>
      </c>
      <c r="BM2094" s="4">
        <v>43283.246527777781</v>
      </c>
      <c r="BN2094" s="4">
        <v>43283.27134259259</v>
      </c>
      <c r="BO2094" s="4">
        <v>43283.27134259259</v>
      </c>
      <c r="BP2094" t="s">
        <v>92</v>
      </c>
      <c r="BQ2094" t="s">
        <v>93</v>
      </c>
      <c r="BR2094" t="s">
        <v>94</v>
      </c>
    </row>
    <row r="2095" spans="1:70" x14ac:dyDescent="0.3">
      <c r="A2095" t="str">
        <f>"201440C0100"</f>
        <v>201440C0100</v>
      </c>
      <c r="B2095" t="s">
        <v>4367</v>
      </c>
      <c r="C2095">
        <v>20</v>
      </c>
      <c r="D2095" t="s">
        <v>88</v>
      </c>
      <c r="E2095">
        <v>296</v>
      </c>
      <c r="F2095" t="s">
        <v>4365</v>
      </c>
      <c r="G2095">
        <v>1440</v>
      </c>
      <c r="H2095">
        <v>1</v>
      </c>
      <c r="I2095" t="s">
        <v>98</v>
      </c>
      <c r="J2095">
        <v>0</v>
      </c>
      <c r="K2095">
        <v>1</v>
      </c>
      <c r="L2095">
        <v>5</v>
      </c>
      <c r="BG2095">
        <v>619</v>
      </c>
      <c r="BI2095" t="s">
        <v>122</v>
      </c>
      <c r="BJ2095">
        <v>0</v>
      </c>
      <c r="BL2095" t="s">
        <v>4368</v>
      </c>
      <c r="BM2095" s="4">
        <v>43283.299305555556</v>
      </c>
      <c r="BN2095" s="4">
        <v>43283.307881944442</v>
      </c>
      <c r="BO2095" s="4">
        <v>43283.307881944442</v>
      </c>
      <c r="BP2095" t="s">
        <v>92</v>
      </c>
      <c r="BQ2095" t="s">
        <v>93</v>
      </c>
      <c r="BR2095" t="s">
        <v>94</v>
      </c>
    </row>
    <row r="2096" spans="1:70" x14ac:dyDescent="0.3">
      <c r="A2096" t="str">
        <f>"201441B0100"</f>
        <v>201441B0100</v>
      </c>
      <c r="B2096" t="s">
        <v>4369</v>
      </c>
      <c r="C2096">
        <v>20</v>
      </c>
      <c r="D2096" t="s">
        <v>88</v>
      </c>
      <c r="E2096">
        <v>296</v>
      </c>
      <c r="F2096" t="s">
        <v>4365</v>
      </c>
      <c r="G2096">
        <v>1441</v>
      </c>
      <c r="H2096">
        <v>1</v>
      </c>
      <c r="I2096" t="s">
        <v>90</v>
      </c>
      <c r="J2096">
        <v>0</v>
      </c>
      <c r="K2096">
        <v>2</v>
      </c>
      <c r="L2096">
        <v>5</v>
      </c>
      <c r="M2096">
        <v>150</v>
      </c>
      <c r="N2096">
        <v>0</v>
      </c>
      <c r="O2096">
        <v>0</v>
      </c>
      <c r="P2096">
        <v>366</v>
      </c>
      <c r="Q2096">
        <v>11</v>
      </c>
      <c r="R2096">
        <v>158</v>
      </c>
      <c r="S2096">
        <v>0</v>
      </c>
      <c r="T2096">
        <v>182</v>
      </c>
      <c r="U2096">
        <v>4</v>
      </c>
      <c r="V2096">
        <v>1</v>
      </c>
      <c r="W2096">
        <v>0</v>
      </c>
      <c r="X2096">
        <v>1</v>
      </c>
      <c r="Y2096">
        <v>12</v>
      </c>
      <c r="Z2096">
        <v>1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  <c r="AK2096">
        <v>0</v>
      </c>
      <c r="AL2096">
        <v>0</v>
      </c>
      <c r="AM2096">
        <v>0</v>
      </c>
      <c r="AN2096">
        <v>0</v>
      </c>
      <c r="BC2096">
        <v>0</v>
      </c>
      <c r="BD2096">
        <v>10</v>
      </c>
      <c r="BE2096" t="s">
        <v>105</v>
      </c>
      <c r="BF2096">
        <v>380</v>
      </c>
      <c r="BG2096">
        <v>508</v>
      </c>
      <c r="BJ2096">
        <v>1</v>
      </c>
      <c r="BL2096" t="s">
        <v>4370</v>
      </c>
      <c r="BM2096" s="4">
        <v>43283.240277777775</v>
      </c>
      <c r="BN2096" s="4">
        <v>43283.263993055552</v>
      </c>
      <c r="BO2096" s="4">
        <v>43283.263993055552</v>
      </c>
      <c r="BP2096" t="s">
        <v>92</v>
      </c>
      <c r="BQ2096" t="s">
        <v>93</v>
      </c>
      <c r="BR2096" t="s">
        <v>94</v>
      </c>
    </row>
    <row r="2097" spans="1:70" x14ac:dyDescent="0.3">
      <c r="A2097" t="str">
        <f>"201441C0100"</f>
        <v>201441C0100</v>
      </c>
      <c r="B2097" t="s">
        <v>4371</v>
      </c>
      <c r="C2097">
        <v>20</v>
      </c>
      <c r="D2097" t="s">
        <v>88</v>
      </c>
      <c r="E2097">
        <v>296</v>
      </c>
      <c r="F2097" t="s">
        <v>4365</v>
      </c>
      <c r="G2097">
        <v>1441</v>
      </c>
      <c r="H2097">
        <v>1</v>
      </c>
      <c r="I2097" t="s">
        <v>98</v>
      </c>
      <c r="J2097">
        <v>0</v>
      </c>
      <c r="K2097">
        <v>2</v>
      </c>
      <c r="L2097">
        <v>5</v>
      </c>
      <c r="M2097">
        <v>124</v>
      </c>
      <c r="N2097">
        <v>405</v>
      </c>
      <c r="O2097">
        <v>5</v>
      </c>
      <c r="P2097">
        <v>405</v>
      </c>
      <c r="Q2097">
        <v>20</v>
      </c>
      <c r="R2097">
        <v>142</v>
      </c>
      <c r="S2097">
        <v>1</v>
      </c>
      <c r="T2097">
        <v>212</v>
      </c>
      <c r="U2097">
        <v>1</v>
      </c>
      <c r="V2097">
        <v>0</v>
      </c>
      <c r="W2097">
        <v>0</v>
      </c>
      <c r="X2097">
        <v>3</v>
      </c>
      <c r="Y2097">
        <v>9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  <c r="AK2097">
        <v>1</v>
      </c>
      <c r="AL2097">
        <v>1</v>
      </c>
      <c r="AM2097">
        <v>0</v>
      </c>
      <c r="AN2097">
        <v>0</v>
      </c>
      <c r="BC2097">
        <v>0</v>
      </c>
      <c r="BD2097">
        <v>15</v>
      </c>
      <c r="BE2097">
        <v>405</v>
      </c>
      <c r="BF2097">
        <v>405</v>
      </c>
      <c r="BG2097">
        <v>508</v>
      </c>
      <c r="BJ2097">
        <v>1</v>
      </c>
      <c r="BL2097" t="s">
        <v>4372</v>
      </c>
      <c r="BM2097" s="4">
        <v>43283.234722222223</v>
      </c>
      <c r="BN2097" s="4">
        <v>43283.257245370369</v>
      </c>
      <c r="BO2097" s="4">
        <v>43283.257245370369</v>
      </c>
      <c r="BP2097" t="s">
        <v>92</v>
      </c>
      <c r="BQ2097" t="s">
        <v>93</v>
      </c>
      <c r="BR2097" t="s">
        <v>94</v>
      </c>
    </row>
    <row r="2098" spans="1:70" x14ac:dyDescent="0.3">
      <c r="A2098" t="str">
        <f>"201441S0100"</f>
        <v>201441S0100</v>
      </c>
      <c r="B2098" t="s">
        <v>4373</v>
      </c>
      <c r="C2098">
        <v>20</v>
      </c>
      <c r="D2098" t="s">
        <v>88</v>
      </c>
      <c r="E2098">
        <v>296</v>
      </c>
      <c r="F2098" t="s">
        <v>4365</v>
      </c>
      <c r="G2098">
        <v>1441</v>
      </c>
      <c r="H2098">
        <v>1</v>
      </c>
      <c r="I2098" t="s">
        <v>113</v>
      </c>
      <c r="J2098">
        <v>0</v>
      </c>
      <c r="K2098">
        <v>1</v>
      </c>
      <c r="L2098">
        <v>6</v>
      </c>
      <c r="M2098">
        <v>756</v>
      </c>
      <c r="N2098">
        <v>16</v>
      </c>
      <c r="O2098">
        <v>0</v>
      </c>
      <c r="P2098">
        <v>16</v>
      </c>
      <c r="Q2098">
        <v>1</v>
      </c>
      <c r="R2098">
        <v>9</v>
      </c>
      <c r="S2098">
        <v>0</v>
      </c>
      <c r="T2098">
        <v>6</v>
      </c>
      <c r="U2098">
        <v>0</v>
      </c>
      <c r="V2098">
        <v>0</v>
      </c>
      <c r="W2098">
        <v>0</v>
      </c>
      <c r="X2098">
        <v>0</v>
      </c>
      <c r="Y2098">
        <v>0</v>
      </c>
      <c r="Z2098">
        <v>0</v>
      </c>
      <c r="AA2098">
        <v>0</v>
      </c>
      <c r="AB2098">
        <v>0</v>
      </c>
      <c r="AC2098">
        <v>0</v>
      </c>
      <c r="AD2098">
        <v>0</v>
      </c>
      <c r="AE2098">
        <v>0</v>
      </c>
      <c r="AF2098">
        <v>0</v>
      </c>
      <c r="AK2098">
        <v>0</v>
      </c>
      <c r="AL2098">
        <v>0</v>
      </c>
      <c r="AM2098">
        <v>0</v>
      </c>
      <c r="AN2098">
        <v>0</v>
      </c>
      <c r="BC2098">
        <v>0</v>
      </c>
      <c r="BD2098">
        <v>0</v>
      </c>
      <c r="BE2098">
        <v>16</v>
      </c>
      <c r="BF2098">
        <v>16</v>
      </c>
      <c r="BG2098">
        <v>0</v>
      </c>
      <c r="BJ2098">
        <v>1</v>
      </c>
      <c r="BL2098" t="s">
        <v>4374</v>
      </c>
      <c r="BM2098" s="4">
        <v>43283.245138888888</v>
      </c>
      <c r="BN2098" s="4">
        <v>43283.269768518519</v>
      </c>
      <c r="BO2098" s="4">
        <v>43283.269768518519</v>
      </c>
      <c r="BP2098" t="s">
        <v>92</v>
      </c>
      <c r="BQ2098" t="s">
        <v>93</v>
      </c>
      <c r="BR2098" t="s">
        <v>94</v>
      </c>
    </row>
    <row r="2099" spans="1:70" x14ac:dyDescent="0.3">
      <c r="A2099" t="str">
        <f>"201442B0100"</f>
        <v>201442B0100</v>
      </c>
      <c r="B2099" t="s">
        <v>4375</v>
      </c>
      <c r="C2099">
        <v>20</v>
      </c>
      <c r="D2099" t="s">
        <v>88</v>
      </c>
      <c r="E2099">
        <v>296</v>
      </c>
      <c r="F2099" t="s">
        <v>4365</v>
      </c>
      <c r="G2099">
        <v>1442</v>
      </c>
      <c r="H2099">
        <v>1</v>
      </c>
      <c r="I2099" t="s">
        <v>90</v>
      </c>
      <c r="J2099">
        <v>0</v>
      </c>
      <c r="K2099">
        <v>2</v>
      </c>
      <c r="L2099">
        <v>5</v>
      </c>
      <c r="M2099">
        <v>197</v>
      </c>
      <c r="N2099" t="s">
        <v>105</v>
      </c>
      <c r="O2099" t="s">
        <v>105</v>
      </c>
      <c r="P2099" t="s">
        <v>127</v>
      </c>
      <c r="Q2099">
        <v>13</v>
      </c>
      <c r="R2099">
        <v>230</v>
      </c>
      <c r="S2099">
        <v>3</v>
      </c>
      <c r="T2099">
        <v>273</v>
      </c>
      <c r="U2099">
        <v>4</v>
      </c>
      <c r="V2099">
        <v>2</v>
      </c>
      <c r="W2099">
        <v>0</v>
      </c>
      <c r="X2099">
        <v>1</v>
      </c>
      <c r="Y2099">
        <v>13</v>
      </c>
      <c r="Z2099">
        <v>0</v>
      </c>
      <c r="AA2099">
        <v>0</v>
      </c>
      <c r="AB2099">
        <v>1</v>
      </c>
      <c r="AC2099">
        <v>0</v>
      </c>
      <c r="AD2099">
        <v>0</v>
      </c>
      <c r="AE2099">
        <v>0</v>
      </c>
      <c r="AF2099">
        <v>0</v>
      </c>
      <c r="AK2099">
        <v>0</v>
      </c>
      <c r="AL2099">
        <v>0</v>
      </c>
      <c r="AM2099">
        <v>0</v>
      </c>
      <c r="AN2099">
        <v>0</v>
      </c>
      <c r="BC2099">
        <v>0</v>
      </c>
      <c r="BD2099">
        <v>26</v>
      </c>
      <c r="BE2099" t="s">
        <v>105</v>
      </c>
      <c r="BF2099">
        <v>566</v>
      </c>
      <c r="BG2099">
        <v>742</v>
      </c>
      <c r="BJ2099">
        <v>1</v>
      </c>
      <c r="BL2099" t="s">
        <v>4376</v>
      </c>
      <c r="BM2099" s="4">
        <v>43283.169444444444</v>
      </c>
      <c r="BN2099" s="4">
        <v>43283.187013888892</v>
      </c>
      <c r="BO2099" s="4">
        <v>43283.187013888892</v>
      </c>
      <c r="BP2099" t="s">
        <v>92</v>
      </c>
      <c r="BQ2099" t="s">
        <v>93</v>
      </c>
      <c r="BR2099" t="s">
        <v>94</v>
      </c>
    </row>
    <row r="2100" spans="1:70" x14ac:dyDescent="0.3">
      <c r="A2100" t="str">
        <f>"201442C0100"</f>
        <v>201442C0100</v>
      </c>
      <c r="B2100" t="s">
        <v>4377</v>
      </c>
      <c r="C2100">
        <v>20</v>
      </c>
      <c r="D2100" t="s">
        <v>88</v>
      </c>
      <c r="E2100">
        <v>296</v>
      </c>
      <c r="F2100" t="s">
        <v>4365</v>
      </c>
      <c r="G2100">
        <v>1442</v>
      </c>
      <c r="H2100">
        <v>1</v>
      </c>
      <c r="I2100" t="s">
        <v>98</v>
      </c>
      <c r="J2100">
        <v>0</v>
      </c>
      <c r="K2100">
        <v>2</v>
      </c>
      <c r="L2100">
        <v>5</v>
      </c>
      <c r="M2100">
        <v>209</v>
      </c>
      <c r="N2100">
        <v>554</v>
      </c>
      <c r="O2100">
        <v>5</v>
      </c>
      <c r="P2100">
        <v>554</v>
      </c>
      <c r="Q2100">
        <v>24</v>
      </c>
      <c r="R2100">
        <v>203</v>
      </c>
      <c r="S2100">
        <v>3</v>
      </c>
      <c r="T2100">
        <v>257</v>
      </c>
      <c r="U2100">
        <v>4</v>
      </c>
      <c r="V2100">
        <v>1</v>
      </c>
      <c r="W2100">
        <v>0</v>
      </c>
      <c r="X2100">
        <v>4</v>
      </c>
      <c r="Y2100">
        <v>14</v>
      </c>
      <c r="Z2100">
        <v>1</v>
      </c>
      <c r="AA2100">
        <v>0</v>
      </c>
      <c r="AB2100">
        <v>1</v>
      </c>
      <c r="AC2100">
        <v>0</v>
      </c>
      <c r="AD2100">
        <v>0</v>
      </c>
      <c r="AE2100">
        <v>0</v>
      </c>
      <c r="AF2100">
        <v>0</v>
      </c>
      <c r="AK2100">
        <v>0</v>
      </c>
      <c r="AL2100">
        <v>1</v>
      </c>
      <c r="AM2100">
        <v>0</v>
      </c>
      <c r="AN2100">
        <v>0</v>
      </c>
      <c r="BC2100">
        <v>0</v>
      </c>
      <c r="BD2100">
        <v>41</v>
      </c>
      <c r="BE2100">
        <v>554</v>
      </c>
      <c r="BF2100">
        <v>554</v>
      </c>
      <c r="BG2100">
        <v>741</v>
      </c>
      <c r="BJ2100">
        <v>1</v>
      </c>
      <c r="BL2100" t="s">
        <v>4378</v>
      </c>
      <c r="BM2100" s="4">
        <v>43283.165277777778</v>
      </c>
      <c r="BN2100" s="4">
        <v>43283.17827546296</v>
      </c>
      <c r="BO2100" s="4">
        <v>43283.17827546296</v>
      </c>
      <c r="BP2100" t="s">
        <v>92</v>
      </c>
      <c r="BQ2100" t="s">
        <v>93</v>
      </c>
      <c r="BR2100" t="s">
        <v>94</v>
      </c>
    </row>
    <row r="2101" spans="1:70" x14ac:dyDescent="0.3">
      <c r="A2101" t="str">
        <f>"201443B0100"</f>
        <v>201443B0100</v>
      </c>
      <c r="B2101" t="s">
        <v>4379</v>
      </c>
      <c r="C2101">
        <v>20</v>
      </c>
      <c r="D2101" t="s">
        <v>88</v>
      </c>
      <c r="E2101">
        <v>296</v>
      </c>
      <c r="F2101" t="s">
        <v>4365</v>
      </c>
      <c r="G2101">
        <v>1443</v>
      </c>
      <c r="H2101">
        <v>1</v>
      </c>
      <c r="I2101" t="s">
        <v>90</v>
      </c>
      <c r="J2101">
        <v>0</v>
      </c>
      <c r="K2101">
        <v>1</v>
      </c>
      <c r="L2101">
        <v>5</v>
      </c>
      <c r="M2101">
        <v>132</v>
      </c>
      <c r="N2101">
        <v>396</v>
      </c>
      <c r="O2101">
        <v>5</v>
      </c>
      <c r="P2101">
        <v>396</v>
      </c>
      <c r="Q2101">
        <v>14</v>
      </c>
      <c r="R2101">
        <v>138</v>
      </c>
      <c r="S2101">
        <v>2</v>
      </c>
      <c r="T2101">
        <v>200</v>
      </c>
      <c r="U2101">
        <v>2</v>
      </c>
      <c r="V2101" t="s">
        <v>105</v>
      </c>
      <c r="W2101" t="s">
        <v>105</v>
      </c>
      <c r="X2101">
        <v>1</v>
      </c>
      <c r="Y2101">
        <v>17</v>
      </c>
      <c r="Z2101">
        <v>2</v>
      </c>
      <c r="AA2101" t="s">
        <v>105</v>
      </c>
      <c r="AB2101">
        <v>5</v>
      </c>
      <c r="AC2101" t="s">
        <v>105</v>
      </c>
      <c r="AD2101" t="s">
        <v>105</v>
      </c>
      <c r="AE2101" t="s">
        <v>105</v>
      </c>
      <c r="AF2101" t="s">
        <v>105</v>
      </c>
      <c r="AK2101" t="s">
        <v>105</v>
      </c>
      <c r="AL2101" t="s">
        <v>105</v>
      </c>
      <c r="AM2101" t="s">
        <v>105</v>
      </c>
      <c r="AN2101" t="s">
        <v>105</v>
      </c>
      <c r="BC2101">
        <v>0</v>
      </c>
      <c r="BD2101">
        <v>15</v>
      </c>
      <c r="BE2101">
        <v>396</v>
      </c>
      <c r="BF2101">
        <v>396</v>
      </c>
      <c r="BG2101">
        <v>506</v>
      </c>
      <c r="BI2101" t="s">
        <v>106</v>
      </c>
      <c r="BJ2101">
        <v>1</v>
      </c>
      <c r="BL2101" t="s">
        <v>4380</v>
      </c>
      <c r="BM2101" s="4">
        <v>43283.064583333333</v>
      </c>
      <c r="BN2101" s="4">
        <v>43283.071342592593</v>
      </c>
      <c r="BO2101" s="4">
        <v>43283.071342592593</v>
      </c>
      <c r="BP2101" t="s">
        <v>92</v>
      </c>
      <c r="BQ2101" t="s">
        <v>93</v>
      </c>
      <c r="BR2101" t="s">
        <v>94</v>
      </c>
    </row>
    <row r="2102" spans="1:70" x14ac:dyDescent="0.3">
      <c r="A2102" t="str">
        <f>"201443C0100"</f>
        <v>201443C0100</v>
      </c>
      <c r="B2102" t="s">
        <v>4381</v>
      </c>
      <c r="C2102">
        <v>20</v>
      </c>
      <c r="D2102" t="s">
        <v>88</v>
      </c>
      <c r="E2102">
        <v>296</v>
      </c>
      <c r="F2102" t="s">
        <v>4365</v>
      </c>
      <c r="G2102">
        <v>1443</v>
      </c>
      <c r="H2102">
        <v>1</v>
      </c>
      <c r="I2102" t="s">
        <v>98</v>
      </c>
      <c r="J2102">
        <v>0</v>
      </c>
      <c r="K2102">
        <v>1</v>
      </c>
      <c r="L2102">
        <v>5</v>
      </c>
      <c r="M2102">
        <v>126</v>
      </c>
      <c r="N2102">
        <v>402</v>
      </c>
      <c r="O2102">
        <v>7</v>
      </c>
      <c r="P2102">
        <v>402</v>
      </c>
      <c r="Q2102">
        <v>10</v>
      </c>
      <c r="R2102">
        <v>173</v>
      </c>
      <c r="S2102">
        <v>0</v>
      </c>
      <c r="T2102">
        <v>181</v>
      </c>
      <c r="U2102">
        <v>1</v>
      </c>
      <c r="V2102">
        <v>2</v>
      </c>
      <c r="W2102">
        <v>0</v>
      </c>
      <c r="X2102">
        <v>1</v>
      </c>
      <c r="Y2102">
        <v>12</v>
      </c>
      <c r="Z2102">
        <v>1</v>
      </c>
      <c r="AA2102">
        <v>1</v>
      </c>
      <c r="AB2102">
        <v>2</v>
      </c>
      <c r="AC2102">
        <v>0</v>
      </c>
      <c r="AD2102">
        <v>0</v>
      </c>
      <c r="AE2102">
        <v>0</v>
      </c>
      <c r="AF2102">
        <v>0</v>
      </c>
      <c r="AK2102">
        <v>0</v>
      </c>
      <c r="AL2102">
        <v>1</v>
      </c>
      <c r="AM2102">
        <v>0</v>
      </c>
      <c r="AN2102">
        <v>0</v>
      </c>
      <c r="BC2102">
        <v>0</v>
      </c>
      <c r="BD2102">
        <v>17</v>
      </c>
      <c r="BE2102">
        <v>402</v>
      </c>
      <c r="BF2102">
        <v>402</v>
      </c>
      <c r="BG2102">
        <v>506</v>
      </c>
      <c r="BJ2102">
        <v>1</v>
      </c>
      <c r="BL2102" t="s">
        <v>4382</v>
      </c>
      <c r="BM2102" s="4">
        <v>43283.069444444445</v>
      </c>
      <c r="BN2102" s="4">
        <v>43283.073101851849</v>
      </c>
      <c r="BO2102" s="4">
        <v>43283.073101851849</v>
      </c>
      <c r="BP2102" t="s">
        <v>92</v>
      </c>
      <c r="BQ2102" t="s">
        <v>93</v>
      </c>
      <c r="BR2102" t="s">
        <v>94</v>
      </c>
    </row>
    <row r="2103" spans="1:70" x14ac:dyDescent="0.3">
      <c r="A2103" t="str">
        <f>"201443C0200"</f>
        <v>201443C0200</v>
      </c>
      <c r="B2103" t="s">
        <v>4383</v>
      </c>
      <c r="C2103">
        <v>20</v>
      </c>
      <c r="D2103" t="s">
        <v>88</v>
      </c>
      <c r="E2103">
        <v>296</v>
      </c>
      <c r="F2103" t="s">
        <v>4365</v>
      </c>
      <c r="G2103">
        <v>1443</v>
      </c>
      <c r="H2103">
        <v>2</v>
      </c>
      <c r="I2103" t="s">
        <v>98</v>
      </c>
      <c r="J2103">
        <v>0</v>
      </c>
      <c r="K2103">
        <v>1</v>
      </c>
      <c r="L2103">
        <v>5</v>
      </c>
      <c r="M2103">
        <v>138</v>
      </c>
      <c r="N2103">
        <v>390</v>
      </c>
      <c r="O2103">
        <v>8</v>
      </c>
      <c r="P2103">
        <v>390</v>
      </c>
      <c r="Q2103">
        <v>10</v>
      </c>
      <c r="R2103">
        <v>151</v>
      </c>
      <c r="S2103">
        <v>2</v>
      </c>
      <c r="T2103">
        <v>196</v>
      </c>
      <c r="U2103">
        <v>1</v>
      </c>
      <c r="V2103">
        <v>1</v>
      </c>
      <c r="W2103">
        <v>0</v>
      </c>
      <c r="X2103">
        <v>1</v>
      </c>
      <c r="Y2103">
        <v>8</v>
      </c>
      <c r="Z2103">
        <v>0</v>
      </c>
      <c r="AA2103">
        <v>0</v>
      </c>
      <c r="AB2103">
        <v>1</v>
      </c>
      <c r="AC2103">
        <v>1</v>
      </c>
      <c r="AD2103">
        <v>0</v>
      </c>
      <c r="AE2103">
        <v>0</v>
      </c>
      <c r="AF2103">
        <v>0</v>
      </c>
      <c r="AK2103">
        <v>0</v>
      </c>
      <c r="AL2103">
        <v>0</v>
      </c>
      <c r="AM2103">
        <v>0</v>
      </c>
      <c r="AN2103">
        <v>0</v>
      </c>
      <c r="BC2103">
        <v>0</v>
      </c>
      <c r="BD2103">
        <v>18</v>
      </c>
      <c r="BE2103">
        <v>390</v>
      </c>
      <c r="BF2103">
        <v>390</v>
      </c>
      <c r="BG2103">
        <v>506</v>
      </c>
      <c r="BJ2103">
        <v>1</v>
      </c>
      <c r="BL2103" t="s">
        <v>4384</v>
      </c>
      <c r="BM2103" s="4">
        <v>43283.073611111111</v>
      </c>
      <c r="BN2103" s="4">
        <v>43283.078414351854</v>
      </c>
      <c r="BO2103" s="4">
        <v>43283.078414351854</v>
      </c>
      <c r="BP2103" t="s">
        <v>92</v>
      </c>
      <c r="BQ2103" t="s">
        <v>93</v>
      </c>
      <c r="BR2103" t="s">
        <v>94</v>
      </c>
    </row>
    <row r="2104" spans="1:70" x14ac:dyDescent="0.3">
      <c r="A2104" t="str">
        <f>"201444B0100"</f>
        <v>201444B0100</v>
      </c>
      <c r="B2104" t="s">
        <v>4385</v>
      </c>
      <c r="C2104">
        <v>20</v>
      </c>
      <c r="D2104" t="s">
        <v>88</v>
      </c>
      <c r="E2104">
        <v>296</v>
      </c>
      <c r="F2104" t="s">
        <v>4365</v>
      </c>
      <c r="G2104">
        <v>1444</v>
      </c>
      <c r="H2104">
        <v>1</v>
      </c>
      <c r="I2104" t="s">
        <v>90</v>
      </c>
      <c r="J2104">
        <v>0</v>
      </c>
      <c r="K2104">
        <v>2</v>
      </c>
      <c r="L2104">
        <v>5</v>
      </c>
      <c r="BG2104">
        <v>706</v>
      </c>
      <c r="BI2104" t="s">
        <v>122</v>
      </c>
      <c r="BJ2104">
        <v>0</v>
      </c>
      <c r="BL2104" t="s">
        <v>4386</v>
      </c>
      <c r="BM2104" s="4">
        <v>43283.299305555556</v>
      </c>
      <c r="BN2104" s="4">
        <v>43283.308437500003</v>
      </c>
      <c r="BO2104" s="4">
        <v>43283.308437500003</v>
      </c>
      <c r="BP2104" t="s">
        <v>92</v>
      </c>
      <c r="BQ2104" t="s">
        <v>93</v>
      </c>
      <c r="BR2104" t="s">
        <v>94</v>
      </c>
    </row>
    <row r="2105" spans="1:70" x14ac:dyDescent="0.3">
      <c r="A2105" t="str">
        <f>"201444C0100"</f>
        <v>201444C0100</v>
      </c>
      <c r="B2105" t="s">
        <v>4387</v>
      </c>
      <c r="C2105">
        <v>20</v>
      </c>
      <c r="D2105" t="s">
        <v>88</v>
      </c>
      <c r="E2105">
        <v>296</v>
      </c>
      <c r="F2105" t="s">
        <v>4365</v>
      </c>
      <c r="G2105">
        <v>1444</v>
      </c>
      <c r="H2105">
        <v>1</v>
      </c>
      <c r="I2105" t="s">
        <v>98</v>
      </c>
      <c r="J2105">
        <v>0</v>
      </c>
      <c r="K2105">
        <v>2</v>
      </c>
      <c r="L2105">
        <v>5</v>
      </c>
      <c r="M2105">
        <v>189</v>
      </c>
      <c r="N2105">
        <v>539</v>
      </c>
      <c r="O2105">
        <v>4</v>
      </c>
      <c r="P2105">
        <v>539</v>
      </c>
      <c r="Q2105">
        <v>19</v>
      </c>
      <c r="R2105">
        <v>222</v>
      </c>
      <c r="S2105">
        <v>0</v>
      </c>
      <c r="T2105">
        <v>258</v>
      </c>
      <c r="U2105">
        <v>3</v>
      </c>
      <c r="V2105">
        <v>2</v>
      </c>
      <c r="W2105">
        <v>0</v>
      </c>
      <c r="X2105">
        <v>2</v>
      </c>
      <c r="Y2105">
        <v>15</v>
      </c>
      <c r="Z2105">
        <v>1</v>
      </c>
      <c r="AA2105">
        <v>1</v>
      </c>
      <c r="AB2105">
        <v>5</v>
      </c>
      <c r="AC2105">
        <v>0</v>
      </c>
      <c r="AD2105">
        <v>0</v>
      </c>
      <c r="AE2105">
        <v>0</v>
      </c>
      <c r="AF2105">
        <v>0</v>
      </c>
      <c r="AK2105">
        <v>1</v>
      </c>
      <c r="AL2105">
        <v>0</v>
      </c>
      <c r="AM2105">
        <v>0</v>
      </c>
      <c r="AN2105">
        <v>0</v>
      </c>
      <c r="BC2105">
        <v>0</v>
      </c>
      <c r="BD2105">
        <v>10</v>
      </c>
      <c r="BE2105">
        <v>539</v>
      </c>
      <c r="BF2105">
        <v>539</v>
      </c>
      <c r="BG2105">
        <v>706</v>
      </c>
      <c r="BJ2105">
        <v>1</v>
      </c>
      <c r="BL2105" t="s">
        <v>4388</v>
      </c>
      <c r="BM2105" s="4">
        <v>43283.17291666667</v>
      </c>
      <c r="BN2105" s="4">
        <v>43283.191168981481</v>
      </c>
      <c r="BO2105" s="4">
        <v>43283.191168981481</v>
      </c>
      <c r="BP2105" t="s">
        <v>92</v>
      </c>
      <c r="BQ2105" t="s">
        <v>93</v>
      </c>
      <c r="BR2105" t="s">
        <v>94</v>
      </c>
    </row>
    <row r="2106" spans="1:70" x14ac:dyDescent="0.3">
      <c r="A2106" t="str">
        <f>"201444E0100"</f>
        <v>201444E0100</v>
      </c>
      <c r="B2106" s="2" t="s">
        <v>4389</v>
      </c>
      <c r="C2106">
        <v>20</v>
      </c>
      <c r="D2106" t="s">
        <v>88</v>
      </c>
      <c r="E2106">
        <v>296</v>
      </c>
      <c r="F2106" t="s">
        <v>4365</v>
      </c>
      <c r="G2106">
        <v>1444</v>
      </c>
      <c r="H2106">
        <v>1</v>
      </c>
      <c r="I2106" t="s">
        <v>156</v>
      </c>
      <c r="J2106">
        <v>0</v>
      </c>
      <c r="K2106">
        <v>2</v>
      </c>
      <c r="L2106">
        <v>5</v>
      </c>
      <c r="M2106">
        <v>116</v>
      </c>
      <c r="N2106">
        <v>405</v>
      </c>
      <c r="O2106">
        <v>4</v>
      </c>
      <c r="P2106">
        <v>405</v>
      </c>
      <c r="Q2106">
        <v>7</v>
      </c>
      <c r="R2106">
        <v>189</v>
      </c>
      <c r="S2106">
        <v>3</v>
      </c>
      <c r="T2106">
        <v>135</v>
      </c>
      <c r="U2106">
        <v>7</v>
      </c>
      <c r="V2106">
        <v>0</v>
      </c>
      <c r="W2106">
        <v>0</v>
      </c>
      <c r="X2106">
        <v>5</v>
      </c>
      <c r="Y2106">
        <v>12</v>
      </c>
      <c r="Z2106">
        <v>1</v>
      </c>
      <c r="AA2106">
        <v>0</v>
      </c>
      <c r="AB2106">
        <v>1</v>
      </c>
      <c r="AC2106">
        <v>0</v>
      </c>
      <c r="AD2106">
        <v>0</v>
      </c>
      <c r="AE2106">
        <v>0</v>
      </c>
      <c r="AF2106">
        <v>0</v>
      </c>
      <c r="AK2106">
        <v>0</v>
      </c>
      <c r="AL2106">
        <v>0</v>
      </c>
      <c r="AM2106">
        <v>0</v>
      </c>
      <c r="AN2106">
        <v>0</v>
      </c>
      <c r="BC2106">
        <v>0</v>
      </c>
      <c r="BD2106">
        <v>45</v>
      </c>
      <c r="BE2106">
        <v>405</v>
      </c>
      <c r="BF2106">
        <v>405</v>
      </c>
      <c r="BG2106">
        <v>499</v>
      </c>
      <c r="BJ2106">
        <v>1</v>
      </c>
      <c r="BL2106" t="s">
        <v>4390</v>
      </c>
      <c r="BM2106" s="4">
        <v>43283.167361111111</v>
      </c>
      <c r="BN2106" s="4">
        <v>43283.182314814818</v>
      </c>
      <c r="BO2106" s="4">
        <v>43283.182314814818</v>
      </c>
      <c r="BP2106" t="s">
        <v>92</v>
      </c>
      <c r="BQ2106" t="s">
        <v>93</v>
      </c>
      <c r="BR2106" t="s">
        <v>94</v>
      </c>
    </row>
    <row r="2107" spans="1:70" x14ac:dyDescent="0.3">
      <c r="A2107" t="str">
        <f>"201445B0100"</f>
        <v>201445B0100</v>
      </c>
      <c r="B2107" t="s">
        <v>4391</v>
      </c>
      <c r="C2107">
        <v>20</v>
      </c>
      <c r="D2107" t="s">
        <v>88</v>
      </c>
      <c r="E2107">
        <v>296</v>
      </c>
      <c r="F2107" t="s">
        <v>4365</v>
      </c>
      <c r="G2107">
        <v>1445</v>
      </c>
      <c r="H2107">
        <v>1</v>
      </c>
      <c r="I2107" t="s">
        <v>90</v>
      </c>
      <c r="J2107">
        <v>0</v>
      </c>
      <c r="K2107">
        <v>2</v>
      </c>
      <c r="L2107">
        <v>5</v>
      </c>
      <c r="M2107">
        <v>144</v>
      </c>
      <c r="N2107">
        <v>202</v>
      </c>
      <c r="O2107">
        <v>3</v>
      </c>
      <c r="P2107">
        <v>202</v>
      </c>
      <c r="Q2107">
        <v>4</v>
      </c>
      <c r="R2107">
        <v>66</v>
      </c>
      <c r="S2107">
        <v>5</v>
      </c>
      <c r="T2107">
        <v>72</v>
      </c>
      <c r="U2107">
        <v>14</v>
      </c>
      <c r="V2107">
        <v>4</v>
      </c>
      <c r="W2107">
        <v>3</v>
      </c>
      <c r="X2107">
        <v>2</v>
      </c>
      <c r="Y2107">
        <v>7</v>
      </c>
      <c r="Z2107">
        <v>2</v>
      </c>
      <c r="AA2107">
        <v>2</v>
      </c>
      <c r="AB2107">
        <v>0</v>
      </c>
      <c r="AC2107">
        <v>0</v>
      </c>
      <c r="AD2107">
        <v>0</v>
      </c>
      <c r="AE2107">
        <v>0</v>
      </c>
      <c r="AF2107">
        <v>0</v>
      </c>
      <c r="AK2107">
        <v>2</v>
      </c>
      <c r="AL2107">
        <v>1</v>
      </c>
      <c r="AM2107">
        <v>0</v>
      </c>
      <c r="AN2107">
        <v>1</v>
      </c>
      <c r="BC2107">
        <v>0</v>
      </c>
      <c r="BD2107">
        <v>17</v>
      </c>
      <c r="BE2107">
        <v>202</v>
      </c>
      <c r="BF2107">
        <v>202</v>
      </c>
      <c r="BG2107">
        <v>324</v>
      </c>
      <c r="BJ2107">
        <v>1</v>
      </c>
      <c r="BL2107" t="s">
        <v>4392</v>
      </c>
      <c r="BM2107" s="4">
        <v>43283.195833333331</v>
      </c>
      <c r="BN2107" s="4">
        <v>43283.214594907404</v>
      </c>
      <c r="BO2107" s="4">
        <v>43283.214594907404</v>
      </c>
      <c r="BP2107" t="s">
        <v>92</v>
      </c>
      <c r="BQ2107" t="s">
        <v>93</v>
      </c>
      <c r="BR2107" t="s">
        <v>94</v>
      </c>
    </row>
    <row r="2108" spans="1:70" x14ac:dyDescent="0.3">
      <c r="A2108" t="str">
        <f>"201446B0100"</f>
        <v>201446B0100</v>
      </c>
      <c r="B2108" t="s">
        <v>4393</v>
      </c>
      <c r="C2108">
        <v>20</v>
      </c>
      <c r="D2108" t="s">
        <v>88</v>
      </c>
      <c r="E2108">
        <v>296</v>
      </c>
      <c r="F2108" t="s">
        <v>4365</v>
      </c>
      <c r="G2108">
        <v>1446</v>
      </c>
      <c r="H2108">
        <v>1</v>
      </c>
      <c r="I2108" t="s">
        <v>90</v>
      </c>
      <c r="J2108">
        <v>0</v>
      </c>
      <c r="K2108">
        <v>2</v>
      </c>
      <c r="L2108">
        <v>5</v>
      </c>
      <c r="M2108">
        <v>147</v>
      </c>
      <c r="N2108">
        <v>354</v>
      </c>
      <c r="O2108">
        <v>4</v>
      </c>
      <c r="P2108">
        <v>354</v>
      </c>
      <c r="Q2108">
        <v>6</v>
      </c>
      <c r="R2108">
        <v>150</v>
      </c>
      <c r="S2108">
        <v>5</v>
      </c>
      <c r="T2108">
        <v>117</v>
      </c>
      <c r="U2108">
        <v>14</v>
      </c>
      <c r="V2108">
        <v>2</v>
      </c>
      <c r="W2108">
        <v>1</v>
      </c>
      <c r="X2108">
        <v>0</v>
      </c>
      <c r="Y2108">
        <v>15</v>
      </c>
      <c r="Z2108">
        <v>1</v>
      </c>
      <c r="AA2108">
        <v>0</v>
      </c>
      <c r="AB2108">
        <v>7</v>
      </c>
      <c r="AC2108">
        <v>0</v>
      </c>
      <c r="AD2108">
        <v>0</v>
      </c>
      <c r="AE2108">
        <v>0</v>
      </c>
      <c r="AF2108">
        <v>0</v>
      </c>
      <c r="AK2108">
        <v>2</v>
      </c>
      <c r="AL2108">
        <v>1</v>
      </c>
      <c r="AM2108">
        <v>0</v>
      </c>
      <c r="AN2108">
        <v>2</v>
      </c>
      <c r="BC2108">
        <v>9</v>
      </c>
      <c r="BD2108">
        <v>22</v>
      </c>
      <c r="BE2108">
        <v>354</v>
      </c>
      <c r="BF2108">
        <v>354</v>
      </c>
      <c r="BG2108">
        <v>480</v>
      </c>
      <c r="BJ2108">
        <v>1</v>
      </c>
      <c r="BL2108" t="s">
        <v>4394</v>
      </c>
      <c r="BM2108" s="4">
        <v>43283.199305555558</v>
      </c>
      <c r="BN2108" s="4">
        <v>43283.217662037037</v>
      </c>
      <c r="BO2108" s="4">
        <v>43283.217662037037</v>
      </c>
      <c r="BP2108" t="s">
        <v>92</v>
      </c>
      <c r="BQ2108" t="s">
        <v>93</v>
      </c>
      <c r="BR2108" t="s">
        <v>94</v>
      </c>
    </row>
    <row r="2109" spans="1:70" x14ac:dyDescent="0.3">
      <c r="A2109" t="str">
        <f>"201447B0100"</f>
        <v>201447B0100</v>
      </c>
      <c r="B2109" t="s">
        <v>4395</v>
      </c>
      <c r="C2109">
        <v>20</v>
      </c>
      <c r="D2109" t="s">
        <v>88</v>
      </c>
      <c r="E2109">
        <v>296</v>
      </c>
      <c r="F2109" t="s">
        <v>4365</v>
      </c>
      <c r="G2109">
        <v>1447</v>
      </c>
      <c r="H2109">
        <v>1</v>
      </c>
      <c r="I2109" t="s">
        <v>90</v>
      </c>
      <c r="J2109">
        <v>0</v>
      </c>
      <c r="K2109">
        <v>2</v>
      </c>
      <c r="L2109">
        <v>5</v>
      </c>
      <c r="M2109">
        <v>94</v>
      </c>
      <c r="N2109">
        <v>476</v>
      </c>
      <c r="O2109">
        <v>8</v>
      </c>
      <c r="P2109">
        <v>476</v>
      </c>
      <c r="Q2109">
        <v>6</v>
      </c>
      <c r="R2109">
        <v>184</v>
      </c>
      <c r="S2109">
        <v>3</v>
      </c>
      <c r="T2109">
        <v>238</v>
      </c>
      <c r="U2109">
        <v>6</v>
      </c>
      <c r="V2109">
        <v>0</v>
      </c>
      <c r="W2109">
        <v>2</v>
      </c>
      <c r="X2109">
        <v>2</v>
      </c>
      <c r="Y2109">
        <v>2</v>
      </c>
      <c r="Z2109">
        <v>0</v>
      </c>
      <c r="AA2109">
        <v>2</v>
      </c>
      <c r="AB2109">
        <v>2</v>
      </c>
      <c r="AC2109">
        <v>0</v>
      </c>
      <c r="AD2109">
        <v>0</v>
      </c>
      <c r="AE2109">
        <v>0</v>
      </c>
      <c r="AF2109">
        <v>0</v>
      </c>
      <c r="AK2109">
        <v>0</v>
      </c>
      <c r="AL2109">
        <v>0</v>
      </c>
      <c r="AM2109">
        <v>0</v>
      </c>
      <c r="AN2109">
        <v>0</v>
      </c>
      <c r="BC2109">
        <v>0</v>
      </c>
      <c r="BD2109">
        <v>29</v>
      </c>
      <c r="BE2109">
        <v>476</v>
      </c>
      <c r="BF2109">
        <v>476</v>
      </c>
      <c r="BG2109">
        <v>548</v>
      </c>
      <c r="BJ2109">
        <v>1</v>
      </c>
      <c r="BL2109" t="s">
        <v>4396</v>
      </c>
      <c r="BM2109" s="4">
        <v>43283.076388888891</v>
      </c>
      <c r="BN2109" s="4">
        <v>43283.080590277779</v>
      </c>
      <c r="BO2109" s="4">
        <v>43283.080590277779</v>
      </c>
      <c r="BP2109" t="s">
        <v>92</v>
      </c>
      <c r="BQ2109" t="s">
        <v>93</v>
      </c>
      <c r="BR2109" t="s">
        <v>94</v>
      </c>
    </row>
    <row r="2110" spans="1:70" x14ac:dyDescent="0.3">
      <c r="A2110" t="str">
        <f>"201447C0100"</f>
        <v>201447C0100</v>
      </c>
      <c r="B2110" t="s">
        <v>4397</v>
      </c>
      <c r="C2110">
        <v>20</v>
      </c>
      <c r="D2110" t="s">
        <v>88</v>
      </c>
      <c r="E2110">
        <v>296</v>
      </c>
      <c r="F2110" t="s">
        <v>4365</v>
      </c>
      <c r="G2110">
        <v>1447</v>
      </c>
      <c r="H2110">
        <v>1</v>
      </c>
      <c r="I2110" t="s">
        <v>98</v>
      </c>
      <c r="J2110">
        <v>0</v>
      </c>
      <c r="K2110">
        <v>2</v>
      </c>
      <c r="L2110">
        <v>5</v>
      </c>
      <c r="M2110">
        <v>89</v>
      </c>
      <c r="N2110">
        <v>480</v>
      </c>
      <c r="O2110">
        <v>6</v>
      </c>
      <c r="P2110">
        <v>480</v>
      </c>
      <c r="Q2110">
        <v>5</v>
      </c>
      <c r="R2110">
        <v>218</v>
      </c>
      <c r="S2110">
        <v>2</v>
      </c>
      <c r="T2110">
        <v>214</v>
      </c>
      <c r="U2110">
        <v>2</v>
      </c>
      <c r="V2110">
        <v>2</v>
      </c>
      <c r="W2110">
        <v>2</v>
      </c>
      <c r="X2110">
        <v>1</v>
      </c>
      <c r="Y2110">
        <v>1</v>
      </c>
      <c r="Z2110">
        <v>0</v>
      </c>
      <c r="AA2110">
        <v>6</v>
      </c>
      <c r="AB2110">
        <v>0</v>
      </c>
      <c r="AC2110">
        <v>0</v>
      </c>
      <c r="AD2110">
        <v>0</v>
      </c>
      <c r="AE2110">
        <v>0</v>
      </c>
      <c r="AF2110">
        <v>0</v>
      </c>
      <c r="AK2110">
        <v>0</v>
      </c>
      <c r="AL2110">
        <v>0</v>
      </c>
      <c r="AM2110">
        <v>0</v>
      </c>
      <c r="AN2110">
        <v>0</v>
      </c>
      <c r="BC2110">
        <v>0</v>
      </c>
      <c r="BD2110">
        <v>27</v>
      </c>
      <c r="BE2110">
        <v>480</v>
      </c>
      <c r="BF2110">
        <v>480</v>
      </c>
      <c r="BG2110">
        <v>547</v>
      </c>
      <c r="BJ2110">
        <v>1</v>
      </c>
      <c r="BL2110" t="s">
        <v>4398</v>
      </c>
      <c r="BM2110" s="4">
        <v>43283.07916666667</v>
      </c>
      <c r="BN2110" s="4">
        <v>43283.083958333336</v>
      </c>
      <c r="BO2110" s="4">
        <v>43283.083958333336</v>
      </c>
      <c r="BP2110" t="s">
        <v>92</v>
      </c>
      <c r="BQ2110" t="s">
        <v>93</v>
      </c>
      <c r="BR2110" t="s">
        <v>94</v>
      </c>
    </row>
    <row r="2111" spans="1:70" x14ac:dyDescent="0.3">
      <c r="A2111" t="str">
        <f>"201449B0100"</f>
        <v>201449B0100</v>
      </c>
      <c r="B2111" t="s">
        <v>4399</v>
      </c>
      <c r="C2111">
        <v>20</v>
      </c>
      <c r="D2111" t="s">
        <v>88</v>
      </c>
      <c r="E2111">
        <v>298</v>
      </c>
      <c r="F2111" t="s">
        <v>4400</v>
      </c>
      <c r="G2111">
        <v>1449</v>
      </c>
      <c r="H2111">
        <v>1</v>
      </c>
      <c r="I2111" t="s">
        <v>90</v>
      </c>
      <c r="J2111">
        <v>0</v>
      </c>
      <c r="K2111">
        <v>2</v>
      </c>
      <c r="L2111">
        <v>5</v>
      </c>
      <c r="M2111">
        <v>219</v>
      </c>
      <c r="N2111" t="s">
        <v>105</v>
      </c>
      <c r="O2111" t="s">
        <v>105</v>
      </c>
      <c r="P2111">
        <v>519</v>
      </c>
      <c r="Q2111">
        <v>1</v>
      </c>
      <c r="R2111">
        <v>131</v>
      </c>
      <c r="S2111">
        <v>280</v>
      </c>
      <c r="T2111">
        <v>1</v>
      </c>
      <c r="U2111">
        <v>2</v>
      </c>
      <c r="V2111">
        <v>1</v>
      </c>
      <c r="X2111">
        <v>0</v>
      </c>
      <c r="Y2111">
        <v>89</v>
      </c>
      <c r="Z2111">
        <v>0</v>
      </c>
      <c r="AC2111">
        <v>1</v>
      </c>
      <c r="AD2111">
        <v>1</v>
      </c>
      <c r="AE2111">
        <v>0</v>
      </c>
      <c r="AF2111">
        <v>0</v>
      </c>
      <c r="AG2111">
        <v>1</v>
      </c>
      <c r="AH2111">
        <v>0</v>
      </c>
      <c r="AI2111">
        <v>1</v>
      </c>
      <c r="AJ2111">
        <v>0</v>
      </c>
      <c r="AK2111">
        <v>2</v>
      </c>
      <c r="AL2111">
        <v>0</v>
      </c>
      <c r="AM2111">
        <v>0</v>
      </c>
      <c r="AN2111">
        <v>0</v>
      </c>
      <c r="BC2111" t="s">
        <v>105</v>
      </c>
      <c r="BD2111">
        <v>12</v>
      </c>
      <c r="BE2111">
        <v>523</v>
      </c>
      <c r="BF2111">
        <v>523</v>
      </c>
      <c r="BG2111">
        <v>720</v>
      </c>
      <c r="BI2111" t="s">
        <v>106</v>
      </c>
      <c r="BJ2111">
        <v>1</v>
      </c>
      <c r="BL2111" t="s">
        <v>4401</v>
      </c>
      <c r="BM2111" s="4">
        <v>43283.347222222219</v>
      </c>
      <c r="BN2111" s="4">
        <v>43283.365243055552</v>
      </c>
      <c r="BO2111" s="4">
        <v>43283.365243055552</v>
      </c>
      <c r="BP2111" t="s">
        <v>92</v>
      </c>
      <c r="BQ2111" t="s">
        <v>93</v>
      </c>
      <c r="BR2111" t="s">
        <v>94</v>
      </c>
    </row>
    <row r="2112" spans="1:70" x14ac:dyDescent="0.3">
      <c r="A2112" t="str">
        <f>"201449C0100"</f>
        <v>201449C0100</v>
      </c>
      <c r="B2112" t="s">
        <v>4402</v>
      </c>
      <c r="C2112">
        <v>20</v>
      </c>
      <c r="D2112" t="s">
        <v>88</v>
      </c>
      <c r="E2112">
        <v>298</v>
      </c>
      <c r="F2112" t="s">
        <v>4400</v>
      </c>
      <c r="G2112">
        <v>1449</v>
      </c>
      <c r="H2112">
        <v>1</v>
      </c>
      <c r="I2112" t="s">
        <v>98</v>
      </c>
      <c r="J2112">
        <v>0</v>
      </c>
      <c r="K2112">
        <v>2</v>
      </c>
      <c r="L2112">
        <v>5</v>
      </c>
      <c r="M2112">
        <v>235</v>
      </c>
      <c r="N2112">
        <v>506</v>
      </c>
      <c r="O2112">
        <v>0</v>
      </c>
      <c r="P2112">
        <v>741</v>
      </c>
      <c r="Q2112">
        <v>2</v>
      </c>
      <c r="R2112">
        <v>151</v>
      </c>
      <c r="S2112">
        <v>223</v>
      </c>
      <c r="T2112">
        <v>0</v>
      </c>
      <c r="U2112">
        <v>2</v>
      </c>
      <c r="V2112">
        <v>0</v>
      </c>
      <c r="X2112">
        <v>1</v>
      </c>
      <c r="Y2112">
        <v>112</v>
      </c>
      <c r="Z2112">
        <v>1</v>
      </c>
      <c r="AC2112" t="s">
        <v>105</v>
      </c>
      <c r="AD2112" t="s">
        <v>105</v>
      </c>
      <c r="AE2112">
        <v>2</v>
      </c>
      <c r="AF2112" t="s">
        <v>105</v>
      </c>
      <c r="AG2112" t="s">
        <v>105</v>
      </c>
      <c r="AH2112" t="s">
        <v>105</v>
      </c>
      <c r="AI2112" t="s">
        <v>105</v>
      </c>
      <c r="AJ2112" t="s">
        <v>105</v>
      </c>
      <c r="AK2112">
        <v>1</v>
      </c>
      <c r="AL2112" t="s">
        <v>105</v>
      </c>
      <c r="AM2112" t="s">
        <v>105</v>
      </c>
      <c r="AN2112" t="s">
        <v>105</v>
      </c>
      <c r="BC2112" t="s">
        <v>105</v>
      </c>
      <c r="BD2112">
        <v>10</v>
      </c>
      <c r="BE2112">
        <v>506</v>
      </c>
      <c r="BF2112">
        <v>505</v>
      </c>
      <c r="BG2112">
        <v>720</v>
      </c>
      <c r="BI2112" t="s">
        <v>106</v>
      </c>
      <c r="BJ2112">
        <v>1</v>
      </c>
      <c r="BL2112" t="s">
        <v>4403</v>
      </c>
      <c r="BM2112" s="4">
        <v>43283.347222222219</v>
      </c>
      <c r="BN2112" s="4">
        <v>43283.366331018522</v>
      </c>
      <c r="BO2112" s="4">
        <v>43283.366331018522</v>
      </c>
      <c r="BP2112" t="s">
        <v>92</v>
      </c>
      <c r="BQ2112" t="s">
        <v>93</v>
      </c>
      <c r="BR2112" t="s">
        <v>94</v>
      </c>
    </row>
    <row r="2113" spans="1:70" x14ac:dyDescent="0.3">
      <c r="A2113" t="str">
        <f>"201449E0100"</f>
        <v>201449E0100</v>
      </c>
      <c r="B2113" s="2" t="s">
        <v>4404</v>
      </c>
      <c r="C2113">
        <v>20</v>
      </c>
      <c r="D2113" t="s">
        <v>88</v>
      </c>
      <c r="E2113">
        <v>298</v>
      </c>
      <c r="F2113" t="s">
        <v>4400</v>
      </c>
      <c r="G2113">
        <v>1449</v>
      </c>
      <c r="H2113">
        <v>1</v>
      </c>
      <c r="I2113" t="s">
        <v>156</v>
      </c>
      <c r="J2113">
        <v>0</v>
      </c>
      <c r="K2113">
        <v>2</v>
      </c>
      <c r="L2113">
        <v>5</v>
      </c>
      <c r="M2113">
        <v>194</v>
      </c>
      <c r="N2113">
        <v>575</v>
      </c>
      <c r="O2113">
        <v>4</v>
      </c>
      <c r="P2113">
        <v>575</v>
      </c>
      <c r="Q2113" t="s">
        <v>105</v>
      </c>
      <c r="R2113">
        <v>265</v>
      </c>
      <c r="S2113">
        <v>242</v>
      </c>
      <c r="T2113">
        <v>1</v>
      </c>
      <c r="U2113">
        <v>1</v>
      </c>
      <c r="V2113">
        <v>0</v>
      </c>
      <c r="X2113">
        <v>0</v>
      </c>
      <c r="Y2113">
        <v>50</v>
      </c>
      <c r="Z2113">
        <v>1</v>
      </c>
      <c r="AC2113">
        <v>0</v>
      </c>
      <c r="AD2113">
        <v>1</v>
      </c>
      <c r="AE2113">
        <v>0</v>
      </c>
      <c r="AF2113">
        <v>0</v>
      </c>
      <c r="AG2113">
        <v>0</v>
      </c>
      <c r="AH2113">
        <v>0</v>
      </c>
      <c r="AI2113">
        <v>0</v>
      </c>
      <c r="AJ2113">
        <v>0</v>
      </c>
      <c r="AK2113">
        <v>0</v>
      </c>
      <c r="AL2113">
        <v>0</v>
      </c>
      <c r="AM2113">
        <v>0</v>
      </c>
      <c r="AN2113">
        <v>0</v>
      </c>
      <c r="BC2113">
        <v>0</v>
      </c>
      <c r="BD2113">
        <v>13</v>
      </c>
      <c r="BE2113">
        <v>574</v>
      </c>
      <c r="BF2113">
        <v>574</v>
      </c>
      <c r="BG2113">
        <v>748</v>
      </c>
      <c r="BI2113" t="s">
        <v>106</v>
      </c>
      <c r="BJ2113">
        <v>1</v>
      </c>
      <c r="BL2113" t="s">
        <v>4405</v>
      </c>
      <c r="BM2113" s="4">
        <v>43283.347222222219</v>
      </c>
      <c r="BN2113" s="4">
        <v>43283.364155092589</v>
      </c>
      <c r="BO2113" s="4">
        <v>43283.364155092589</v>
      </c>
      <c r="BP2113" t="s">
        <v>92</v>
      </c>
      <c r="BQ2113" t="s">
        <v>93</v>
      </c>
      <c r="BR2113" t="s">
        <v>94</v>
      </c>
    </row>
    <row r="2114" spans="1:70" x14ac:dyDescent="0.3">
      <c r="A2114" t="str">
        <f>"201450B0100"</f>
        <v>201450B0100</v>
      </c>
      <c r="B2114" t="s">
        <v>4406</v>
      </c>
      <c r="C2114">
        <v>20</v>
      </c>
      <c r="D2114" t="s">
        <v>88</v>
      </c>
      <c r="E2114">
        <v>298</v>
      </c>
      <c r="F2114" t="s">
        <v>4400</v>
      </c>
      <c r="G2114">
        <v>1450</v>
      </c>
      <c r="H2114">
        <v>1</v>
      </c>
      <c r="I2114" t="s">
        <v>90</v>
      </c>
      <c r="J2114">
        <v>0</v>
      </c>
      <c r="K2114">
        <v>1</v>
      </c>
      <c r="L2114">
        <v>5</v>
      </c>
      <c r="M2114">
        <v>200</v>
      </c>
      <c r="N2114">
        <v>427</v>
      </c>
      <c r="O2114" t="s">
        <v>105</v>
      </c>
      <c r="P2114" t="s">
        <v>105</v>
      </c>
      <c r="Q2114">
        <v>0</v>
      </c>
      <c r="R2114">
        <v>134</v>
      </c>
      <c r="S2114">
        <v>200</v>
      </c>
      <c r="T2114">
        <v>1</v>
      </c>
      <c r="U2114">
        <v>1</v>
      </c>
      <c r="V2114">
        <v>0</v>
      </c>
      <c r="X2114">
        <v>0</v>
      </c>
      <c r="Y2114">
        <v>75</v>
      </c>
      <c r="Z2114">
        <v>0</v>
      </c>
      <c r="AC2114">
        <v>0</v>
      </c>
      <c r="AD2114">
        <v>0</v>
      </c>
      <c r="AE2114">
        <v>0</v>
      </c>
      <c r="AF2114">
        <v>1</v>
      </c>
      <c r="AG2114">
        <v>0</v>
      </c>
      <c r="AH2114">
        <v>0</v>
      </c>
      <c r="AI2114">
        <v>0</v>
      </c>
      <c r="AJ2114">
        <v>0</v>
      </c>
      <c r="AK2114">
        <v>1</v>
      </c>
      <c r="AL2114">
        <v>0</v>
      </c>
      <c r="AM2114">
        <v>0</v>
      </c>
      <c r="AN2114">
        <v>0</v>
      </c>
      <c r="BC2114">
        <v>0</v>
      </c>
      <c r="BD2114">
        <v>14</v>
      </c>
      <c r="BE2114">
        <v>427</v>
      </c>
      <c r="BF2114">
        <v>427</v>
      </c>
      <c r="BG2114">
        <v>605</v>
      </c>
      <c r="BJ2114">
        <v>1</v>
      </c>
      <c r="BL2114" t="s">
        <v>4407</v>
      </c>
      <c r="BM2114" s="4">
        <v>43283.347222222219</v>
      </c>
      <c r="BN2114" s="4">
        <v>43283.361956018518</v>
      </c>
      <c r="BO2114" s="4">
        <v>43283.361956018518</v>
      </c>
      <c r="BP2114" t="s">
        <v>92</v>
      </c>
      <c r="BQ2114" t="s">
        <v>93</v>
      </c>
      <c r="BR2114" t="s">
        <v>94</v>
      </c>
    </row>
    <row r="2115" spans="1:70" x14ac:dyDescent="0.3">
      <c r="A2115" t="str">
        <f>"201450C0100"</f>
        <v>201450C0100</v>
      </c>
      <c r="B2115" t="s">
        <v>4408</v>
      </c>
      <c r="C2115">
        <v>20</v>
      </c>
      <c r="D2115" t="s">
        <v>88</v>
      </c>
      <c r="E2115">
        <v>298</v>
      </c>
      <c r="F2115" t="s">
        <v>4400</v>
      </c>
      <c r="G2115">
        <v>1450</v>
      </c>
      <c r="H2115">
        <v>1</v>
      </c>
      <c r="I2115" t="s">
        <v>98</v>
      </c>
      <c r="J2115">
        <v>0</v>
      </c>
      <c r="K2115">
        <v>1</v>
      </c>
      <c r="L2115">
        <v>5</v>
      </c>
      <c r="M2115" t="s">
        <v>105</v>
      </c>
      <c r="N2115">
        <v>448</v>
      </c>
      <c r="O2115">
        <v>0</v>
      </c>
      <c r="P2115">
        <v>450</v>
      </c>
      <c r="Q2115">
        <v>1</v>
      </c>
      <c r="R2115">
        <v>162</v>
      </c>
      <c r="S2115">
        <v>228</v>
      </c>
      <c r="T2115">
        <v>0</v>
      </c>
      <c r="U2115">
        <v>1</v>
      </c>
      <c r="V2115">
        <v>1</v>
      </c>
      <c r="X2115">
        <v>0</v>
      </c>
      <c r="Y2115">
        <v>47</v>
      </c>
      <c r="Z2115">
        <v>1</v>
      </c>
      <c r="AC2115">
        <v>0</v>
      </c>
      <c r="AD2115">
        <v>1</v>
      </c>
      <c r="AE2115">
        <v>0</v>
      </c>
      <c r="AF2115">
        <v>0</v>
      </c>
      <c r="AG2115">
        <v>0</v>
      </c>
      <c r="AH2115">
        <v>1</v>
      </c>
      <c r="AI2115">
        <v>0</v>
      </c>
      <c r="AJ2115">
        <v>0</v>
      </c>
      <c r="AK2115">
        <v>0</v>
      </c>
      <c r="AL2115">
        <v>0</v>
      </c>
      <c r="AM2115">
        <v>0</v>
      </c>
      <c r="AN2115">
        <v>0</v>
      </c>
      <c r="BC2115" t="s">
        <v>105</v>
      </c>
      <c r="BD2115">
        <v>7</v>
      </c>
      <c r="BE2115">
        <v>450</v>
      </c>
      <c r="BF2115">
        <v>450</v>
      </c>
      <c r="BG2115">
        <v>605</v>
      </c>
      <c r="BI2115" t="s">
        <v>106</v>
      </c>
      <c r="BJ2115">
        <v>1</v>
      </c>
      <c r="BL2115" t="s">
        <v>4409</v>
      </c>
      <c r="BM2115" s="4">
        <v>43283.347222222219</v>
      </c>
      <c r="BN2115" s="4">
        <v>43283.368923611109</v>
      </c>
      <c r="BO2115" s="4">
        <v>43283.368923611109</v>
      </c>
      <c r="BP2115" t="s">
        <v>92</v>
      </c>
      <c r="BQ2115" t="s">
        <v>93</v>
      </c>
      <c r="BR2115" t="s">
        <v>94</v>
      </c>
    </row>
    <row r="2116" spans="1:70" x14ac:dyDescent="0.3">
      <c r="A2116" t="str">
        <f>"201451B0100"</f>
        <v>201451B0100</v>
      </c>
      <c r="B2116" t="s">
        <v>4410</v>
      </c>
      <c r="C2116">
        <v>20</v>
      </c>
      <c r="D2116" t="s">
        <v>88</v>
      </c>
      <c r="E2116">
        <v>298</v>
      </c>
      <c r="F2116" t="s">
        <v>4400</v>
      </c>
      <c r="G2116">
        <v>1451</v>
      </c>
      <c r="H2116">
        <v>1</v>
      </c>
      <c r="I2116" t="s">
        <v>90</v>
      </c>
      <c r="J2116">
        <v>0</v>
      </c>
      <c r="K2116">
        <v>2</v>
      </c>
      <c r="L2116">
        <v>5</v>
      </c>
      <c r="M2116">
        <v>190</v>
      </c>
      <c r="N2116">
        <v>462</v>
      </c>
      <c r="O2116">
        <v>0</v>
      </c>
      <c r="P2116" t="s">
        <v>127</v>
      </c>
      <c r="Q2116">
        <v>3</v>
      </c>
      <c r="R2116">
        <v>178</v>
      </c>
      <c r="S2116">
        <v>202</v>
      </c>
      <c r="T2116" t="s">
        <v>105</v>
      </c>
      <c r="U2116">
        <v>1</v>
      </c>
      <c r="V2116">
        <v>0</v>
      </c>
      <c r="X2116">
        <v>0</v>
      </c>
      <c r="Y2116">
        <v>64</v>
      </c>
      <c r="Z2116" t="s">
        <v>105</v>
      </c>
      <c r="AC2116" t="s">
        <v>105</v>
      </c>
      <c r="AD2116" t="s">
        <v>105</v>
      </c>
      <c r="AE2116" t="s">
        <v>105</v>
      </c>
      <c r="AF2116" t="s">
        <v>105</v>
      </c>
      <c r="AG2116" t="s">
        <v>105</v>
      </c>
      <c r="AH2116" t="s">
        <v>105</v>
      </c>
      <c r="AI2116" t="s">
        <v>105</v>
      </c>
      <c r="AJ2116" t="s">
        <v>105</v>
      </c>
      <c r="AK2116" t="s">
        <v>105</v>
      </c>
      <c r="AL2116" t="s">
        <v>105</v>
      </c>
      <c r="AM2116" t="s">
        <v>105</v>
      </c>
      <c r="AN2116" t="s">
        <v>105</v>
      </c>
      <c r="BC2116" t="s">
        <v>105</v>
      </c>
      <c r="BD2116">
        <v>14</v>
      </c>
      <c r="BE2116" t="s">
        <v>105</v>
      </c>
      <c r="BF2116">
        <v>462</v>
      </c>
      <c r="BG2116">
        <v>631</v>
      </c>
      <c r="BI2116" t="s">
        <v>106</v>
      </c>
      <c r="BJ2116">
        <v>1</v>
      </c>
      <c r="BL2116" t="s">
        <v>4411</v>
      </c>
      <c r="BM2116" s="4">
        <v>43283.347222222219</v>
      </c>
      <c r="BN2116" s="4">
        <v>43283.366979166669</v>
      </c>
      <c r="BO2116" s="4">
        <v>43283.366979166669</v>
      </c>
      <c r="BP2116" t="s">
        <v>92</v>
      </c>
      <c r="BQ2116" t="s">
        <v>93</v>
      </c>
      <c r="BR2116" t="s">
        <v>94</v>
      </c>
    </row>
    <row r="2117" spans="1:70" x14ac:dyDescent="0.3">
      <c r="A2117" t="str">
        <f>"201451C0100"</f>
        <v>201451C0100</v>
      </c>
      <c r="B2117" t="s">
        <v>4412</v>
      </c>
      <c r="C2117">
        <v>20</v>
      </c>
      <c r="D2117" t="s">
        <v>88</v>
      </c>
      <c r="E2117">
        <v>298</v>
      </c>
      <c r="F2117" t="s">
        <v>4400</v>
      </c>
      <c r="G2117">
        <v>1451</v>
      </c>
      <c r="H2117">
        <v>1</v>
      </c>
      <c r="I2117" t="s">
        <v>98</v>
      </c>
      <c r="J2117">
        <v>0</v>
      </c>
      <c r="K2117">
        <v>2</v>
      </c>
      <c r="L2117">
        <v>5</v>
      </c>
      <c r="M2117">
        <v>179</v>
      </c>
      <c r="N2117">
        <v>466</v>
      </c>
      <c r="O2117">
        <v>0</v>
      </c>
      <c r="P2117">
        <v>466</v>
      </c>
      <c r="Q2117">
        <v>2</v>
      </c>
      <c r="R2117">
        <v>203</v>
      </c>
      <c r="S2117">
        <v>188</v>
      </c>
      <c r="T2117">
        <v>0</v>
      </c>
      <c r="U2117">
        <v>1</v>
      </c>
      <c r="V2117">
        <v>0</v>
      </c>
      <c r="X2117">
        <v>0</v>
      </c>
      <c r="Y2117">
        <v>59</v>
      </c>
      <c r="Z2117">
        <v>0</v>
      </c>
      <c r="AC2117">
        <v>1</v>
      </c>
      <c r="AD2117">
        <v>0</v>
      </c>
      <c r="AE2117">
        <v>0</v>
      </c>
      <c r="AF2117">
        <v>0</v>
      </c>
      <c r="AG2117">
        <v>0</v>
      </c>
      <c r="AH2117">
        <v>0</v>
      </c>
      <c r="AI2117">
        <v>1</v>
      </c>
      <c r="AJ2117">
        <v>0</v>
      </c>
      <c r="AK2117">
        <v>0</v>
      </c>
      <c r="AL2117">
        <v>1</v>
      </c>
      <c r="AM2117">
        <v>0</v>
      </c>
      <c r="AN2117">
        <v>0</v>
      </c>
      <c r="BC2117">
        <v>0</v>
      </c>
      <c r="BD2117">
        <v>10</v>
      </c>
      <c r="BE2117" t="s">
        <v>105</v>
      </c>
      <c r="BF2117">
        <v>466</v>
      </c>
      <c r="BG2117">
        <v>631</v>
      </c>
      <c r="BJ2117">
        <v>1</v>
      </c>
      <c r="BL2117" t="s">
        <v>4413</v>
      </c>
      <c r="BM2117" s="4">
        <v>43283.347222222219</v>
      </c>
      <c r="BN2117" s="4">
        <v>43283.366701388892</v>
      </c>
      <c r="BO2117" s="4">
        <v>43283.366701388892</v>
      </c>
      <c r="BP2117" t="s">
        <v>92</v>
      </c>
      <c r="BQ2117" t="s">
        <v>93</v>
      </c>
      <c r="BR2117" t="s">
        <v>94</v>
      </c>
    </row>
    <row r="2118" spans="1:70" x14ac:dyDescent="0.3">
      <c r="A2118" t="str">
        <f>"201454B0100"</f>
        <v>201454B0100</v>
      </c>
      <c r="B2118" t="s">
        <v>4414</v>
      </c>
      <c r="C2118">
        <v>20</v>
      </c>
      <c r="D2118" t="s">
        <v>88</v>
      </c>
      <c r="E2118">
        <v>300</v>
      </c>
      <c r="F2118" t="s">
        <v>4415</v>
      </c>
      <c r="G2118">
        <v>1454</v>
      </c>
      <c r="H2118">
        <v>1</v>
      </c>
      <c r="I2118" t="s">
        <v>90</v>
      </c>
      <c r="J2118">
        <v>0</v>
      </c>
      <c r="K2118">
        <v>2</v>
      </c>
      <c r="L2118">
        <v>5</v>
      </c>
      <c r="M2118">
        <v>113</v>
      </c>
      <c r="N2118">
        <v>381</v>
      </c>
      <c r="O2118">
        <v>0</v>
      </c>
      <c r="P2118">
        <v>381</v>
      </c>
      <c r="Q2118">
        <v>5</v>
      </c>
      <c r="R2118">
        <v>2</v>
      </c>
      <c r="S2118">
        <v>178</v>
      </c>
      <c r="U2118">
        <v>3</v>
      </c>
      <c r="V2118" t="s">
        <v>105</v>
      </c>
      <c r="X2118">
        <v>169</v>
      </c>
      <c r="Y2118">
        <v>10</v>
      </c>
      <c r="Z2118" t="s">
        <v>105</v>
      </c>
      <c r="AC2118">
        <v>2</v>
      </c>
      <c r="AD2118">
        <v>2</v>
      </c>
      <c r="AE2118" t="s">
        <v>105</v>
      </c>
      <c r="AF2118" t="s">
        <v>105</v>
      </c>
      <c r="AK2118" t="s">
        <v>105</v>
      </c>
      <c r="AL2118" t="s">
        <v>105</v>
      </c>
      <c r="AM2118">
        <v>1</v>
      </c>
      <c r="AN2118" t="s">
        <v>105</v>
      </c>
      <c r="BC2118" t="s">
        <v>105</v>
      </c>
      <c r="BD2118">
        <v>9</v>
      </c>
      <c r="BE2118" t="s">
        <v>127</v>
      </c>
      <c r="BF2118">
        <v>381</v>
      </c>
      <c r="BG2118">
        <v>472</v>
      </c>
      <c r="BI2118" t="s">
        <v>106</v>
      </c>
      <c r="BJ2118">
        <v>1</v>
      </c>
      <c r="BL2118" t="s">
        <v>4416</v>
      </c>
      <c r="BM2118" s="4">
        <v>43283.261111111111</v>
      </c>
      <c r="BN2118" s="4">
        <v>43283.310243055559</v>
      </c>
      <c r="BO2118" s="4">
        <v>43283.310243055559</v>
      </c>
      <c r="BP2118" t="s">
        <v>92</v>
      </c>
      <c r="BQ2118" t="s">
        <v>93</v>
      </c>
      <c r="BR2118" t="s">
        <v>94</v>
      </c>
    </row>
    <row r="2119" spans="1:70" x14ac:dyDescent="0.3">
      <c r="A2119" t="str">
        <f>"201454C0100"</f>
        <v>201454C0100</v>
      </c>
      <c r="B2119" t="s">
        <v>4417</v>
      </c>
      <c r="C2119">
        <v>20</v>
      </c>
      <c r="D2119" t="s">
        <v>88</v>
      </c>
      <c r="E2119">
        <v>300</v>
      </c>
      <c r="F2119" t="s">
        <v>4415</v>
      </c>
      <c r="G2119">
        <v>1454</v>
      </c>
      <c r="H2119">
        <v>1</v>
      </c>
      <c r="I2119" t="s">
        <v>98</v>
      </c>
      <c r="J2119">
        <v>0</v>
      </c>
      <c r="K2119">
        <v>2</v>
      </c>
      <c r="L2119">
        <v>5</v>
      </c>
      <c r="M2119" t="s">
        <v>105</v>
      </c>
      <c r="N2119">
        <v>383</v>
      </c>
      <c r="O2119">
        <v>7</v>
      </c>
      <c r="P2119" t="s">
        <v>105</v>
      </c>
      <c r="Q2119">
        <v>1</v>
      </c>
      <c r="R2119">
        <v>1</v>
      </c>
      <c r="S2119">
        <v>196</v>
      </c>
      <c r="U2119" t="s">
        <v>105</v>
      </c>
      <c r="V2119" t="s">
        <v>105</v>
      </c>
      <c r="X2119">
        <v>162</v>
      </c>
      <c r="Y2119">
        <v>12</v>
      </c>
      <c r="Z2119" t="s">
        <v>105</v>
      </c>
      <c r="AC2119">
        <v>2</v>
      </c>
      <c r="AD2119" t="s">
        <v>105</v>
      </c>
      <c r="AE2119" t="s">
        <v>105</v>
      </c>
      <c r="AF2119" t="s">
        <v>105</v>
      </c>
      <c r="AK2119" t="s">
        <v>105</v>
      </c>
      <c r="AL2119" t="s">
        <v>105</v>
      </c>
      <c r="AM2119" t="s">
        <v>105</v>
      </c>
      <c r="AN2119" t="s">
        <v>105</v>
      </c>
      <c r="BC2119" t="s">
        <v>105</v>
      </c>
      <c r="BD2119">
        <v>11</v>
      </c>
      <c r="BE2119">
        <v>385</v>
      </c>
      <c r="BF2119">
        <v>385</v>
      </c>
      <c r="BG2119">
        <v>471</v>
      </c>
      <c r="BI2119" t="s">
        <v>106</v>
      </c>
      <c r="BJ2119">
        <v>1</v>
      </c>
      <c r="BL2119" t="s">
        <v>4418</v>
      </c>
      <c r="BM2119" s="4">
        <v>43283.261111111111</v>
      </c>
      <c r="BN2119" s="4">
        <v>43283.302824074075</v>
      </c>
      <c r="BO2119" s="4">
        <v>43283.302824074075</v>
      </c>
      <c r="BP2119" t="s">
        <v>92</v>
      </c>
      <c r="BQ2119" t="s">
        <v>93</v>
      </c>
      <c r="BR2119" t="s">
        <v>94</v>
      </c>
    </row>
    <row r="2120" spans="1:70" x14ac:dyDescent="0.3">
      <c r="A2120" t="str">
        <f>"201455B0100"</f>
        <v>201455B0100</v>
      </c>
      <c r="B2120" t="s">
        <v>4419</v>
      </c>
      <c r="C2120">
        <v>20</v>
      </c>
      <c r="D2120" t="s">
        <v>88</v>
      </c>
      <c r="E2120">
        <v>300</v>
      </c>
      <c r="F2120" t="s">
        <v>4415</v>
      </c>
      <c r="G2120">
        <v>1455</v>
      </c>
      <c r="H2120">
        <v>1</v>
      </c>
      <c r="I2120" t="s">
        <v>90</v>
      </c>
      <c r="J2120">
        <v>0</v>
      </c>
      <c r="K2120">
        <v>1</v>
      </c>
      <c r="L2120">
        <v>5</v>
      </c>
      <c r="M2120">
        <v>164</v>
      </c>
      <c r="N2120">
        <v>607</v>
      </c>
      <c r="O2120">
        <v>2</v>
      </c>
      <c r="P2120">
        <v>605</v>
      </c>
      <c r="Q2120">
        <v>2</v>
      </c>
      <c r="R2120">
        <v>2</v>
      </c>
      <c r="S2120">
        <v>270</v>
      </c>
      <c r="U2120">
        <v>2</v>
      </c>
      <c r="V2120">
        <v>1</v>
      </c>
      <c r="X2120">
        <v>272</v>
      </c>
      <c r="Y2120">
        <v>19</v>
      </c>
      <c r="Z2120">
        <v>0</v>
      </c>
      <c r="AC2120">
        <v>0</v>
      </c>
      <c r="AD2120">
        <v>1</v>
      </c>
      <c r="AE2120">
        <v>0</v>
      </c>
      <c r="AF2120">
        <v>2</v>
      </c>
      <c r="AK2120">
        <v>1</v>
      </c>
      <c r="AL2120">
        <v>0</v>
      </c>
      <c r="AM2120">
        <v>0</v>
      </c>
      <c r="AN2120">
        <v>0</v>
      </c>
      <c r="BC2120">
        <v>0</v>
      </c>
      <c r="BD2120">
        <v>19</v>
      </c>
      <c r="BE2120">
        <v>591</v>
      </c>
      <c r="BF2120">
        <v>591</v>
      </c>
      <c r="BG2120">
        <v>733</v>
      </c>
      <c r="BJ2120">
        <v>1</v>
      </c>
      <c r="BL2120" t="s">
        <v>4420</v>
      </c>
      <c r="BM2120" s="4">
        <v>43283.261805555558</v>
      </c>
      <c r="BN2120" s="4">
        <v>43283.32403935185</v>
      </c>
      <c r="BO2120" s="4">
        <v>43283.32403935185</v>
      </c>
      <c r="BP2120" t="s">
        <v>92</v>
      </c>
      <c r="BQ2120" t="s">
        <v>93</v>
      </c>
      <c r="BR2120" t="s">
        <v>94</v>
      </c>
    </row>
    <row r="2121" spans="1:70" x14ac:dyDescent="0.3">
      <c r="A2121" t="str">
        <f>"201455C0100"</f>
        <v>201455C0100</v>
      </c>
      <c r="B2121" t="s">
        <v>4421</v>
      </c>
      <c r="C2121">
        <v>20</v>
      </c>
      <c r="D2121" t="s">
        <v>88</v>
      </c>
      <c r="E2121">
        <v>300</v>
      </c>
      <c r="F2121" t="s">
        <v>4415</v>
      </c>
      <c r="G2121">
        <v>1455</v>
      </c>
      <c r="H2121">
        <v>1</v>
      </c>
      <c r="I2121" t="s">
        <v>98</v>
      </c>
      <c r="J2121">
        <v>0</v>
      </c>
      <c r="K2121">
        <v>1</v>
      </c>
      <c r="L2121">
        <v>5</v>
      </c>
      <c r="M2121">
        <v>184</v>
      </c>
      <c r="N2121">
        <v>0</v>
      </c>
      <c r="O2121">
        <v>0</v>
      </c>
      <c r="P2121">
        <v>0</v>
      </c>
      <c r="Q2121">
        <v>2</v>
      </c>
      <c r="R2121">
        <v>7</v>
      </c>
      <c r="S2121">
        <v>241</v>
      </c>
      <c r="U2121">
        <v>3</v>
      </c>
      <c r="V2121">
        <v>1</v>
      </c>
      <c r="X2121">
        <v>272</v>
      </c>
      <c r="Y2121">
        <v>23</v>
      </c>
      <c r="Z2121">
        <v>0</v>
      </c>
      <c r="AC2121">
        <v>1</v>
      </c>
      <c r="AD2121">
        <v>0</v>
      </c>
      <c r="AE2121">
        <v>0</v>
      </c>
      <c r="AF2121">
        <v>1</v>
      </c>
      <c r="AK2121">
        <v>0</v>
      </c>
      <c r="AL2121">
        <v>0</v>
      </c>
      <c r="AM2121">
        <v>0</v>
      </c>
      <c r="AN2121">
        <v>0</v>
      </c>
      <c r="BC2121">
        <v>0</v>
      </c>
      <c r="BD2121">
        <v>20</v>
      </c>
      <c r="BE2121">
        <v>571</v>
      </c>
      <c r="BF2121">
        <v>571</v>
      </c>
      <c r="BG2121">
        <v>733</v>
      </c>
      <c r="BJ2121">
        <v>1</v>
      </c>
      <c r="BL2121" t="s">
        <v>4422</v>
      </c>
      <c r="BM2121" s="4">
        <v>43283.260416666664</v>
      </c>
      <c r="BN2121" s="4">
        <v>43283.320243055554</v>
      </c>
      <c r="BO2121" s="4">
        <v>43283.320243055554</v>
      </c>
      <c r="BP2121" t="s">
        <v>92</v>
      </c>
      <c r="BQ2121" t="s">
        <v>93</v>
      </c>
      <c r="BR2121" t="s">
        <v>94</v>
      </c>
    </row>
    <row r="2122" spans="1:70" x14ac:dyDescent="0.3">
      <c r="A2122" t="str">
        <f>"201456B0100"</f>
        <v>201456B0100</v>
      </c>
      <c r="B2122" t="s">
        <v>4423</v>
      </c>
      <c r="C2122">
        <v>20</v>
      </c>
      <c r="D2122" t="s">
        <v>88</v>
      </c>
      <c r="E2122">
        <v>300</v>
      </c>
      <c r="F2122" t="s">
        <v>4415</v>
      </c>
      <c r="G2122">
        <v>1456</v>
      </c>
      <c r="H2122">
        <v>1</v>
      </c>
      <c r="I2122" t="s">
        <v>90</v>
      </c>
      <c r="J2122">
        <v>0</v>
      </c>
      <c r="K2122">
        <v>2</v>
      </c>
      <c r="L2122">
        <v>5</v>
      </c>
      <c r="M2122">
        <v>71</v>
      </c>
      <c r="N2122">
        <v>6</v>
      </c>
      <c r="O2122">
        <v>6</v>
      </c>
      <c r="P2122">
        <v>260</v>
      </c>
      <c r="Q2122">
        <v>1</v>
      </c>
      <c r="R2122">
        <v>1</v>
      </c>
      <c r="S2122">
        <v>130</v>
      </c>
      <c r="U2122">
        <v>1</v>
      </c>
      <c r="V2122">
        <v>3</v>
      </c>
      <c r="X2122">
        <v>92</v>
      </c>
      <c r="Y2122">
        <v>23</v>
      </c>
      <c r="Z2122">
        <v>0</v>
      </c>
      <c r="AC2122">
        <v>0</v>
      </c>
      <c r="AD2122">
        <v>0</v>
      </c>
      <c r="AE2122">
        <v>0</v>
      </c>
      <c r="AF2122">
        <v>0</v>
      </c>
      <c r="AK2122">
        <v>0</v>
      </c>
      <c r="AL2122">
        <v>0</v>
      </c>
      <c r="AM2122">
        <v>0</v>
      </c>
      <c r="AN2122">
        <v>0</v>
      </c>
      <c r="BC2122">
        <v>0</v>
      </c>
      <c r="BD2122">
        <v>9</v>
      </c>
      <c r="BE2122">
        <v>260</v>
      </c>
      <c r="BF2122">
        <v>260</v>
      </c>
      <c r="BG2122">
        <v>309</v>
      </c>
      <c r="BJ2122">
        <v>1</v>
      </c>
      <c r="BL2122" t="s">
        <v>4424</v>
      </c>
      <c r="BM2122" s="4">
        <v>43283.263194444444</v>
      </c>
      <c r="BN2122" s="4">
        <v>43283.289004629631</v>
      </c>
      <c r="BO2122" s="4">
        <v>43283.289004629631</v>
      </c>
      <c r="BP2122" t="s">
        <v>92</v>
      </c>
      <c r="BQ2122" t="s">
        <v>93</v>
      </c>
      <c r="BR2122" t="s">
        <v>94</v>
      </c>
    </row>
    <row r="2123" spans="1:70" x14ac:dyDescent="0.3">
      <c r="A2123" t="str">
        <f>"201457B0100"</f>
        <v>201457B0100</v>
      </c>
      <c r="B2123" t="s">
        <v>4425</v>
      </c>
      <c r="C2123">
        <v>20</v>
      </c>
      <c r="D2123" t="s">
        <v>88</v>
      </c>
      <c r="E2123">
        <v>300</v>
      </c>
      <c r="F2123" t="s">
        <v>4415</v>
      </c>
      <c r="G2123">
        <v>1457</v>
      </c>
      <c r="H2123">
        <v>1</v>
      </c>
      <c r="I2123" t="s">
        <v>90</v>
      </c>
      <c r="J2123">
        <v>0</v>
      </c>
      <c r="K2123">
        <v>2</v>
      </c>
      <c r="L2123">
        <v>5</v>
      </c>
      <c r="M2123">
        <v>51</v>
      </c>
      <c r="N2123">
        <v>198</v>
      </c>
      <c r="O2123">
        <v>0</v>
      </c>
      <c r="P2123">
        <v>198</v>
      </c>
      <c r="Q2123" t="s">
        <v>105</v>
      </c>
      <c r="R2123">
        <v>1</v>
      </c>
      <c r="S2123">
        <v>112</v>
      </c>
      <c r="U2123">
        <v>0</v>
      </c>
      <c r="V2123">
        <v>0</v>
      </c>
      <c r="X2123">
        <v>73</v>
      </c>
      <c r="Y2123">
        <v>9</v>
      </c>
      <c r="Z2123">
        <v>0</v>
      </c>
      <c r="AC2123">
        <v>0</v>
      </c>
      <c r="AD2123">
        <v>0</v>
      </c>
      <c r="AE2123">
        <v>0</v>
      </c>
      <c r="AF2123">
        <v>0</v>
      </c>
      <c r="AK2123">
        <v>0</v>
      </c>
      <c r="AL2123">
        <v>0</v>
      </c>
      <c r="AM2123">
        <v>0</v>
      </c>
      <c r="AN2123">
        <v>0</v>
      </c>
      <c r="BC2123">
        <v>0</v>
      </c>
      <c r="BD2123">
        <v>3</v>
      </c>
      <c r="BE2123">
        <v>198</v>
      </c>
      <c r="BF2123">
        <v>198</v>
      </c>
      <c r="BG2123">
        <v>227</v>
      </c>
      <c r="BI2123" t="s">
        <v>106</v>
      </c>
      <c r="BJ2123">
        <v>1</v>
      </c>
      <c r="BL2123" t="s">
        <v>4426</v>
      </c>
      <c r="BM2123" s="4">
        <v>43283.259722222225</v>
      </c>
      <c r="BN2123" s="4">
        <v>43283.299780092595</v>
      </c>
      <c r="BO2123" s="4">
        <v>43283.299780092595</v>
      </c>
      <c r="BP2123" t="s">
        <v>92</v>
      </c>
      <c r="BQ2123" t="s">
        <v>93</v>
      </c>
      <c r="BR2123" t="s">
        <v>94</v>
      </c>
    </row>
    <row r="2124" spans="1:70" x14ac:dyDescent="0.3">
      <c r="A2124" t="str">
        <f>"201461B0100"</f>
        <v>201461B0100</v>
      </c>
      <c r="B2124" t="s">
        <v>4427</v>
      </c>
      <c r="C2124">
        <v>20</v>
      </c>
      <c r="D2124" t="s">
        <v>88</v>
      </c>
      <c r="E2124">
        <v>303</v>
      </c>
      <c r="F2124" t="s">
        <v>4428</v>
      </c>
      <c r="G2124">
        <v>1461</v>
      </c>
      <c r="H2124">
        <v>1</v>
      </c>
      <c r="I2124" t="s">
        <v>90</v>
      </c>
      <c r="J2124">
        <v>0</v>
      </c>
      <c r="K2124">
        <v>2</v>
      </c>
      <c r="L2124">
        <v>5</v>
      </c>
      <c r="M2124">
        <v>195</v>
      </c>
      <c r="N2124">
        <v>502</v>
      </c>
      <c r="O2124">
        <v>2</v>
      </c>
      <c r="P2124">
        <v>502</v>
      </c>
      <c r="Q2124">
        <v>1</v>
      </c>
      <c r="R2124">
        <v>45</v>
      </c>
      <c r="S2124">
        <v>188</v>
      </c>
      <c r="T2124">
        <v>3</v>
      </c>
      <c r="U2124">
        <v>7</v>
      </c>
      <c r="V2124">
        <v>0</v>
      </c>
      <c r="W2124">
        <v>58</v>
      </c>
      <c r="X2124">
        <v>0</v>
      </c>
      <c r="Y2124">
        <v>187</v>
      </c>
      <c r="Z2124">
        <v>2</v>
      </c>
      <c r="AC2124">
        <v>0</v>
      </c>
      <c r="AD2124">
        <v>0</v>
      </c>
      <c r="AE2124">
        <v>0</v>
      </c>
      <c r="AF2124">
        <v>0</v>
      </c>
      <c r="AG2124">
        <v>0</v>
      </c>
      <c r="AH2124">
        <v>0</v>
      </c>
      <c r="AI2124">
        <v>0</v>
      </c>
      <c r="AJ2124">
        <v>0</v>
      </c>
      <c r="AK2124">
        <v>0</v>
      </c>
      <c r="AL2124">
        <v>0</v>
      </c>
      <c r="AM2124">
        <v>0</v>
      </c>
      <c r="AN2124">
        <v>0</v>
      </c>
      <c r="BC2124">
        <v>0</v>
      </c>
      <c r="BD2124">
        <v>11</v>
      </c>
      <c r="BE2124">
        <v>11</v>
      </c>
      <c r="BF2124">
        <v>502</v>
      </c>
      <c r="BG2124">
        <v>674</v>
      </c>
      <c r="BJ2124">
        <v>1</v>
      </c>
      <c r="BL2124" t="s">
        <v>4429</v>
      </c>
      <c r="BM2124" s="4">
        <v>43283.209722222222</v>
      </c>
      <c r="BN2124" s="4">
        <v>43283.23170138889</v>
      </c>
      <c r="BO2124" s="4">
        <v>43283.23170138889</v>
      </c>
      <c r="BP2124" t="s">
        <v>92</v>
      </c>
      <c r="BQ2124" t="s">
        <v>93</v>
      </c>
      <c r="BR2124" t="s">
        <v>94</v>
      </c>
    </row>
    <row r="2125" spans="1:70" x14ac:dyDescent="0.3">
      <c r="A2125" t="str">
        <f>"201461C0100"</f>
        <v>201461C0100</v>
      </c>
      <c r="B2125" t="s">
        <v>4430</v>
      </c>
      <c r="C2125">
        <v>20</v>
      </c>
      <c r="D2125" t="s">
        <v>88</v>
      </c>
      <c r="E2125">
        <v>303</v>
      </c>
      <c r="F2125" t="s">
        <v>4428</v>
      </c>
      <c r="G2125">
        <v>1461</v>
      </c>
      <c r="H2125">
        <v>1</v>
      </c>
      <c r="I2125" t="s">
        <v>98</v>
      </c>
      <c r="J2125">
        <v>0</v>
      </c>
      <c r="K2125">
        <v>2</v>
      </c>
      <c r="L2125">
        <v>5</v>
      </c>
      <c r="M2125">
        <v>161</v>
      </c>
      <c r="N2125" t="s">
        <v>105</v>
      </c>
      <c r="O2125" t="s">
        <v>105</v>
      </c>
      <c r="P2125" t="s">
        <v>105</v>
      </c>
      <c r="Q2125">
        <v>2</v>
      </c>
      <c r="R2125">
        <v>64</v>
      </c>
      <c r="S2125">
        <v>213</v>
      </c>
      <c r="T2125">
        <v>0</v>
      </c>
      <c r="U2125">
        <v>6</v>
      </c>
      <c r="V2125">
        <v>1</v>
      </c>
      <c r="W2125">
        <v>90</v>
      </c>
      <c r="X2125">
        <v>0</v>
      </c>
      <c r="Y2125">
        <v>138</v>
      </c>
      <c r="Z2125">
        <v>1</v>
      </c>
      <c r="AC2125">
        <v>2</v>
      </c>
      <c r="AD2125">
        <v>2</v>
      </c>
      <c r="AE2125">
        <v>0</v>
      </c>
      <c r="AF2125">
        <v>0</v>
      </c>
      <c r="AG2125">
        <v>0</v>
      </c>
      <c r="AH2125">
        <v>0</v>
      </c>
      <c r="AI2125">
        <v>0</v>
      </c>
      <c r="AJ2125">
        <v>0</v>
      </c>
      <c r="AK2125">
        <v>3</v>
      </c>
      <c r="AL2125">
        <v>0</v>
      </c>
      <c r="AM2125">
        <v>0</v>
      </c>
      <c r="AN2125">
        <v>0</v>
      </c>
      <c r="BC2125" t="s">
        <v>105</v>
      </c>
      <c r="BD2125">
        <v>13</v>
      </c>
      <c r="BE2125">
        <v>533</v>
      </c>
      <c r="BF2125">
        <v>535</v>
      </c>
      <c r="BG2125">
        <v>674</v>
      </c>
      <c r="BI2125" t="s">
        <v>106</v>
      </c>
      <c r="BJ2125">
        <v>1</v>
      </c>
      <c r="BL2125" t="s">
        <v>4431</v>
      </c>
      <c r="BM2125" s="4">
        <v>43283.212500000001</v>
      </c>
      <c r="BN2125" s="4">
        <v>43283.235833333332</v>
      </c>
      <c r="BO2125" s="4">
        <v>43283.235833333332</v>
      </c>
      <c r="BP2125" t="s">
        <v>92</v>
      </c>
      <c r="BQ2125" t="s">
        <v>93</v>
      </c>
      <c r="BR2125" t="s">
        <v>94</v>
      </c>
    </row>
    <row r="2126" spans="1:70" x14ac:dyDescent="0.3">
      <c r="A2126" t="str">
        <f>"201461C0200"</f>
        <v>201461C0200</v>
      </c>
      <c r="B2126" t="s">
        <v>4432</v>
      </c>
      <c r="C2126">
        <v>20</v>
      </c>
      <c r="D2126" t="s">
        <v>88</v>
      </c>
      <c r="E2126">
        <v>303</v>
      </c>
      <c r="F2126" t="s">
        <v>4428</v>
      </c>
      <c r="G2126">
        <v>1461</v>
      </c>
      <c r="H2126">
        <v>2</v>
      </c>
      <c r="I2126" t="s">
        <v>98</v>
      </c>
      <c r="J2126">
        <v>0</v>
      </c>
      <c r="K2126">
        <v>2</v>
      </c>
      <c r="L2126">
        <v>5</v>
      </c>
      <c r="BG2126">
        <v>674</v>
      </c>
      <c r="BI2126" t="s">
        <v>365</v>
      </c>
      <c r="BJ2126">
        <v>0</v>
      </c>
      <c r="BL2126" t="s">
        <v>4433</v>
      </c>
      <c r="BM2126" s="4">
        <v>43283.40625</v>
      </c>
      <c r="BN2126" s="4">
        <v>43283.413287037038</v>
      </c>
      <c r="BO2126" s="4">
        <v>43283.413287037038</v>
      </c>
      <c r="BP2126" t="s">
        <v>92</v>
      </c>
      <c r="BQ2126" t="s">
        <v>93</v>
      </c>
      <c r="BR2126" t="s">
        <v>94</v>
      </c>
    </row>
    <row r="2127" spans="1:70" x14ac:dyDescent="0.3">
      <c r="A2127" t="str">
        <f>"201462B0100"</f>
        <v>201462B0100</v>
      </c>
      <c r="B2127" t="s">
        <v>4434</v>
      </c>
      <c r="C2127">
        <v>20</v>
      </c>
      <c r="D2127" t="s">
        <v>88</v>
      </c>
      <c r="E2127">
        <v>303</v>
      </c>
      <c r="F2127" t="s">
        <v>4428</v>
      </c>
      <c r="G2127">
        <v>1462</v>
      </c>
      <c r="H2127">
        <v>1</v>
      </c>
      <c r="I2127" t="s">
        <v>90</v>
      </c>
      <c r="J2127">
        <v>0</v>
      </c>
      <c r="K2127">
        <v>1</v>
      </c>
      <c r="L2127">
        <v>5</v>
      </c>
      <c r="M2127">
        <v>196</v>
      </c>
      <c r="N2127">
        <v>569</v>
      </c>
      <c r="O2127" t="s">
        <v>105</v>
      </c>
      <c r="P2127">
        <v>569</v>
      </c>
      <c r="Q2127">
        <v>1</v>
      </c>
      <c r="R2127">
        <v>108</v>
      </c>
      <c r="S2127">
        <v>117</v>
      </c>
      <c r="T2127">
        <v>0</v>
      </c>
      <c r="U2127">
        <v>9</v>
      </c>
      <c r="V2127">
        <v>2</v>
      </c>
      <c r="W2127">
        <v>80</v>
      </c>
      <c r="X2127">
        <v>1</v>
      </c>
      <c r="Y2127">
        <v>230</v>
      </c>
      <c r="Z2127">
        <v>3</v>
      </c>
      <c r="AC2127">
        <v>0</v>
      </c>
      <c r="AD2127">
        <v>0</v>
      </c>
      <c r="AE2127">
        <v>0</v>
      </c>
      <c r="AF2127">
        <v>0</v>
      </c>
      <c r="AG2127">
        <v>0</v>
      </c>
      <c r="AH2127">
        <v>2</v>
      </c>
      <c r="AI2127">
        <v>0</v>
      </c>
      <c r="AJ2127">
        <v>0</v>
      </c>
      <c r="AK2127">
        <v>0</v>
      </c>
      <c r="AL2127">
        <v>0</v>
      </c>
      <c r="AM2127">
        <v>0</v>
      </c>
      <c r="AN2127">
        <v>2</v>
      </c>
      <c r="BC2127">
        <v>0</v>
      </c>
      <c r="BD2127">
        <v>11</v>
      </c>
      <c r="BE2127">
        <v>566</v>
      </c>
      <c r="BF2127">
        <v>566</v>
      </c>
      <c r="BG2127">
        <v>742</v>
      </c>
      <c r="BJ2127">
        <v>1</v>
      </c>
      <c r="BL2127" t="s">
        <v>4435</v>
      </c>
      <c r="BM2127" s="4">
        <v>43283.207638888889</v>
      </c>
      <c r="BN2127" s="4">
        <v>43283.243460648147</v>
      </c>
      <c r="BO2127" s="4">
        <v>43283.243460648147</v>
      </c>
      <c r="BP2127" t="s">
        <v>92</v>
      </c>
      <c r="BQ2127" t="s">
        <v>93</v>
      </c>
      <c r="BR2127" t="s">
        <v>94</v>
      </c>
    </row>
    <row r="2128" spans="1:70" x14ac:dyDescent="0.3">
      <c r="A2128" t="str">
        <f>"201462C0100"</f>
        <v>201462C0100</v>
      </c>
      <c r="B2128" t="s">
        <v>4436</v>
      </c>
      <c r="C2128">
        <v>20</v>
      </c>
      <c r="D2128" t="s">
        <v>88</v>
      </c>
      <c r="E2128">
        <v>303</v>
      </c>
      <c r="F2128" t="s">
        <v>4428</v>
      </c>
      <c r="G2128">
        <v>1462</v>
      </c>
      <c r="H2128">
        <v>1</v>
      </c>
      <c r="I2128" t="s">
        <v>98</v>
      </c>
      <c r="J2128">
        <v>0</v>
      </c>
      <c r="K2128">
        <v>1</v>
      </c>
      <c r="L2128">
        <v>5</v>
      </c>
      <c r="M2128">
        <v>182</v>
      </c>
      <c r="N2128">
        <v>582</v>
      </c>
      <c r="O2128">
        <v>1</v>
      </c>
      <c r="P2128">
        <v>582</v>
      </c>
      <c r="Q2128">
        <v>0</v>
      </c>
      <c r="R2128">
        <v>100</v>
      </c>
      <c r="S2128">
        <v>135</v>
      </c>
      <c r="T2128">
        <v>1</v>
      </c>
      <c r="U2128">
        <v>6</v>
      </c>
      <c r="V2128">
        <v>5</v>
      </c>
      <c r="W2128">
        <v>83</v>
      </c>
      <c r="X2128">
        <v>0</v>
      </c>
      <c r="Y2128">
        <v>235</v>
      </c>
      <c r="Z2128">
        <v>1</v>
      </c>
      <c r="AC2128">
        <v>0</v>
      </c>
      <c r="AD2128">
        <v>0</v>
      </c>
      <c r="AE2128">
        <v>0</v>
      </c>
      <c r="AF2128">
        <v>0</v>
      </c>
      <c r="AG2128">
        <v>0</v>
      </c>
      <c r="AH2128">
        <v>0</v>
      </c>
      <c r="AI2128">
        <v>1</v>
      </c>
      <c r="AJ2128">
        <v>0</v>
      </c>
      <c r="AK2128">
        <v>1</v>
      </c>
      <c r="AL2128">
        <v>0</v>
      </c>
      <c r="AM2128">
        <v>0</v>
      </c>
      <c r="AN2128">
        <v>1</v>
      </c>
      <c r="BC2128">
        <v>0</v>
      </c>
      <c r="BD2128">
        <v>13</v>
      </c>
      <c r="BE2128">
        <v>582</v>
      </c>
      <c r="BF2128">
        <v>582</v>
      </c>
      <c r="BG2128">
        <v>741</v>
      </c>
      <c r="BJ2128">
        <v>1</v>
      </c>
      <c r="BL2128" t="s">
        <v>4437</v>
      </c>
      <c r="BM2128" s="4">
        <v>43283.208333333336</v>
      </c>
      <c r="BN2128" s="4">
        <v>43283.232951388891</v>
      </c>
      <c r="BO2128" s="4">
        <v>43283.232951388891</v>
      </c>
      <c r="BP2128" t="s">
        <v>92</v>
      </c>
      <c r="BQ2128" t="s">
        <v>93</v>
      </c>
      <c r="BR2128" t="s">
        <v>94</v>
      </c>
    </row>
    <row r="2129" spans="1:70" x14ac:dyDescent="0.3">
      <c r="A2129" t="str">
        <f>"201465B0100"</f>
        <v>201465B0100</v>
      </c>
      <c r="B2129" t="s">
        <v>4438</v>
      </c>
      <c r="C2129">
        <v>20</v>
      </c>
      <c r="D2129" t="s">
        <v>88</v>
      </c>
      <c r="E2129">
        <v>305</v>
      </c>
      <c r="F2129" t="s">
        <v>4439</v>
      </c>
      <c r="G2129">
        <v>1465</v>
      </c>
      <c r="H2129">
        <v>1</v>
      </c>
      <c r="I2129" t="s">
        <v>90</v>
      </c>
      <c r="J2129">
        <v>0</v>
      </c>
      <c r="K2129">
        <v>1</v>
      </c>
      <c r="L2129">
        <v>5</v>
      </c>
      <c r="M2129">
        <v>102</v>
      </c>
      <c r="N2129">
        <v>347</v>
      </c>
      <c r="O2129">
        <v>2</v>
      </c>
      <c r="P2129">
        <v>347</v>
      </c>
      <c r="Q2129">
        <v>1</v>
      </c>
      <c r="R2129">
        <v>37</v>
      </c>
      <c r="S2129">
        <v>6</v>
      </c>
      <c r="T2129">
        <v>9</v>
      </c>
      <c r="U2129">
        <v>2</v>
      </c>
      <c r="V2129">
        <v>1</v>
      </c>
      <c r="W2129">
        <v>206</v>
      </c>
      <c r="X2129">
        <v>0</v>
      </c>
      <c r="Y2129">
        <v>60</v>
      </c>
      <c r="Z2129">
        <v>1</v>
      </c>
      <c r="AA2129">
        <v>6</v>
      </c>
      <c r="AB2129">
        <v>1</v>
      </c>
      <c r="AC2129">
        <v>0</v>
      </c>
      <c r="AD2129">
        <v>0</v>
      </c>
      <c r="AE2129">
        <v>0</v>
      </c>
      <c r="AF2129">
        <v>0</v>
      </c>
      <c r="AG2129">
        <v>0</v>
      </c>
      <c r="AH2129">
        <v>4</v>
      </c>
      <c r="AI2129">
        <v>0</v>
      </c>
      <c r="AJ2129">
        <v>0</v>
      </c>
      <c r="AK2129">
        <v>3</v>
      </c>
      <c r="AL2129">
        <v>1</v>
      </c>
      <c r="AM2129">
        <v>1</v>
      </c>
      <c r="AN2129">
        <v>0</v>
      </c>
      <c r="BC2129">
        <v>0</v>
      </c>
      <c r="BD2129">
        <v>8</v>
      </c>
      <c r="BE2129">
        <v>347</v>
      </c>
      <c r="BF2129">
        <v>347</v>
      </c>
      <c r="BG2129">
        <v>427</v>
      </c>
      <c r="BJ2129">
        <v>1</v>
      </c>
      <c r="BL2129" t="s">
        <v>4440</v>
      </c>
      <c r="BM2129" s="4">
        <v>43283.070833333331</v>
      </c>
      <c r="BN2129" s="4">
        <v>43283.077025462961</v>
      </c>
      <c r="BO2129" s="4">
        <v>43283.077025462961</v>
      </c>
      <c r="BP2129" t="s">
        <v>92</v>
      </c>
      <c r="BQ2129" t="s">
        <v>93</v>
      </c>
      <c r="BR2129" t="s">
        <v>94</v>
      </c>
    </row>
    <row r="2130" spans="1:70" x14ac:dyDescent="0.3">
      <c r="A2130" t="str">
        <f>"201465C0100"</f>
        <v>201465C0100</v>
      </c>
      <c r="B2130" t="s">
        <v>4441</v>
      </c>
      <c r="C2130">
        <v>20</v>
      </c>
      <c r="D2130" t="s">
        <v>88</v>
      </c>
      <c r="E2130">
        <v>305</v>
      </c>
      <c r="F2130" t="s">
        <v>4439</v>
      </c>
      <c r="G2130">
        <v>1465</v>
      </c>
      <c r="H2130">
        <v>1</v>
      </c>
      <c r="I2130" t="s">
        <v>98</v>
      </c>
      <c r="J2130">
        <v>0</v>
      </c>
      <c r="K2130">
        <v>1</v>
      </c>
      <c r="L2130">
        <v>5</v>
      </c>
      <c r="M2130">
        <v>120</v>
      </c>
      <c r="N2130">
        <v>329</v>
      </c>
      <c r="O2130">
        <v>0</v>
      </c>
      <c r="P2130">
        <v>329</v>
      </c>
      <c r="Q2130">
        <v>2</v>
      </c>
      <c r="R2130">
        <v>51</v>
      </c>
      <c r="S2130">
        <v>5</v>
      </c>
      <c r="T2130">
        <v>8</v>
      </c>
      <c r="U2130">
        <v>2</v>
      </c>
      <c r="V2130">
        <v>3</v>
      </c>
      <c r="W2130">
        <v>178</v>
      </c>
      <c r="X2130">
        <v>3</v>
      </c>
      <c r="Y2130">
        <v>55</v>
      </c>
      <c r="Z2130">
        <v>2</v>
      </c>
      <c r="AA2130">
        <v>7</v>
      </c>
      <c r="AB2130">
        <v>0</v>
      </c>
      <c r="AC2130">
        <v>0</v>
      </c>
      <c r="AD2130">
        <v>0</v>
      </c>
      <c r="AE2130">
        <v>0</v>
      </c>
      <c r="AF2130">
        <v>0</v>
      </c>
      <c r="AG2130">
        <v>1</v>
      </c>
      <c r="AH2130">
        <v>0</v>
      </c>
      <c r="AI2130">
        <v>0</v>
      </c>
      <c r="AJ2130">
        <v>0</v>
      </c>
      <c r="AK2130">
        <v>1</v>
      </c>
      <c r="AL2130">
        <v>0</v>
      </c>
      <c r="AM2130">
        <v>0</v>
      </c>
      <c r="AN2130">
        <v>1</v>
      </c>
      <c r="BC2130" t="s">
        <v>105</v>
      </c>
      <c r="BD2130">
        <v>10</v>
      </c>
      <c r="BE2130">
        <v>329</v>
      </c>
      <c r="BF2130">
        <v>329</v>
      </c>
      <c r="BG2130">
        <v>427</v>
      </c>
      <c r="BI2130" t="s">
        <v>106</v>
      </c>
      <c r="BJ2130">
        <v>1</v>
      </c>
      <c r="BL2130" t="s">
        <v>4442</v>
      </c>
      <c r="BM2130" s="4">
        <v>43283.060416666667</v>
      </c>
      <c r="BN2130" s="4">
        <v>43283.07644675926</v>
      </c>
      <c r="BO2130" s="4">
        <v>43283.07644675926</v>
      </c>
      <c r="BP2130" t="s">
        <v>92</v>
      </c>
      <c r="BQ2130" t="s">
        <v>93</v>
      </c>
      <c r="BR2130" t="s">
        <v>94</v>
      </c>
    </row>
    <row r="2131" spans="1:70" x14ac:dyDescent="0.3">
      <c r="A2131" t="str">
        <f>"201466B0100"</f>
        <v>201466B0100</v>
      </c>
      <c r="B2131" t="s">
        <v>4443</v>
      </c>
      <c r="C2131">
        <v>20</v>
      </c>
      <c r="D2131" t="s">
        <v>88</v>
      </c>
      <c r="E2131">
        <v>305</v>
      </c>
      <c r="F2131" t="s">
        <v>4439</v>
      </c>
      <c r="G2131">
        <v>1466</v>
      </c>
      <c r="H2131">
        <v>1</v>
      </c>
      <c r="I2131" t="s">
        <v>90</v>
      </c>
      <c r="J2131">
        <v>0</v>
      </c>
      <c r="K2131">
        <v>2</v>
      </c>
      <c r="L2131">
        <v>5</v>
      </c>
      <c r="M2131">
        <v>124</v>
      </c>
      <c r="N2131">
        <v>379</v>
      </c>
      <c r="O2131">
        <v>2</v>
      </c>
      <c r="P2131" t="s">
        <v>105</v>
      </c>
      <c r="Q2131">
        <v>0</v>
      </c>
      <c r="R2131">
        <v>50</v>
      </c>
      <c r="S2131">
        <v>5</v>
      </c>
      <c r="T2131">
        <v>6</v>
      </c>
      <c r="U2131">
        <v>7</v>
      </c>
      <c r="V2131">
        <v>2</v>
      </c>
      <c r="W2131">
        <v>226</v>
      </c>
      <c r="X2131">
        <v>6</v>
      </c>
      <c r="Y2131">
        <v>49</v>
      </c>
      <c r="Z2131">
        <v>3</v>
      </c>
      <c r="AA2131">
        <v>3</v>
      </c>
      <c r="AB2131">
        <v>1</v>
      </c>
      <c r="AC2131" t="s">
        <v>105</v>
      </c>
      <c r="AD2131" t="s">
        <v>105</v>
      </c>
      <c r="AE2131" t="s">
        <v>105</v>
      </c>
      <c r="AF2131" t="s">
        <v>105</v>
      </c>
      <c r="AG2131" t="s">
        <v>105</v>
      </c>
      <c r="AH2131" t="s">
        <v>105</v>
      </c>
      <c r="AI2131" t="s">
        <v>105</v>
      </c>
      <c r="AJ2131" t="s">
        <v>105</v>
      </c>
      <c r="AK2131" t="s">
        <v>105</v>
      </c>
      <c r="AL2131" t="s">
        <v>105</v>
      </c>
      <c r="AM2131" t="s">
        <v>105</v>
      </c>
      <c r="AN2131" t="s">
        <v>105</v>
      </c>
      <c r="BC2131" t="s">
        <v>105</v>
      </c>
      <c r="BD2131" t="s">
        <v>105</v>
      </c>
      <c r="BE2131" t="s">
        <v>105</v>
      </c>
      <c r="BF2131">
        <v>358</v>
      </c>
      <c r="BG2131">
        <v>473</v>
      </c>
      <c r="BI2131" t="s">
        <v>106</v>
      </c>
      <c r="BJ2131">
        <v>1</v>
      </c>
      <c r="BL2131" t="s">
        <v>4444</v>
      </c>
      <c r="BM2131" s="4">
        <v>43283.104861111111</v>
      </c>
      <c r="BN2131" s="4">
        <v>43283.11173611111</v>
      </c>
      <c r="BO2131" s="4">
        <v>43283.11173611111</v>
      </c>
      <c r="BP2131" t="s">
        <v>92</v>
      </c>
      <c r="BQ2131" t="s">
        <v>93</v>
      </c>
      <c r="BR2131" t="s">
        <v>94</v>
      </c>
    </row>
    <row r="2132" spans="1:70" x14ac:dyDescent="0.3">
      <c r="A2132" t="str">
        <f>"201466C0100"</f>
        <v>201466C0100</v>
      </c>
      <c r="B2132" t="s">
        <v>4445</v>
      </c>
      <c r="C2132">
        <v>20</v>
      </c>
      <c r="D2132" t="s">
        <v>88</v>
      </c>
      <c r="E2132">
        <v>305</v>
      </c>
      <c r="F2132" t="s">
        <v>4439</v>
      </c>
      <c r="G2132">
        <v>1466</v>
      </c>
      <c r="H2132">
        <v>1</v>
      </c>
      <c r="I2132" t="s">
        <v>98</v>
      </c>
      <c r="J2132">
        <v>0</v>
      </c>
      <c r="K2132">
        <v>2</v>
      </c>
      <c r="L2132">
        <v>5</v>
      </c>
      <c r="M2132">
        <v>120</v>
      </c>
      <c r="N2132">
        <v>374</v>
      </c>
      <c r="O2132">
        <v>0</v>
      </c>
      <c r="P2132">
        <v>374</v>
      </c>
      <c r="Q2132">
        <v>4</v>
      </c>
      <c r="R2132">
        <v>44</v>
      </c>
      <c r="S2132">
        <v>8</v>
      </c>
      <c r="T2132">
        <v>2</v>
      </c>
      <c r="U2132">
        <v>6</v>
      </c>
      <c r="V2132">
        <v>1</v>
      </c>
      <c r="W2132">
        <v>215</v>
      </c>
      <c r="X2132">
        <v>3</v>
      </c>
      <c r="Y2132">
        <v>61</v>
      </c>
      <c r="Z2132">
        <v>2</v>
      </c>
      <c r="AA2132">
        <v>4</v>
      </c>
      <c r="AB2132">
        <v>2</v>
      </c>
      <c r="AC2132">
        <v>0</v>
      </c>
      <c r="AD2132">
        <v>0</v>
      </c>
      <c r="AE2132">
        <v>0</v>
      </c>
      <c r="AF2132">
        <v>0</v>
      </c>
      <c r="AG2132">
        <v>3</v>
      </c>
      <c r="AH2132">
        <v>5</v>
      </c>
      <c r="AI2132">
        <v>0</v>
      </c>
      <c r="AJ2132">
        <v>0</v>
      </c>
      <c r="AK2132">
        <v>1</v>
      </c>
      <c r="AL2132">
        <v>0</v>
      </c>
      <c r="AM2132">
        <v>1</v>
      </c>
      <c r="AN2132">
        <v>1</v>
      </c>
      <c r="BC2132">
        <v>0</v>
      </c>
      <c r="BD2132">
        <v>11</v>
      </c>
      <c r="BE2132">
        <v>374</v>
      </c>
      <c r="BF2132">
        <v>374</v>
      </c>
      <c r="BG2132">
        <v>472</v>
      </c>
      <c r="BJ2132">
        <v>1</v>
      </c>
      <c r="BL2132" t="s">
        <v>4446</v>
      </c>
      <c r="BM2132" s="4">
        <v>43283.11041666667</v>
      </c>
      <c r="BN2132" s="4">
        <v>43283.117175925923</v>
      </c>
      <c r="BO2132" s="4">
        <v>43283.117175925923</v>
      </c>
      <c r="BP2132" t="s">
        <v>92</v>
      </c>
      <c r="BQ2132" t="s">
        <v>93</v>
      </c>
      <c r="BR2132" t="s">
        <v>94</v>
      </c>
    </row>
    <row r="2133" spans="1:70" x14ac:dyDescent="0.3">
      <c r="A2133" t="str">
        <f>"201467B0100"</f>
        <v>201467B0100</v>
      </c>
      <c r="B2133" t="s">
        <v>4447</v>
      </c>
      <c r="C2133">
        <v>20</v>
      </c>
      <c r="D2133" t="s">
        <v>88</v>
      </c>
      <c r="E2133">
        <v>305</v>
      </c>
      <c r="F2133" t="s">
        <v>4439</v>
      </c>
      <c r="G2133">
        <v>1467</v>
      </c>
      <c r="H2133">
        <v>1</v>
      </c>
      <c r="I2133" t="s">
        <v>90</v>
      </c>
      <c r="J2133">
        <v>0</v>
      </c>
      <c r="K2133">
        <v>2</v>
      </c>
      <c r="L2133">
        <v>5</v>
      </c>
      <c r="M2133">
        <v>56</v>
      </c>
      <c r="N2133">
        <v>147</v>
      </c>
      <c r="O2133">
        <v>3</v>
      </c>
      <c r="P2133">
        <v>147</v>
      </c>
      <c r="Q2133" t="s">
        <v>127</v>
      </c>
      <c r="R2133">
        <v>25</v>
      </c>
      <c r="S2133" t="s">
        <v>105</v>
      </c>
      <c r="T2133">
        <v>1</v>
      </c>
      <c r="U2133" t="s">
        <v>105</v>
      </c>
      <c r="V2133">
        <v>1</v>
      </c>
      <c r="W2133">
        <v>67</v>
      </c>
      <c r="X2133">
        <v>4</v>
      </c>
      <c r="Y2133">
        <v>36</v>
      </c>
      <c r="Z2133">
        <v>1</v>
      </c>
      <c r="AA2133">
        <v>0</v>
      </c>
      <c r="AB2133">
        <v>4</v>
      </c>
      <c r="AC2133" t="s">
        <v>105</v>
      </c>
      <c r="AD2133" t="s">
        <v>105</v>
      </c>
      <c r="AE2133" t="s">
        <v>105</v>
      </c>
      <c r="AF2133" t="s">
        <v>105</v>
      </c>
      <c r="AG2133">
        <v>3</v>
      </c>
      <c r="AH2133">
        <v>2</v>
      </c>
      <c r="AI2133" t="s">
        <v>105</v>
      </c>
      <c r="AJ2133" t="s">
        <v>105</v>
      </c>
      <c r="AK2133">
        <v>2</v>
      </c>
      <c r="AL2133" t="s">
        <v>105</v>
      </c>
      <c r="AM2133" t="s">
        <v>105</v>
      </c>
      <c r="AN2133" t="s">
        <v>105</v>
      </c>
      <c r="BC2133" t="s">
        <v>105</v>
      </c>
      <c r="BD2133">
        <v>1</v>
      </c>
      <c r="BE2133">
        <v>147</v>
      </c>
      <c r="BF2133">
        <v>147</v>
      </c>
      <c r="BG2133">
        <v>181</v>
      </c>
      <c r="BI2133" t="s">
        <v>106</v>
      </c>
      <c r="BJ2133">
        <v>1</v>
      </c>
      <c r="BL2133" t="s">
        <v>4448</v>
      </c>
      <c r="BM2133" s="4">
        <v>43283.034722222219</v>
      </c>
      <c r="BN2133" s="4">
        <v>43283.047199074077</v>
      </c>
      <c r="BO2133" s="4">
        <v>43283.047199074077</v>
      </c>
      <c r="BP2133" t="s">
        <v>92</v>
      </c>
      <c r="BQ2133" t="s">
        <v>93</v>
      </c>
      <c r="BR2133" t="s">
        <v>94</v>
      </c>
    </row>
    <row r="2134" spans="1:70" x14ac:dyDescent="0.3">
      <c r="A2134" t="str">
        <f>"201468B0100"</f>
        <v>201468B0100</v>
      </c>
      <c r="B2134" t="s">
        <v>4449</v>
      </c>
      <c r="C2134">
        <v>20</v>
      </c>
      <c r="D2134" t="s">
        <v>88</v>
      </c>
      <c r="E2134">
        <v>305</v>
      </c>
      <c r="F2134" t="s">
        <v>4439</v>
      </c>
      <c r="G2134">
        <v>1468</v>
      </c>
      <c r="H2134">
        <v>1</v>
      </c>
      <c r="I2134" t="s">
        <v>90</v>
      </c>
      <c r="J2134">
        <v>0</v>
      </c>
      <c r="K2134">
        <v>2</v>
      </c>
      <c r="L2134">
        <v>5</v>
      </c>
      <c r="M2134">
        <v>193</v>
      </c>
      <c r="N2134">
        <v>397</v>
      </c>
      <c r="O2134">
        <v>2</v>
      </c>
      <c r="P2134">
        <v>397</v>
      </c>
      <c r="Q2134">
        <v>0</v>
      </c>
      <c r="R2134">
        <v>38</v>
      </c>
      <c r="S2134">
        <v>28</v>
      </c>
      <c r="T2134">
        <v>8</v>
      </c>
      <c r="U2134">
        <v>11</v>
      </c>
      <c r="V2134">
        <v>2</v>
      </c>
      <c r="W2134">
        <v>108</v>
      </c>
      <c r="X2134">
        <v>3</v>
      </c>
      <c r="Y2134">
        <v>119</v>
      </c>
      <c r="Z2134">
        <v>3</v>
      </c>
      <c r="AA2134">
        <v>13</v>
      </c>
      <c r="AB2134">
        <v>30</v>
      </c>
      <c r="AC2134">
        <v>1</v>
      </c>
      <c r="AD2134">
        <v>1</v>
      </c>
      <c r="AE2134">
        <v>0</v>
      </c>
      <c r="AF2134">
        <v>0</v>
      </c>
      <c r="AG2134">
        <v>0</v>
      </c>
      <c r="AH2134">
        <v>2</v>
      </c>
      <c r="AI2134">
        <v>0</v>
      </c>
      <c r="AJ2134">
        <v>0</v>
      </c>
      <c r="AK2134">
        <v>2</v>
      </c>
      <c r="AL2134">
        <v>2</v>
      </c>
      <c r="AM2134">
        <v>1</v>
      </c>
      <c r="AN2134">
        <v>0</v>
      </c>
      <c r="BC2134" t="s">
        <v>105</v>
      </c>
      <c r="BD2134">
        <v>24</v>
      </c>
      <c r="BE2134">
        <v>397</v>
      </c>
      <c r="BF2134">
        <v>396</v>
      </c>
      <c r="BG2134">
        <v>568</v>
      </c>
      <c r="BI2134" t="s">
        <v>106</v>
      </c>
      <c r="BJ2134">
        <v>1</v>
      </c>
      <c r="BL2134" t="s">
        <v>4450</v>
      </c>
      <c r="BM2134" s="4">
        <v>43283.121527777781</v>
      </c>
      <c r="BN2134" s="4">
        <v>43283.14744212963</v>
      </c>
      <c r="BO2134" s="4">
        <v>43283.14744212963</v>
      </c>
      <c r="BP2134" t="s">
        <v>92</v>
      </c>
      <c r="BQ2134" t="s">
        <v>93</v>
      </c>
      <c r="BR2134" t="s">
        <v>94</v>
      </c>
    </row>
    <row r="2135" spans="1:70" x14ac:dyDescent="0.3">
      <c r="A2135" t="str">
        <f>"201468C0100"</f>
        <v>201468C0100</v>
      </c>
      <c r="B2135" t="s">
        <v>4451</v>
      </c>
      <c r="C2135">
        <v>20</v>
      </c>
      <c r="D2135" t="s">
        <v>88</v>
      </c>
      <c r="E2135">
        <v>305</v>
      </c>
      <c r="F2135" t="s">
        <v>4439</v>
      </c>
      <c r="G2135">
        <v>1468</v>
      </c>
      <c r="H2135">
        <v>1</v>
      </c>
      <c r="I2135" t="s">
        <v>98</v>
      </c>
      <c r="J2135">
        <v>0</v>
      </c>
      <c r="K2135">
        <v>2</v>
      </c>
      <c r="L2135">
        <v>5</v>
      </c>
      <c r="M2135">
        <v>185</v>
      </c>
      <c r="N2135">
        <v>404</v>
      </c>
      <c r="O2135">
        <v>2</v>
      </c>
      <c r="P2135">
        <v>401</v>
      </c>
      <c r="Q2135">
        <v>8</v>
      </c>
      <c r="R2135">
        <v>34</v>
      </c>
      <c r="S2135">
        <v>50</v>
      </c>
      <c r="T2135">
        <v>10</v>
      </c>
      <c r="U2135">
        <v>4</v>
      </c>
      <c r="V2135">
        <v>6</v>
      </c>
      <c r="W2135">
        <v>83</v>
      </c>
      <c r="X2135">
        <v>2</v>
      </c>
      <c r="Y2135">
        <v>124</v>
      </c>
      <c r="Z2135">
        <v>2</v>
      </c>
      <c r="AA2135">
        <v>19</v>
      </c>
      <c r="AB2135">
        <v>39</v>
      </c>
      <c r="AC2135">
        <v>2</v>
      </c>
      <c r="AD2135">
        <v>0</v>
      </c>
      <c r="AE2135">
        <v>0</v>
      </c>
      <c r="AF2135">
        <v>0</v>
      </c>
      <c r="AG2135">
        <v>0</v>
      </c>
      <c r="AH2135">
        <v>0</v>
      </c>
      <c r="AI2135">
        <v>1</v>
      </c>
      <c r="AJ2135">
        <v>0</v>
      </c>
      <c r="AK2135">
        <v>1</v>
      </c>
      <c r="AL2135">
        <v>0</v>
      </c>
      <c r="AM2135">
        <v>0</v>
      </c>
      <c r="AN2135">
        <v>2</v>
      </c>
      <c r="BC2135">
        <v>0</v>
      </c>
      <c r="BD2135">
        <v>19</v>
      </c>
      <c r="BE2135">
        <v>406</v>
      </c>
      <c r="BF2135">
        <v>406</v>
      </c>
      <c r="BG2135">
        <v>567</v>
      </c>
      <c r="BJ2135">
        <v>1</v>
      </c>
      <c r="BL2135" t="s">
        <v>4452</v>
      </c>
      <c r="BM2135" s="4">
        <v>43283.124305555553</v>
      </c>
      <c r="BN2135" s="4">
        <v>43283.132152777776</v>
      </c>
      <c r="BO2135" s="4">
        <v>43283.132152777776</v>
      </c>
      <c r="BP2135" t="s">
        <v>92</v>
      </c>
      <c r="BQ2135" t="s">
        <v>93</v>
      </c>
      <c r="BR2135" t="s">
        <v>94</v>
      </c>
    </row>
    <row r="2136" spans="1:70" x14ac:dyDescent="0.3">
      <c r="A2136" t="str">
        <f>"201469B0100"</f>
        <v>201469B0100</v>
      </c>
      <c r="B2136" t="s">
        <v>4453</v>
      </c>
      <c r="C2136">
        <v>20</v>
      </c>
      <c r="D2136" t="s">
        <v>88</v>
      </c>
      <c r="E2136">
        <v>305</v>
      </c>
      <c r="F2136" t="s">
        <v>4439</v>
      </c>
      <c r="G2136">
        <v>1469</v>
      </c>
      <c r="H2136">
        <v>1</v>
      </c>
      <c r="I2136" t="s">
        <v>90</v>
      </c>
      <c r="J2136">
        <v>0</v>
      </c>
      <c r="K2136">
        <v>2</v>
      </c>
      <c r="L2136">
        <v>5</v>
      </c>
      <c r="M2136">
        <v>91</v>
      </c>
      <c r="N2136">
        <v>185</v>
      </c>
      <c r="O2136">
        <v>4</v>
      </c>
      <c r="P2136">
        <v>185</v>
      </c>
      <c r="Q2136">
        <v>1</v>
      </c>
      <c r="R2136">
        <v>29</v>
      </c>
      <c r="S2136">
        <v>16</v>
      </c>
      <c r="T2136">
        <v>6</v>
      </c>
      <c r="U2136">
        <v>8</v>
      </c>
      <c r="V2136">
        <v>0</v>
      </c>
      <c r="W2136">
        <v>26</v>
      </c>
      <c r="X2136">
        <v>3</v>
      </c>
      <c r="Y2136">
        <v>32</v>
      </c>
      <c r="Z2136">
        <v>0</v>
      </c>
      <c r="AA2136">
        <v>2</v>
      </c>
      <c r="AB2136">
        <v>42</v>
      </c>
      <c r="AC2136">
        <v>0</v>
      </c>
      <c r="AD2136">
        <v>1</v>
      </c>
      <c r="AE2136">
        <v>0</v>
      </c>
      <c r="AF2136">
        <v>0</v>
      </c>
      <c r="AG2136">
        <v>1</v>
      </c>
      <c r="AH2136">
        <v>0</v>
      </c>
      <c r="AI2136">
        <v>0</v>
      </c>
      <c r="AJ2136">
        <v>0</v>
      </c>
      <c r="AK2136">
        <v>2</v>
      </c>
      <c r="AL2136">
        <v>2</v>
      </c>
      <c r="AM2136">
        <v>0</v>
      </c>
      <c r="AN2136">
        <v>0</v>
      </c>
      <c r="BC2136">
        <v>0</v>
      </c>
      <c r="BD2136">
        <v>14</v>
      </c>
      <c r="BE2136">
        <v>185</v>
      </c>
      <c r="BF2136">
        <v>185</v>
      </c>
      <c r="BG2136">
        <v>254</v>
      </c>
      <c r="BJ2136">
        <v>1</v>
      </c>
      <c r="BL2136" t="s">
        <v>4454</v>
      </c>
      <c r="BM2136" s="4">
        <v>43283.061678240738</v>
      </c>
      <c r="BN2136" s="4">
        <v>43283.065983796296</v>
      </c>
      <c r="BO2136" s="4">
        <v>43283.065983796296</v>
      </c>
      <c r="BP2136" t="s">
        <v>339</v>
      </c>
      <c r="BQ2136" t="s">
        <v>340</v>
      </c>
      <c r="BR2136" t="s">
        <v>94</v>
      </c>
    </row>
    <row r="2137" spans="1:70" x14ac:dyDescent="0.3">
      <c r="A2137" t="str">
        <f>"201469E0100"</f>
        <v>201469E0100</v>
      </c>
      <c r="B2137" s="2" t="s">
        <v>4455</v>
      </c>
      <c r="C2137">
        <v>20</v>
      </c>
      <c r="D2137" t="s">
        <v>88</v>
      </c>
      <c r="E2137">
        <v>305</v>
      </c>
      <c r="F2137" t="s">
        <v>4439</v>
      </c>
      <c r="G2137">
        <v>1469</v>
      </c>
      <c r="H2137">
        <v>1</v>
      </c>
      <c r="I2137" t="s">
        <v>156</v>
      </c>
      <c r="J2137">
        <v>0</v>
      </c>
      <c r="K2137">
        <v>2</v>
      </c>
      <c r="L2137">
        <v>5</v>
      </c>
      <c r="M2137">
        <v>73</v>
      </c>
      <c r="N2137">
        <v>84</v>
      </c>
      <c r="O2137">
        <v>5</v>
      </c>
      <c r="P2137">
        <v>84</v>
      </c>
      <c r="Q2137">
        <v>0</v>
      </c>
      <c r="R2137">
        <v>7</v>
      </c>
      <c r="S2137">
        <v>2</v>
      </c>
      <c r="T2137">
        <v>1</v>
      </c>
      <c r="U2137">
        <v>3</v>
      </c>
      <c r="V2137">
        <v>4</v>
      </c>
      <c r="W2137">
        <v>19</v>
      </c>
      <c r="X2137">
        <v>0</v>
      </c>
      <c r="Y2137">
        <v>19</v>
      </c>
      <c r="Z2137">
        <v>2</v>
      </c>
      <c r="AA2137">
        <v>11</v>
      </c>
      <c r="AB2137">
        <v>7</v>
      </c>
      <c r="AC2137">
        <v>0</v>
      </c>
      <c r="AD2137">
        <v>0</v>
      </c>
      <c r="AE2137">
        <v>0</v>
      </c>
      <c r="AF2137">
        <v>0</v>
      </c>
      <c r="AG2137">
        <v>0</v>
      </c>
      <c r="AH2137">
        <v>0</v>
      </c>
      <c r="AI2137">
        <v>0</v>
      </c>
      <c r="AJ2137">
        <v>0</v>
      </c>
      <c r="AK2137">
        <v>3</v>
      </c>
      <c r="AL2137">
        <v>0</v>
      </c>
      <c r="AM2137">
        <v>1</v>
      </c>
      <c r="AN2137">
        <v>1</v>
      </c>
      <c r="BC2137">
        <v>0</v>
      </c>
      <c r="BD2137">
        <v>3</v>
      </c>
      <c r="BE2137">
        <v>83</v>
      </c>
      <c r="BF2137">
        <v>83</v>
      </c>
      <c r="BG2137">
        <v>134</v>
      </c>
      <c r="BJ2137">
        <v>1</v>
      </c>
      <c r="BL2137" t="s">
        <v>4456</v>
      </c>
      <c r="BM2137" s="4">
        <v>43283.165972222225</v>
      </c>
      <c r="BN2137" s="4">
        <v>43283.186365740738</v>
      </c>
      <c r="BO2137" s="4">
        <v>43283.186365740738</v>
      </c>
      <c r="BP2137" t="s">
        <v>92</v>
      </c>
      <c r="BQ2137" t="s">
        <v>93</v>
      </c>
      <c r="BR2137" t="s">
        <v>94</v>
      </c>
    </row>
    <row r="2138" spans="1:70" x14ac:dyDescent="0.3">
      <c r="A2138" t="str">
        <f>"201470B0100"</f>
        <v>201470B0100</v>
      </c>
      <c r="B2138" t="s">
        <v>4457</v>
      </c>
      <c r="C2138">
        <v>20</v>
      </c>
      <c r="D2138" t="s">
        <v>88</v>
      </c>
      <c r="E2138">
        <v>305</v>
      </c>
      <c r="F2138" t="s">
        <v>4439</v>
      </c>
      <c r="G2138">
        <v>1470</v>
      </c>
      <c r="H2138">
        <v>1</v>
      </c>
      <c r="I2138" t="s">
        <v>90</v>
      </c>
      <c r="J2138">
        <v>0</v>
      </c>
      <c r="K2138">
        <v>2</v>
      </c>
      <c r="L2138">
        <v>5</v>
      </c>
      <c r="M2138">
        <v>160</v>
      </c>
      <c r="N2138">
        <v>442</v>
      </c>
      <c r="O2138">
        <v>0</v>
      </c>
      <c r="P2138">
        <v>442</v>
      </c>
      <c r="Q2138">
        <v>2</v>
      </c>
      <c r="R2138">
        <v>43</v>
      </c>
      <c r="S2138">
        <v>1</v>
      </c>
      <c r="T2138">
        <v>3</v>
      </c>
      <c r="U2138">
        <v>18</v>
      </c>
      <c r="V2138">
        <v>1</v>
      </c>
      <c r="W2138">
        <v>190</v>
      </c>
      <c r="X2138">
        <v>2</v>
      </c>
      <c r="Y2138">
        <v>97</v>
      </c>
      <c r="Z2138">
        <v>0</v>
      </c>
      <c r="AA2138">
        <v>10</v>
      </c>
      <c r="AB2138">
        <v>58</v>
      </c>
      <c r="AC2138">
        <v>0</v>
      </c>
      <c r="AD2138">
        <v>0</v>
      </c>
      <c r="AE2138">
        <v>0</v>
      </c>
      <c r="AF2138">
        <v>0</v>
      </c>
      <c r="AG2138">
        <v>0</v>
      </c>
      <c r="AH2138">
        <v>2</v>
      </c>
      <c r="AI2138">
        <v>0</v>
      </c>
      <c r="AJ2138">
        <v>0</v>
      </c>
      <c r="AK2138">
        <v>0</v>
      </c>
      <c r="AL2138">
        <v>1</v>
      </c>
      <c r="AM2138">
        <v>0</v>
      </c>
      <c r="AN2138">
        <v>0</v>
      </c>
      <c r="BC2138">
        <v>0</v>
      </c>
      <c r="BD2138">
        <v>13</v>
      </c>
      <c r="BE2138">
        <v>442</v>
      </c>
      <c r="BF2138">
        <v>441</v>
      </c>
      <c r="BG2138">
        <v>580</v>
      </c>
      <c r="BJ2138">
        <v>1</v>
      </c>
      <c r="BL2138" t="s">
        <v>4458</v>
      </c>
      <c r="BM2138" s="4">
        <v>43283.142361111109</v>
      </c>
      <c r="BN2138" s="4">
        <v>43283.162164351852</v>
      </c>
      <c r="BO2138" s="4">
        <v>43283.162164351852</v>
      </c>
      <c r="BP2138" t="s">
        <v>92</v>
      </c>
      <c r="BQ2138" t="s">
        <v>93</v>
      </c>
      <c r="BR2138" t="s">
        <v>94</v>
      </c>
    </row>
    <row r="2139" spans="1:70" x14ac:dyDescent="0.3">
      <c r="A2139" t="str">
        <f>"201470E0100"</f>
        <v>201470E0100</v>
      </c>
      <c r="B2139" s="2" t="s">
        <v>4459</v>
      </c>
      <c r="C2139">
        <v>20</v>
      </c>
      <c r="D2139" t="s">
        <v>88</v>
      </c>
      <c r="E2139">
        <v>305</v>
      </c>
      <c r="F2139" t="s">
        <v>4439</v>
      </c>
      <c r="G2139">
        <v>1470</v>
      </c>
      <c r="H2139">
        <v>1</v>
      </c>
      <c r="I2139" t="s">
        <v>156</v>
      </c>
      <c r="J2139">
        <v>0</v>
      </c>
      <c r="K2139">
        <v>2</v>
      </c>
      <c r="L2139">
        <v>5</v>
      </c>
      <c r="M2139">
        <v>158</v>
      </c>
      <c r="N2139">
        <v>420</v>
      </c>
      <c r="O2139">
        <v>0</v>
      </c>
      <c r="P2139" t="s">
        <v>105</v>
      </c>
      <c r="Q2139">
        <v>2</v>
      </c>
      <c r="R2139">
        <v>63</v>
      </c>
      <c r="S2139">
        <v>14</v>
      </c>
      <c r="T2139">
        <v>36</v>
      </c>
      <c r="U2139">
        <v>10</v>
      </c>
      <c r="V2139">
        <v>1</v>
      </c>
      <c r="W2139">
        <v>76</v>
      </c>
      <c r="X2139">
        <v>1</v>
      </c>
      <c r="Y2139">
        <v>114</v>
      </c>
      <c r="Z2139">
        <v>2</v>
      </c>
      <c r="AA2139">
        <v>22</v>
      </c>
      <c r="AB2139">
        <v>53</v>
      </c>
      <c r="AC2139" t="s">
        <v>105</v>
      </c>
      <c r="AD2139" t="s">
        <v>105</v>
      </c>
      <c r="AE2139" t="s">
        <v>105</v>
      </c>
      <c r="AF2139" t="s">
        <v>105</v>
      </c>
      <c r="AG2139">
        <v>4</v>
      </c>
      <c r="AH2139" t="s">
        <v>105</v>
      </c>
      <c r="AI2139" t="s">
        <v>105</v>
      </c>
      <c r="AJ2139" t="s">
        <v>105</v>
      </c>
      <c r="AK2139">
        <v>5</v>
      </c>
      <c r="AL2139" t="s">
        <v>105</v>
      </c>
      <c r="AM2139" t="s">
        <v>105</v>
      </c>
      <c r="AN2139" t="s">
        <v>105</v>
      </c>
      <c r="BC2139" t="s">
        <v>105</v>
      </c>
      <c r="BD2139">
        <v>16</v>
      </c>
      <c r="BE2139">
        <v>419</v>
      </c>
      <c r="BF2139">
        <v>419</v>
      </c>
      <c r="BG2139">
        <v>555</v>
      </c>
      <c r="BI2139" t="s">
        <v>106</v>
      </c>
      <c r="BJ2139">
        <v>1</v>
      </c>
      <c r="BL2139" t="s">
        <v>4460</v>
      </c>
      <c r="BM2139" s="4">
        <v>43283.15347222222</v>
      </c>
      <c r="BN2139" s="4">
        <v>43283.165937500002</v>
      </c>
      <c r="BO2139" s="4">
        <v>43283.165937500002</v>
      </c>
      <c r="BP2139" t="s">
        <v>92</v>
      </c>
      <c r="BQ2139" t="s">
        <v>93</v>
      </c>
      <c r="BR2139" t="s">
        <v>94</v>
      </c>
    </row>
    <row r="2140" spans="1:70" x14ac:dyDescent="0.3">
      <c r="A2140" t="str">
        <f>"201470E0101"</f>
        <v>201470E0101</v>
      </c>
      <c r="B2140" s="2" t="s">
        <v>4461</v>
      </c>
      <c r="C2140">
        <v>20</v>
      </c>
      <c r="D2140" t="s">
        <v>88</v>
      </c>
      <c r="E2140">
        <v>305</v>
      </c>
      <c r="F2140" t="s">
        <v>4439</v>
      </c>
      <c r="G2140">
        <v>1470</v>
      </c>
      <c r="H2140">
        <v>1</v>
      </c>
      <c r="I2140" t="s">
        <v>156</v>
      </c>
      <c r="J2140">
        <v>1</v>
      </c>
      <c r="K2140">
        <v>2</v>
      </c>
      <c r="L2140">
        <v>5</v>
      </c>
      <c r="BG2140">
        <v>555</v>
      </c>
      <c r="BI2140" t="s">
        <v>122</v>
      </c>
      <c r="BJ2140">
        <v>0</v>
      </c>
      <c r="BL2140" t="s">
        <v>4462</v>
      </c>
      <c r="BM2140" s="4">
        <v>43283.207638888889</v>
      </c>
      <c r="BN2140" s="4">
        <v>43283.228530092594</v>
      </c>
      <c r="BO2140" s="4">
        <v>43283.228530092594</v>
      </c>
      <c r="BP2140" t="s">
        <v>92</v>
      </c>
      <c r="BQ2140" t="s">
        <v>93</v>
      </c>
      <c r="BR2140" t="s">
        <v>94</v>
      </c>
    </row>
    <row r="2141" spans="1:70" x14ac:dyDescent="0.3">
      <c r="A2141" t="str">
        <f>"201471B0100"</f>
        <v>201471B0100</v>
      </c>
      <c r="B2141" t="s">
        <v>4463</v>
      </c>
      <c r="C2141">
        <v>20</v>
      </c>
      <c r="D2141" t="s">
        <v>88</v>
      </c>
      <c r="E2141">
        <v>305</v>
      </c>
      <c r="F2141" t="s">
        <v>4439</v>
      </c>
      <c r="G2141">
        <v>1471</v>
      </c>
      <c r="H2141">
        <v>1</v>
      </c>
      <c r="I2141" t="s">
        <v>90</v>
      </c>
      <c r="J2141">
        <v>0</v>
      </c>
      <c r="K2141">
        <v>2</v>
      </c>
      <c r="L2141">
        <v>5</v>
      </c>
      <c r="M2141">
        <v>263</v>
      </c>
      <c r="N2141">
        <v>0</v>
      </c>
      <c r="O2141">
        <v>0</v>
      </c>
      <c r="P2141">
        <v>686</v>
      </c>
      <c r="Q2141" t="s">
        <v>105</v>
      </c>
      <c r="R2141">
        <v>79</v>
      </c>
      <c r="S2141">
        <v>27</v>
      </c>
      <c r="T2141" t="s">
        <v>105</v>
      </c>
      <c r="U2141" t="s">
        <v>105</v>
      </c>
      <c r="V2141" t="s">
        <v>105</v>
      </c>
      <c r="W2141">
        <v>42</v>
      </c>
      <c r="X2141" t="s">
        <v>105</v>
      </c>
      <c r="Y2141">
        <v>170</v>
      </c>
      <c r="Z2141" t="s">
        <v>105</v>
      </c>
      <c r="AA2141">
        <v>42</v>
      </c>
      <c r="AB2141">
        <v>40</v>
      </c>
      <c r="AC2141" t="s">
        <v>105</v>
      </c>
      <c r="AD2141" t="s">
        <v>105</v>
      </c>
      <c r="AE2141" t="s">
        <v>105</v>
      </c>
      <c r="AF2141" t="s">
        <v>105</v>
      </c>
      <c r="AG2141" t="s">
        <v>105</v>
      </c>
      <c r="AH2141" t="s">
        <v>105</v>
      </c>
      <c r="AI2141" t="s">
        <v>105</v>
      </c>
      <c r="AJ2141" t="s">
        <v>105</v>
      </c>
      <c r="AK2141" t="s">
        <v>105</v>
      </c>
      <c r="AL2141" t="s">
        <v>105</v>
      </c>
      <c r="AM2141" t="s">
        <v>105</v>
      </c>
      <c r="AN2141" t="s">
        <v>105</v>
      </c>
      <c r="BC2141" t="s">
        <v>105</v>
      </c>
      <c r="BD2141">
        <v>23</v>
      </c>
      <c r="BE2141">
        <v>323</v>
      </c>
      <c r="BF2141">
        <v>423</v>
      </c>
      <c r="BG2141">
        <v>664</v>
      </c>
      <c r="BI2141" t="s">
        <v>106</v>
      </c>
      <c r="BJ2141">
        <v>1</v>
      </c>
      <c r="BL2141" t="s">
        <v>4464</v>
      </c>
      <c r="BM2141" s="4">
        <v>43283.177777777775</v>
      </c>
      <c r="BN2141" s="4">
        <v>43283.195902777778</v>
      </c>
      <c r="BO2141" s="4">
        <v>43283.195902777778</v>
      </c>
      <c r="BP2141" t="s">
        <v>92</v>
      </c>
      <c r="BQ2141" t="s">
        <v>93</v>
      </c>
      <c r="BR2141" t="s">
        <v>94</v>
      </c>
    </row>
    <row r="2142" spans="1:70" x14ac:dyDescent="0.3">
      <c r="A2142" t="str">
        <f>"201471C0100"</f>
        <v>201471C0100</v>
      </c>
      <c r="B2142" t="s">
        <v>4465</v>
      </c>
      <c r="C2142">
        <v>20</v>
      </c>
      <c r="D2142" t="s">
        <v>88</v>
      </c>
      <c r="E2142">
        <v>305</v>
      </c>
      <c r="F2142" t="s">
        <v>4439</v>
      </c>
      <c r="G2142">
        <v>1471</v>
      </c>
      <c r="H2142">
        <v>1</v>
      </c>
      <c r="I2142" t="s">
        <v>98</v>
      </c>
      <c r="J2142">
        <v>0</v>
      </c>
      <c r="K2142">
        <v>2</v>
      </c>
      <c r="L2142">
        <v>5</v>
      </c>
      <c r="M2142">
        <v>251</v>
      </c>
      <c r="N2142" t="s">
        <v>105</v>
      </c>
      <c r="O2142" t="s">
        <v>105</v>
      </c>
      <c r="P2142" t="s">
        <v>105</v>
      </c>
      <c r="Q2142">
        <v>4</v>
      </c>
      <c r="R2142">
        <v>40</v>
      </c>
      <c r="S2142">
        <v>23</v>
      </c>
      <c r="T2142">
        <v>42</v>
      </c>
      <c r="U2142">
        <v>4</v>
      </c>
      <c r="V2142">
        <v>6</v>
      </c>
      <c r="W2142">
        <v>68</v>
      </c>
      <c r="X2142">
        <v>2</v>
      </c>
      <c r="Y2142">
        <v>155</v>
      </c>
      <c r="Z2142">
        <v>4</v>
      </c>
      <c r="AA2142">
        <v>39</v>
      </c>
      <c r="AB2142">
        <v>28</v>
      </c>
      <c r="AC2142">
        <v>0</v>
      </c>
      <c r="AD2142">
        <v>0</v>
      </c>
      <c r="AE2142">
        <v>0</v>
      </c>
      <c r="AF2142">
        <v>0</v>
      </c>
      <c r="AG2142">
        <v>4</v>
      </c>
      <c r="AH2142">
        <v>3</v>
      </c>
      <c r="AI2142">
        <v>1</v>
      </c>
      <c r="AJ2142">
        <v>0</v>
      </c>
      <c r="AK2142">
        <v>2</v>
      </c>
      <c r="AL2142" t="s">
        <v>105</v>
      </c>
      <c r="AM2142" t="s">
        <v>105</v>
      </c>
      <c r="AN2142" t="s">
        <v>105</v>
      </c>
      <c r="BC2142" t="s">
        <v>105</v>
      </c>
      <c r="BD2142">
        <v>9</v>
      </c>
      <c r="BE2142">
        <v>434</v>
      </c>
      <c r="BF2142">
        <v>434</v>
      </c>
      <c r="BG2142">
        <v>663</v>
      </c>
      <c r="BI2142" t="s">
        <v>106</v>
      </c>
      <c r="BJ2142">
        <v>1</v>
      </c>
      <c r="BL2142" t="s">
        <v>4466</v>
      </c>
      <c r="BM2142" s="4">
        <v>43283.174305555556</v>
      </c>
      <c r="BN2142" s="4">
        <v>43283.190671296295</v>
      </c>
      <c r="BO2142" s="4">
        <v>43283.190671296295</v>
      </c>
      <c r="BP2142" t="s">
        <v>92</v>
      </c>
      <c r="BQ2142" t="s">
        <v>93</v>
      </c>
      <c r="BR2142" t="s">
        <v>94</v>
      </c>
    </row>
    <row r="2143" spans="1:70" x14ac:dyDescent="0.3">
      <c r="A2143" t="str">
        <f>"201471C0200"</f>
        <v>201471C0200</v>
      </c>
      <c r="B2143" t="s">
        <v>4467</v>
      </c>
      <c r="C2143">
        <v>20</v>
      </c>
      <c r="D2143" t="s">
        <v>88</v>
      </c>
      <c r="E2143">
        <v>305</v>
      </c>
      <c r="F2143" t="s">
        <v>4439</v>
      </c>
      <c r="G2143">
        <v>1471</v>
      </c>
      <c r="H2143">
        <v>2</v>
      </c>
      <c r="I2143" t="s">
        <v>98</v>
      </c>
      <c r="J2143">
        <v>0</v>
      </c>
      <c r="K2143">
        <v>2</v>
      </c>
      <c r="L2143">
        <v>5</v>
      </c>
      <c r="M2143">
        <v>275</v>
      </c>
      <c r="N2143">
        <v>409</v>
      </c>
      <c r="O2143">
        <v>3</v>
      </c>
      <c r="P2143" t="s">
        <v>105</v>
      </c>
      <c r="Q2143">
        <v>8</v>
      </c>
      <c r="R2143">
        <v>47</v>
      </c>
      <c r="S2143">
        <v>22</v>
      </c>
      <c r="T2143">
        <v>5</v>
      </c>
      <c r="U2143">
        <v>29</v>
      </c>
      <c r="V2143">
        <v>3</v>
      </c>
      <c r="W2143">
        <v>66</v>
      </c>
      <c r="X2143">
        <v>2</v>
      </c>
      <c r="Y2143">
        <v>135</v>
      </c>
      <c r="Z2143">
        <v>2</v>
      </c>
      <c r="AA2143">
        <v>40</v>
      </c>
      <c r="AB2143">
        <v>24</v>
      </c>
      <c r="AC2143" t="s">
        <v>105</v>
      </c>
      <c r="AD2143" t="s">
        <v>105</v>
      </c>
      <c r="AE2143" t="s">
        <v>105</v>
      </c>
      <c r="AF2143" t="s">
        <v>105</v>
      </c>
      <c r="AG2143">
        <v>1</v>
      </c>
      <c r="AH2143">
        <v>4</v>
      </c>
      <c r="AI2143" t="s">
        <v>105</v>
      </c>
      <c r="AJ2143" t="s">
        <v>105</v>
      </c>
      <c r="AK2143">
        <v>4</v>
      </c>
      <c r="AL2143" t="s">
        <v>105</v>
      </c>
      <c r="AM2143" t="s">
        <v>105</v>
      </c>
      <c r="AN2143">
        <v>2</v>
      </c>
      <c r="BC2143" t="s">
        <v>105</v>
      </c>
      <c r="BD2143" t="s">
        <v>105</v>
      </c>
      <c r="BE2143">
        <v>390</v>
      </c>
      <c r="BF2143">
        <v>394</v>
      </c>
      <c r="BG2143">
        <v>663</v>
      </c>
      <c r="BI2143" t="s">
        <v>106</v>
      </c>
      <c r="BJ2143">
        <v>1</v>
      </c>
      <c r="BL2143" t="s">
        <v>4468</v>
      </c>
      <c r="BM2143" s="4">
        <v>43283.166666666664</v>
      </c>
      <c r="BN2143" s="4">
        <v>43283.179872685185</v>
      </c>
      <c r="BO2143" s="4">
        <v>43283.179872685185</v>
      </c>
      <c r="BP2143" t="s">
        <v>92</v>
      </c>
      <c r="BQ2143" t="s">
        <v>93</v>
      </c>
      <c r="BR2143" t="s">
        <v>94</v>
      </c>
    </row>
    <row r="2144" spans="1:70" x14ac:dyDescent="0.3">
      <c r="A2144" t="str">
        <f>"201472B0100"</f>
        <v>201472B0100</v>
      </c>
      <c r="B2144" t="s">
        <v>4469</v>
      </c>
      <c r="C2144">
        <v>20</v>
      </c>
      <c r="D2144" t="s">
        <v>88</v>
      </c>
      <c r="E2144">
        <v>306</v>
      </c>
      <c r="F2144" t="s">
        <v>4470</v>
      </c>
      <c r="G2144">
        <v>1472</v>
      </c>
      <c r="H2144">
        <v>1</v>
      </c>
      <c r="I2144" t="s">
        <v>90</v>
      </c>
      <c r="J2144">
        <v>0</v>
      </c>
      <c r="K2144">
        <v>1</v>
      </c>
      <c r="L2144">
        <v>5</v>
      </c>
      <c r="M2144">
        <v>189</v>
      </c>
      <c r="N2144">
        <v>423</v>
      </c>
      <c r="O2144">
        <v>0</v>
      </c>
      <c r="P2144" t="s">
        <v>105</v>
      </c>
      <c r="Q2144">
        <v>18</v>
      </c>
      <c r="R2144">
        <v>139</v>
      </c>
      <c r="S2144">
        <v>96</v>
      </c>
      <c r="T2144">
        <v>1</v>
      </c>
      <c r="U2144">
        <v>0</v>
      </c>
      <c r="V2144">
        <v>8</v>
      </c>
      <c r="W2144">
        <v>21</v>
      </c>
      <c r="X2144">
        <v>1</v>
      </c>
      <c r="Y2144">
        <v>0</v>
      </c>
      <c r="Z2144">
        <v>0</v>
      </c>
      <c r="AA2144">
        <v>67</v>
      </c>
      <c r="AC2144">
        <v>2</v>
      </c>
      <c r="AD2144">
        <v>1</v>
      </c>
      <c r="AE2144">
        <v>0</v>
      </c>
      <c r="AF2144">
        <v>0</v>
      </c>
      <c r="AG2144">
        <v>0</v>
      </c>
      <c r="AH2144">
        <v>8</v>
      </c>
      <c r="AI2144">
        <v>0</v>
      </c>
      <c r="AJ2144">
        <v>0</v>
      </c>
      <c r="AK2144">
        <v>0</v>
      </c>
      <c r="AL2144">
        <v>0</v>
      </c>
      <c r="AM2144">
        <v>0</v>
      </c>
      <c r="AN2144">
        <v>0</v>
      </c>
      <c r="BC2144">
        <v>2</v>
      </c>
      <c r="BD2144">
        <v>59</v>
      </c>
      <c r="BE2144">
        <v>423</v>
      </c>
      <c r="BF2144">
        <v>423</v>
      </c>
      <c r="BG2144">
        <v>590</v>
      </c>
      <c r="BJ2144">
        <v>1</v>
      </c>
      <c r="BL2144" t="s">
        <v>4471</v>
      </c>
      <c r="BM2144" s="4">
        <v>43283.413194444445</v>
      </c>
      <c r="BN2144" s="4">
        <v>43283.418321759258</v>
      </c>
      <c r="BO2144" s="4">
        <v>43283.418321759258</v>
      </c>
      <c r="BP2144" t="s">
        <v>92</v>
      </c>
      <c r="BQ2144" t="s">
        <v>93</v>
      </c>
      <c r="BR2144" t="s">
        <v>94</v>
      </c>
    </row>
    <row r="2145" spans="1:70" x14ac:dyDescent="0.3">
      <c r="A2145" t="str">
        <f>"201472C0100"</f>
        <v>201472C0100</v>
      </c>
      <c r="B2145" t="s">
        <v>4472</v>
      </c>
      <c r="C2145">
        <v>20</v>
      </c>
      <c r="D2145" t="s">
        <v>88</v>
      </c>
      <c r="E2145">
        <v>306</v>
      </c>
      <c r="F2145" t="s">
        <v>4470</v>
      </c>
      <c r="G2145">
        <v>1472</v>
      </c>
      <c r="H2145">
        <v>1</v>
      </c>
      <c r="I2145" t="s">
        <v>98</v>
      </c>
      <c r="J2145">
        <v>0</v>
      </c>
      <c r="K2145">
        <v>1</v>
      </c>
      <c r="L2145">
        <v>5</v>
      </c>
      <c r="M2145">
        <v>219</v>
      </c>
      <c r="N2145">
        <v>394</v>
      </c>
      <c r="O2145">
        <v>0</v>
      </c>
      <c r="P2145">
        <v>395</v>
      </c>
      <c r="Q2145">
        <v>40</v>
      </c>
      <c r="R2145">
        <v>140</v>
      </c>
      <c r="S2145">
        <v>109</v>
      </c>
      <c r="T2145">
        <v>1</v>
      </c>
      <c r="U2145">
        <v>0</v>
      </c>
      <c r="V2145">
        <v>5</v>
      </c>
      <c r="W2145">
        <v>21</v>
      </c>
      <c r="X2145">
        <v>0</v>
      </c>
      <c r="Y2145">
        <v>0</v>
      </c>
      <c r="Z2145">
        <v>0</v>
      </c>
      <c r="AA2145">
        <v>32</v>
      </c>
      <c r="AC2145">
        <v>3</v>
      </c>
      <c r="AD2145">
        <v>0</v>
      </c>
      <c r="AE2145">
        <v>0</v>
      </c>
      <c r="AF2145">
        <v>1</v>
      </c>
      <c r="AG2145">
        <v>0</v>
      </c>
      <c r="AH2145">
        <v>2</v>
      </c>
      <c r="AI2145">
        <v>0</v>
      </c>
      <c r="AJ2145">
        <v>0</v>
      </c>
      <c r="AK2145">
        <v>0</v>
      </c>
      <c r="AL2145">
        <v>0</v>
      </c>
      <c r="AM2145">
        <v>0</v>
      </c>
      <c r="AN2145">
        <v>0</v>
      </c>
      <c r="BC2145">
        <v>3</v>
      </c>
      <c r="BD2145">
        <v>38</v>
      </c>
      <c r="BE2145">
        <v>395</v>
      </c>
      <c r="BF2145">
        <v>395</v>
      </c>
      <c r="BG2145">
        <v>589</v>
      </c>
      <c r="BJ2145">
        <v>1</v>
      </c>
      <c r="BL2145" t="s">
        <v>4473</v>
      </c>
      <c r="BM2145" s="4">
        <v>43283.416666666664</v>
      </c>
      <c r="BN2145" s="4">
        <v>43283.423020833332</v>
      </c>
      <c r="BO2145" s="4">
        <v>43283.423020833332</v>
      </c>
      <c r="BP2145" t="s">
        <v>92</v>
      </c>
      <c r="BQ2145" t="s">
        <v>93</v>
      </c>
      <c r="BR2145" t="s">
        <v>94</v>
      </c>
    </row>
    <row r="2146" spans="1:70" x14ac:dyDescent="0.3">
      <c r="A2146" t="str">
        <f>"201472C0200"</f>
        <v>201472C0200</v>
      </c>
      <c r="B2146" t="s">
        <v>4474</v>
      </c>
      <c r="C2146">
        <v>20</v>
      </c>
      <c r="D2146" t="s">
        <v>88</v>
      </c>
      <c r="E2146">
        <v>306</v>
      </c>
      <c r="F2146" t="s">
        <v>4470</v>
      </c>
      <c r="G2146">
        <v>1472</v>
      </c>
      <c r="H2146">
        <v>2</v>
      </c>
      <c r="I2146" t="s">
        <v>98</v>
      </c>
      <c r="J2146">
        <v>0</v>
      </c>
      <c r="K2146">
        <v>1</v>
      </c>
      <c r="L2146">
        <v>5</v>
      </c>
      <c r="M2146">
        <v>185</v>
      </c>
      <c r="N2146">
        <v>612</v>
      </c>
      <c r="O2146" t="s">
        <v>105</v>
      </c>
      <c r="P2146">
        <v>427</v>
      </c>
      <c r="Q2146">
        <v>46</v>
      </c>
      <c r="R2146">
        <v>163</v>
      </c>
      <c r="S2146">
        <v>61</v>
      </c>
      <c r="T2146">
        <v>3</v>
      </c>
      <c r="U2146">
        <v>10</v>
      </c>
      <c r="V2146">
        <v>10</v>
      </c>
      <c r="W2146">
        <v>22</v>
      </c>
      <c r="X2146">
        <v>2</v>
      </c>
      <c r="Y2146">
        <v>19</v>
      </c>
      <c r="Z2146">
        <v>1</v>
      </c>
      <c r="AA2146">
        <v>52</v>
      </c>
      <c r="AC2146">
        <v>3</v>
      </c>
      <c r="AD2146" t="s">
        <v>105</v>
      </c>
      <c r="AE2146" t="s">
        <v>105</v>
      </c>
      <c r="AF2146" t="s">
        <v>105</v>
      </c>
      <c r="AG2146">
        <v>2</v>
      </c>
      <c r="AH2146">
        <v>2</v>
      </c>
      <c r="AI2146" t="s">
        <v>105</v>
      </c>
      <c r="AJ2146" t="s">
        <v>105</v>
      </c>
      <c r="AK2146">
        <v>0</v>
      </c>
      <c r="AL2146">
        <v>1</v>
      </c>
      <c r="AM2146" t="s">
        <v>105</v>
      </c>
      <c r="AN2146" t="s">
        <v>105</v>
      </c>
      <c r="BC2146" t="s">
        <v>105</v>
      </c>
      <c r="BD2146">
        <v>30</v>
      </c>
      <c r="BE2146">
        <v>427</v>
      </c>
      <c r="BF2146">
        <v>427</v>
      </c>
      <c r="BG2146">
        <v>589</v>
      </c>
      <c r="BI2146" t="s">
        <v>106</v>
      </c>
      <c r="BJ2146">
        <v>1</v>
      </c>
      <c r="BL2146" t="s">
        <v>4475</v>
      </c>
      <c r="BM2146" s="4">
        <v>43283.419444444444</v>
      </c>
      <c r="BN2146" s="4">
        <v>43283.424583333333</v>
      </c>
      <c r="BO2146" s="4">
        <v>43283.424583333333</v>
      </c>
      <c r="BP2146" t="s">
        <v>92</v>
      </c>
      <c r="BQ2146" t="s">
        <v>93</v>
      </c>
      <c r="BR2146" t="s">
        <v>94</v>
      </c>
    </row>
    <row r="2147" spans="1:70" x14ac:dyDescent="0.3">
      <c r="A2147" t="str">
        <f>"201472C0300"</f>
        <v>201472C0300</v>
      </c>
      <c r="B2147" t="s">
        <v>4476</v>
      </c>
      <c r="C2147">
        <v>20</v>
      </c>
      <c r="D2147" t="s">
        <v>88</v>
      </c>
      <c r="E2147">
        <v>306</v>
      </c>
      <c r="F2147" t="s">
        <v>4470</v>
      </c>
      <c r="G2147">
        <v>1472</v>
      </c>
      <c r="H2147">
        <v>3</v>
      </c>
      <c r="I2147" t="s">
        <v>98</v>
      </c>
      <c r="J2147">
        <v>0</v>
      </c>
      <c r="K2147">
        <v>1</v>
      </c>
      <c r="L2147">
        <v>5</v>
      </c>
      <c r="M2147">
        <v>183</v>
      </c>
      <c r="N2147">
        <v>429</v>
      </c>
      <c r="O2147">
        <v>0</v>
      </c>
      <c r="P2147">
        <v>428</v>
      </c>
      <c r="Q2147">
        <v>37</v>
      </c>
      <c r="R2147">
        <v>172</v>
      </c>
      <c r="S2147">
        <v>92</v>
      </c>
      <c r="T2147">
        <v>0</v>
      </c>
      <c r="U2147">
        <v>5</v>
      </c>
      <c r="V2147">
        <v>11</v>
      </c>
      <c r="W2147">
        <v>15</v>
      </c>
      <c r="X2147">
        <v>0</v>
      </c>
      <c r="Y2147">
        <v>18</v>
      </c>
      <c r="Z2147">
        <v>1</v>
      </c>
      <c r="AA2147">
        <v>54</v>
      </c>
      <c r="AC2147">
        <v>1</v>
      </c>
      <c r="AD2147">
        <v>2</v>
      </c>
      <c r="AE2147">
        <v>0</v>
      </c>
      <c r="AF2147">
        <v>0</v>
      </c>
      <c r="AG2147">
        <v>0</v>
      </c>
      <c r="AH2147">
        <v>3</v>
      </c>
      <c r="AI2147">
        <v>0</v>
      </c>
      <c r="AJ2147">
        <v>0</v>
      </c>
      <c r="AK2147">
        <v>1</v>
      </c>
      <c r="AL2147">
        <v>0</v>
      </c>
      <c r="AM2147">
        <v>0</v>
      </c>
      <c r="AN2147">
        <v>0</v>
      </c>
      <c r="BC2147">
        <v>0</v>
      </c>
      <c r="BD2147">
        <v>16</v>
      </c>
      <c r="BE2147">
        <v>428</v>
      </c>
      <c r="BF2147">
        <v>428</v>
      </c>
      <c r="BG2147">
        <v>589</v>
      </c>
      <c r="BJ2147">
        <v>1</v>
      </c>
      <c r="BL2147" t="s">
        <v>4477</v>
      </c>
      <c r="BM2147" s="4">
        <v>43283.410416666666</v>
      </c>
      <c r="BN2147" s="4">
        <v>43283.417986111112</v>
      </c>
      <c r="BO2147" s="4">
        <v>43283.417986111112</v>
      </c>
      <c r="BP2147" t="s">
        <v>92</v>
      </c>
      <c r="BQ2147" t="s">
        <v>93</v>
      </c>
      <c r="BR2147" t="s">
        <v>94</v>
      </c>
    </row>
    <row r="2148" spans="1:70" x14ac:dyDescent="0.3">
      <c r="A2148" t="str">
        <f>"201473B0100"</f>
        <v>201473B0100</v>
      </c>
      <c r="B2148" t="s">
        <v>4478</v>
      </c>
      <c r="C2148">
        <v>20</v>
      </c>
      <c r="D2148" t="s">
        <v>88</v>
      </c>
      <c r="E2148">
        <v>307</v>
      </c>
      <c r="F2148" t="s">
        <v>4479</v>
      </c>
      <c r="G2148">
        <v>1473</v>
      </c>
      <c r="H2148">
        <v>1</v>
      </c>
      <c r="I2148" t="s">
        <v>90</v>
      </c>
      <c r="J2148">
        <v>0</v>
      </c>
      <c r="K2148">
        <v>1</v>
      </c>
      <c r="L2148">
        <v>5</v>
      </c>
      <c r="BG2148">
        <v>730</v>
      </c>
      <c r="BI2148" t="s">
        <v>122</v>
      </c>
      <c r="BJ2148">
        <v>0</v>
      </c>
      <c r="BL2148" t="s">
        <v>4480</v>
      </c>
      <c r="BM2148" s="4">
        <v>43282.531944444447</v>
      </c>
      <c r="BN2148" s="4">
        <v>43283.532581018517</v>
      </c>
      <c r="BO2148" s="4">
        <v>43283.532581018517</v>
      </c>
      <c r="BP2148" t="s">
        <v>92</v>
      </c>
      <c r="BQ2148" t="s">
        <v>93</v>
      </c>
      <c r="BR2148" t="s">
        <v>94</v>
      </c>
    </row>
    <row r="2149" spans="1:70" x14ac:dyDescent="0.3">
      <c r="A2149" t="str">
        <f>"201473C0100"</f>
        <v>201473C0100</v>
      </c>
      <c r="B2149" t="s">
        <v>4481</v>
      </c>
      <c r="C2149">
        <v>20</v>
      </c>
      <c r="D2149" t="s">
        <v>88</v>
      </c>
      <c r="E2149">
        <v>307</v>
      </c>
      <c r="F2149" t="s">
        <v>4479</v>
      </c>
      <c r="G2149">
        <v>1473</v>
      </c>
      <c r="H2149">
        <v>1</v>
      </c>
      <c r="I2149" t="s">
        <v>98</v>
      </c>
      <c r="J2149">
        <v>0</v>
      </c>
      <c r="K2149">
        <v>1</v>
      </c>
      <c r="L2149">
        <v>5</v>
      </c>
      <c r="BG2149">
        <v>730</v>
      </c>
      <c r="BI2149" t="s">
        <v>122</v>
      </c>
      <c r="BJ2149">
        <v>0</v>
      </c>
      <c r="BL2149" t="s">
        <v>4482</v>
      </c>
      <c r="BM2149" s="4">
        <v>43282.532638888886</v>
      </c>
      <c r="BN2149" s="4">
        <v>43283.532893518517</v>
      </c>
      <c r="BO2149" s="4">
        <v>43283.532893518517</v>
      </c>
      <c r="BP2149" t="s">
        <v>92</v>
      </c>
      <c r="BQ2149" t="s">
        <v>93</v>
      </c>
      <c r="BR2149" t="s">
        <v>94</v>
      </c>
    </row>
    <row r="2150" spans="1:70" x14ac:dyDescent="0.3">
      <c r="A2150" t="str">
        <f>"201474B0100"</f>
        <v>201474B0100</v>
      </c>
      <c r="B2150" t="s">
        <v>4483</v>
      </c>
      <c r="C2150">
        <v>20</v>
      </c>
      <c r="D2150" t="s">
        <v>88</v>
      </c>
      <c r="E2150">
        <v>307</v>
      </c>
      <c r="F2150" t="s">
        <v>4479</v>
      </c>
      <c r="G2150">
        <v>1474</v>
      </c>
      <c r="H2150">
        <v>1</v>
      </c>
      <c r="I2150" t="s">
        <v>90</v>
      </c>
      <c r="J2150">
        <v>0</v>
      </c>
      <c r="K2150">
        <v>2</v>
      </c>
      <c r="L2150">
        <v>5</v>
      </c>
      <c r="M2150">
        <v>111</v>
      </c>
      <c r="N2150">
        <v>466</v>
      </c>
      <c r="O2150">
        <v>2</v>
      </c>
      <c r="P2150">
        <v>466</v>
      </c>
      <c r="Q2150">
        <v>3</v>
      </c>
      <c r="R2150">
        <v>156</v>
      </c>
      <c r="S2150">
        <v>1</v>
      </c>
      <c r="T2150">
        <v>4</v>
      </c>
      <c r="U2150">
        <v>4</v>
      </c>
      <c r="V2150">
        <v>8</v>
      </c>
      <c r="X2150">
        <v>7</v>
      </c>
      <c r="Y2150">
        <v>263</v>
      </c>
      <c r="Z2150">
        <v>3</v>
      </c>
      <c r="AC2150">
        <v>0</v>
      </c>
      <c r="AD2150">
        <v>0</v>
      </c>
      <c r="AE2150">
        <v>0</v>
      </c>
      <c r="AF2150">
        <v>0</v>
      </c>
      <c r="AG2150">
        <v>3</v>
      </c>
      <c r="AH2150">
        <v>0</v>
      </c>
      <c r="AI2150">
        <v>0</v>
      </c>
      <c r="AJ2150">
        <v>0</v>
      </c>
      <c r="AK2150">
        <v>3</v>
      </c>
      <c r="AL2150">
        <v>0</v>
      </c>
      <c r="AM2150">
        <v>0</v>
      </c>
      <c r="AN2150">
        <v>0</v>
      </c>
      <c r="BC2150">
        <v>0</v>
      </c>
      <c r="BD2150">
        <v>11</v>
      </c>
      <c r="BE2150">
        <v>466</v>
      </c>
      <c r="BF2150">
        <v>466</v>
      </c>
      <c r="BG2150">
        <v>555</v>
      </c>
      <c r="BJ2150">
        <v>1</v>
      </c>
      <c r="BL2150" t="s">
        <v>4484</v>
      </c>
      <c r="BM2150" s="4">
        <v>43283.371527777781</v>
      </c>
      <c r="BN2150" s="4">
        <v>43283.378831018519</v>
      </c>
      <c r="BO2150" s="4">
        <v>43283.378831018519</v>
      </c>
      <c r="BP2150" t="s">
        <v>92</v>
      </c>
      <c r="BQ2150" t="s">
        <v>93</v>
      </c>
      <c r="BR2150" t="s">
        <v>94</v>
      </c>
    </row>
    <row r="2151" spans="1:70" x14ac:dyDescent="0.3">
      <c r="A2151" t="str">
        <f>"201474C0100"</f>
        <v>201474C0100</v>
      </c>
      <c r="B2151" t="s">
        <v>4485</v>
      </c>
      <c r="C2151">
        <v>20</v>
      </c>
      <c r="D2151" t="s">
        <v>88</v>
      </c>
      <c r="E2151">
        <v>307</v>
      </c>
      <c r="F2151" t="s">
        <v>4479</v>
      </c>
      <c r="G2151">
        <v>1474</v>
      </c>
      <c r="H2151">
        <v>1</v>
      </c>
      <c r="I2151" t="s">
        <v>98</v>
      </c>
      <c r="J2151">
        <v>0</v>
      </c>
      <c r="K2151">
        <v>2</v>
      </c>
      <c r="L2151">
        <v>5</v>
      </c>
      <c r="BG2151">
        <v>555</v>
      </c>
      <c r="BI2151" t="s">
        <v>122</v>
      </c>
      <c r="BJ2151">
        <v>0</v>
      </c>
      <c r="BL2151" t="s">
        <v>4486</v>
      </c>
      <c r="BM2151" s="4">
        <v>43282.533333333333</v>
      </c>
      <c r="BN2151" s="4">
        <v>43283.533113425925</v>
      </c>
      <c r="BO2151" s="4">
        <v>43283.533113425925</v>
      </c>
      <c r="BP2151" t="s">
        <v>92</v>
      </c>
      <c r="BQ2151" t="s">
        <v>93</v>
      </c>
      <c r="BR2151" t="s">
        <v>94</v>
      </c>
    </row>
    <row r="2152" spans="1:70" x14ac:dyDescent="0.3">
      <c r="A2152" t="str">
        <f>"201474C0200"</f>
        <v>201474C0200</v>
      </c>
      <c r="B2152" t="s">
        <v>4487</v>
      </c>
      <c r="C2152">
        <v>20</v>
      </c>
      <c r="D2152" t="s">
        <v>88</v>
      </c>
      <c r="E2152">
        <v>307</v>
      </c>
      <c r="F2152" t="s">
        <v>4479</v>
      </c>
      <c r="G2152">
        <v>1474</v>
      </c>
      <c r="H2152">
        <v>2</v>
      </c>
      <c r="I2152" t="s">
        <v>98</v>
      </c>
      <c r="J2152">
        <v>0</v>
      </c>
      <c r="K2152">
        <v>2</v>
      </c>
      <c r="L2152">
        <v>5</v>
      </c>
      <c r="BG2152">
        <v>554</v>
      </c>
      <c r="BI2152" t="s">
        <v>122</v>
      </c>
      <c r="BJ2152">
        <v>0</v>
      </c>
      <c r="BL2152" t="s">
        <v>4488</v>
      </c>
      <c r="BM2152" s="4">
        <v>43282.53402777778</v>
      </c>
      <c r="BN2152" s="4">
        <v>43283.53402777778</v>
      </c>
      <c r="BO2152" s="4">
        <v>43283.53402777778</v>
      </c>
      <c r="BP2152" t="s">
        <v>92</v>
      </c>
      <c r="BQ2152" t="s">
        <v>93</v>
      </c>
      <c r="BR2152" t="s">
        <v>94</v>
      </c>
    </row>
    <row r="2153" spans="1:70" x14ac:dyDescent="0.3">
      <c r="A2153" t="str">
        <f>"201475B0100"</f>
        <v>201475B0100</v>
      </c>
      <c r="B2153" t="s">
        <v>4489</v>
      </c>
      <c r="C2153">
        <v>20</v>
      </c>
      <c r="D2153" t="s">
        <v>88</v>
      </c>
      <c r="E2153">
        <v>307</v>
      </c>
      <c r="F2153" t="s">
        <v>4479</v>
      </c>
      <c r="G2153">
        <v>1475</v>
      </c>
      <c r="H2153">
        <v>1</v>
      </c>
      <c r="I2153" t="s">
        <v>90</v>
      </c>
      <c r="J2153">
        <v>0</v>
      </c>
      <c r="K2153">
        <v>2</v>
      </c>
      <c r="L2153">
        <v>5</v>
      </c>
      <c r="BG2153">
        <v>405</v>
      </c>
      <c r="BI2153" t="s">
        <v>122</v>
      </c>
      <c r="BJ2153">
        <v>0</v>
      </c>
      <c r="BL2153" t="s">
        <v>4490</v>
      </c>
      <c r="BM2153" s="4">
        <v>43282.53402777778</v>
      </c>
      <c r="BN2153" s="4">
        <v>43283.534224537034</v>
      </c>
      <c r="BO2153" s="4">
        <v>43283.534224537034</v>
      </c>
      <c r="BP2153" t="s">
        <v>92</v>
      </c>
      <c r="BQ2153" t="s">
        <v>93</v>
      </c>
      <c r="BR2153" t="s">
        <v>94</v>
      </c>
    </row>
    <row r="2154" spans="1:70" x14ac:dyDescent="0.3">
      <c r="A2154" t="str">
        <f>"201476B0100"</f>
        <v>201476B0100</v>
      </c>
      <c r="B2154" t="s">
        <v>4491</v>
      </c>
      <c r="C2154">
        <v>20</v>
      </c>
      <c r="D2154" t="s">
        <v>88</v>
      </c>
      <c r="E2154">
        <v>307</v>
      </c>
      <c r="F2154" t="s">
        <v>4479</v>
      </c>
      <c r="G2154">
        <v>1476</v>
      </c>
      <c r="H2154">
        <v>1</v>
      </c>
      <c r="I2154" t="s">
        <v>90</v>
      </c>
      <c r="J2154">
        <v>0</v>
      </c>
      <c r="K2154">
        <v>2</v>
      </c>
      <c r="L2154">
        <v>5</v>
      </c>
      <c r="M2154">
        <v>90</v>
      </c>
      <c r="N2154">
        <v>394</v>
      </c>
      <c r="O2154">
        <v>0</v>
      </c>
      <c r="P2154">
        <v>394</v>
      </c>
      <c r="Q2154">
        <v>0</v>
      </c>
      <c r="R2154">
        <v>177</v>
      </c>
      <c r="S2154">
        <v>1</v>
      </c>
      <c r="T2154">
        <v>2</v>
      </c>
      <c r="U2154">
        <v>8</v>
      </c>
      <c r="V2154">
        <v>12</v>
      </c>
      <c r="X2154">
        <v>6</v>
      </c>
      <c r="Y2154">
        <v>180</v>
      </c>
      <c r="Z2154">
        <v>1</v>
      </c>
      <c r="AC2154" t="s">
        <v>105</v>
      </c>
      <c r="AD2154" t="s">
        <v>105</v>
      </c>
      <c r="AE2154" t="s">
        <v>105</v>
      </c>
      <c r="AF2154" t="s">
        <v>105</v>
      </c>
      <c r="AG2154" t="s">
        <v>105</v>
      </c>
      <c r="AH2154">
        <v>1</v>
      </c>
      <c r="AI2154" t="s">
        <v>105</v>
      </c>
      <c r="AJ2154" t="s">
        <v>105</v>
      </c>
      <c r="AK2154" t="s">
        <v>105</v>
      </c>
      <c r="AL2154" t="s">
        <v>105</v>
      </c>
      <c r="AM2154" t="s">
        <v>105</v>
      </c>
      <c r="AN2154">
        <v>1</v>
      </c>
      <c r="BC2154" t="s">
        <v>105</v>
      </c>
      <c r="BD2154">
        <v>5</v>
      </c>
      <c r="BE2154">
        <v>394</v>
      </c>
      <c r="BF2154">
        <v>394</v>
      </c>
      <c r="BG2154">
        <v>462</v>
      </c>
      <c r="BI2154" t="s">
        <v>106</v>
      </c>
      <c r="BJ2154">
        <v>1</v>
      </c>
      <c r="BL2154" t="s">
        <v>4492</v>
      </c>
      <c r="BM2154" s="4">
        <v>43283.379861111112</v>
      </c>
      <c r="BN2154" s="4">
        <v>43283.383738425924</v>
      </c>
      <c r="BO2154" s="4">
        <v>43283.383738425924</v>
      </c>
      <c r="BP2154" t="s">
        <v>92</v>
      </c>
      <c r="BQ2154" t="s">
        <v>93</v>
      </c>
      <c r="BR2154" t="s">
        <v>94</v>
      </c>
    </row>
    <row r="2155" spans="1:70" x14ac:dyDescent="0.3">
      <c r="A2155" t="str">
        <f>"201476C0100"</f>
        <v>201476C0100</v>
      </c>
      <c r="B2155" t="s">
        <v>4493</v>
      </c>
      <c r="C2155">
        <v>20</v>
      </c>
      <c r="D2155" t="s">
        <v>88</v>
      </c>
      <c r="E2155">
        <v>307</v>
      </c>
      <c r="F2155" t="s">
        <v>4479</v>
      </c>
      <c r="G2155">
        <v>1476</v>
      </c>
      <c r="H2155">
        <v>1</v>
      </c>
      <c r="I2155" t="s">
        <v>98</v>
      </c>
      <c r="J2155">
        <v>0</v>
      </c>
      <c r="K2155">
        <v>2</v>
      </c>
      <c r="L2155">
        <v>5</v>
      </c>
      <c r="M2155">
        <v>98</v>
      </c>
      <c r="N2155">
        <v>385</v>
      </c>
      <c r="O2155" t="s">
        <v>105</v>
      </c>
      <c r="P2155">
        <v>385</v>
      </c>
      <c r="Q2155">
        <v>4</v>
      </c>
      <c r="R2155">
        <v>160</v>
      </c>
      <c r="S2155">
        <v>1</v>
      </c>
      <c r="T2155" t="s">
        <v>105</v>
      </c>
      <c r="U2155" t="s">
        <v>105</v>
      </c>
      <c r="V2155">
        <v>4</v>
      </c>
      <c r="X2155" t="s">
        <v>105</v>
      </c>
      <c r="Y2155">
        <v>207</v>
      </c>
      <c r="Z2155" t="s">
        <v>105</v>
      </c>
      <c r="AC2155" t="s">
        <v>105</v>
      </c>
      <c r="AD2155" t="s">
        <v>105</v>
      </c>
      <c r="AE2155" t="s">
        <v>105</v>
      </c>
      <c r="AF2155" t="s">
        <v>105</v>
      </c>
      <c r="AG2155" t="s">
        <v>105</v>
      </c>
      <c r="AH2155" t="s">
        <v>105</v>
      </c>
      <c r="AI2155" t="s">
        <v>105</v>
      </c>
      <c r="AJ2155" t="s">
        <v>105</v>
      </c>
      <c r="AK2155" t="s">
        <v>105</v>
      </c>
      <c r="AL2155" t="s">
        <v>105</v>
      </c>
      <c r="AM2155" t="s">
        <v>105</v>
      </c>
      <c r="AN2155" t="s">
        <v>105</v>
      </c>
      <c r="BC2155" t="s">
        <v>105</v>
      </c>
      <c r="BD2155">
        <v>9</v>
      </c>
      <c r="BE2155">
        <v>385</v>
      </c>
      <c r="BF2155">
        <v>385</v>
      </c>
      <c r="BG2155">
        <v>461</v>
      </c>
      <c r="BI2155" t="s">
        <v>106</v>
      </c>
      <c r="BJ2155">
        <v>1</v>
      </c>
      <c r="BL2155" t="s">
        <v>4494</v>
      </c>
      <c r="BM2155" s="4">
        <v>43283.368750000001</v>
      </c>
      <c r="BN2155" s="4">
        <v>43283.376631944448</v>
      </c>
      <c r="BO2155" s="4">
        <v>43283.376631944448</v>
      </c>
      <c r="BP2155" t="s">
        <v>92</v>
      </c>
      <c r="BQ2155" t="s">
        <v>93</v>
      </c>
      <c r="BR2155" t="s">
        <v>94</v>
      </c>
    </row>
    <row r="2156" spans="1:70" x14ac:dyDescent="0.3">
      <c r="A2156" t="str">
        <f>"201477B0100"</f>
        <v>201477B0100</v>
      </c>
      <c r="B2156" t="s">
        <v>4495</v>
      </c>
      <c r="C2156">
        <v>20</v>
      </c>
      <c r="D2156" t="s">
        <v>88</v>
      </c>
      <c r="E2156">
        <v>307</v>
      </c>
      <c r="F2156" t="s">
        <v>4479</v>
      </c>
      <c r="G2156">
        <v>1477</v>
      </c>
      <c r="H2156">
        <v>1</v>
      </c>
      <c r="I2156" t="s">
        <v>90</v>
      </c>
      <c r="J2156">
        <v>0</v>
      </c>
      <c r="K2156">
        <v>2</v>
      </c>
      <c r="L2156">
        <v>5</v>
      </c>
      <c r="M2156">
        <v>60</v>
      </c>
      <c r="N2156">
        <v>177</v>
      </c>
      <c r="O2156">
        <v>3</v>
      </c>
      <c r="P2156">
        <v>177</v>
      </c>
      <c r="Q2156">
        <v>0</v>
      </c>
      <c r="R2156">
        <v>39</v>
      </c>
      <c r="S2156">
        <v>2</v>
      </c>
      <c r="T2156">
        <v>2</v>
      </c>
      <c r="U2156">
        <v>3</v>
      </c>
      <c r="V2156">
        <v>5</v>
      </c>
      <c r="X2156">
        <v>1</v>
      </c>
      <c r="Y2156">
        <v>116</v>
      </c>
      <c r="Z2156">
        <v>3</v>
      </c>
      <c r="AC2156">
        <v>0</v>
      </c>
      <c r="AD2156">
        <v>0</v>
      </c>
      <c r="AE2156">
        <v>0</v>
      </c>
      <c r="AF2156">
        <v>0</v>
      </c>
      <c r="AG2156">
        <v>0</v>
      </c>
      <c r="AH2156">
        <v>4</v>
      </c>
      <c r="AI2156">
        <v>0</v>
      </c>
      <c r="AJ2156">
        <v>0</v>
      </c>
      <c r="AK2156">
        <v>0</v>
      </c>
      <c r="AL2156">
        <v>0</v>
      </c>
      <c r="AM2156">
        <v>0</v>
      </c>
      <c r="AN2156">
        <v>0</v>
      </c>
      <c r="BC2156">
        <v>0</v>
      </c>
      <c r="BD2156">
        <v>2</v>
      </c>
      <c r="BE2156">
        <v>177</v>
      </c>
      <c r="BF2156">
        <v>177</v>
      </c>
      <c r="BG2156">
        <v>215</v>
      </c>
      <c r="BJ2156">
        <v>1</v>
      </c>
      <c r="BL2156" t="s">
        <v>4496</v>
      </c>
      <c r="BM2156" s="4">
        <v>43283.375</v>
      </c>
      <c r="BN2156" s="4">
        <v>43283.382604166669</v>
      </c>
      <c r="BO2156" s="4">
        <v>43283.382604166669</v>
      </c>
      <c r="BP2156" t="s">
        <v>92</v>
      </c>
      <c r="BQ2156" t="s">
        <v>93</v>
      </c>
      <c r="BR2156" t="s">
        <v>94</v>
      </c>
    </row>
    <row r="2157" spans="1:70" x14ac:dyDescent="0.3">
      <c r="A2157" t="str">
        <f>"201478B0100"</f>
        <v>201478B0100</v>
      </c>
      <c r="B2157" t="s">
        <v>4497</v>
      </c>
      <c r="C2157">
        <v>20</v>
      </c>
      <c r="D2157" t="s">
        <v>88</v>
      </c>
      <c r="E2157">
        <v>307</v>
      </c>
      <c r="F2157" t="s">
        <v>4479</v>
      </c>
      <c r="G2157">
        <v>1478</v>
      </c>
      <c r="H2157">
        <v>1</v>
      </c>
      <c r="I2157" t="s">
        <v>90</v>
      </c>
      <c r="J2157">
        <v>0</v>
      </c>
      <c r="K2157">
        <v>2</v>
      </c>
      <c r="L2157">
        <v>5</v>
      </c>
      <c r="M2157">
        <v>97</v>
      </c>
      <c r="N2157">
        <v>456</v>
      </c>
      <c r="O2157">
        <v>0</v>
      </c>
      <c r="P2157">
        <v>456</v>
      </c>
      <c r="Q2157">
        <v>3</v>
      </c>
      <c r="R2157">
        <v>109</v>
      </c>
      <c r="S2157">
        <v>6</v>
      </c>
      <c r="T2157">
        <v>2</v>
      </c>
      <c r="U2157">
        <v>4</v>
      </c>
      <c r="V2157">
        <v>9</v>
      </c>
      <c r="X2157">
        <v>2</v>
      </c>
      <c r="Y2157">
        <v>300</v>
      </c>
      <c r="Z2157">
        <v>3</v>
      </c>
      <c r="AC2157">
        <v>1</v>
      </c>
      <c r="AD2157">
        <v>0</v>
      </c>
      <c r="AE2157">
        <v>0</v>
      </c>
      <c r="AF2157">
        <v>0</v>
      </c>
      <c r="AG2157">
        <v>0</v>
      </c>
      <c r="AH2157">
        <v>0</v>
      </c>
      <c r="AI2157">
        <v>0</v>
      </c>
      <c r="AJ2157">
        <v>0</v>
      </c>
      <c r="AK2157">
        <v>2</v>
      </c>
      <c r="AL2157">
        <v>2</v>
      </c>
      <c r="AM2157">
        <v>0</v>
      </c>
      <c r="AN2157">
        <v>0</v>
      </c>
      <c r="BC2157">
        <v>0</v>
      </c>
      <c r="BD2157">
        <v>13</v>
      </c>
      <c r="BE2157">
        <v>456</v>
      </c>
      <c r="BF2157">
        <v>456</v>
      </c>
      <c r="BG2157">
        <v>531</v>
      </c>
      <c r="BJ2157">
        <v>1</v>
      </c>
      <c r="BL2157" t="s">
        <v>4498</v>
      </c>
      <c r="BM2157" s="4">
        <v>43283.370833333334</v>
      </c>
      <c r="BN2157" s="4">
        <v>43283.393888888888</v>
      </c>
      <c r="BO2157" s="4">
        <v>43283.393888888888</v>
      </c>
      <c r="BP2157" t="s">
        <v>92</v>
      </c>
      <c r="BQ2157" t="s">
        <v>93</v>
      </c>
      <c r="BR2157" t="s">
        <v>94</v>
      </c>
    </row>
    <row r="2158" spans="1:70" x14ac:dyDescent="0.3">
      <c r="A2158" t="str">
        <f>"201478C0100"</f>
        <v>201478C0100</v>
      </c>
      <c r="B2158" t="s">
        <v>4499</v>
      </c>
      <c r="C2158">
        <v>20</v>
      </c>
      <c r="D2158" t="s">
        <v>88</v>
      </c>
      <c r="E2158">
        <v>307</v>
      </c>
      <c r="F2158" t="s">
        <v>4479</v>
      </c>
      <c r="G2158">
        <v>1478</v>
      </c>
      <c r="H2158">
        <v>1</v>
      </c>
      <c r="I2158" t="s">
        <v>98</v>
      </c>
      <c r="J2158">
        <v>0</v>
      </c>
      <c r="K2158">
        <v>2</v>
      </c>
      <c r="L2158">
        <v>5</v>
      </c>
      <c r="M2158">
        <v>109</v>
      </c>
      <c r="N2158">
        <v>444</v>
      </c>
      <c r="O2158">
        <v>0</v>
      </c>
      <c r="P2158">
        <v>444</v>
      </c>
      <c r="Q2158">
        <v>3</v>
      </c>
      <c r="R2158">
        <v>117</v>
      </c>
      <c r="S2158">
        <v>1</v>
      </c>
      <c r="T2158">
        <v>2</v>
      </c>
      <c r="U2158">
        <v>3</v>
      </c>
      <c r="V2158">
        <v>5</v>
      </c>
      <c r="X2158">
        <v>0</v>
      </c>
      <c r="Y2158">
        <v>296</v>
      </c>
      <c r="Z2158">
        <v>6</v>
      </c>
      <c r="AC2158">
        <v>0</v>
      </c>
      <c r="AD2158">
        <v>0</v>
      </c>
      <c r="AE2158">
        <v>0</v>
      </c>
      <c r="AF2158">
        <v>0</v>
      </c>
      <c r="AG2158">
        <v>1</v>
      </c>
      <c r="AH2158">
        <v>1</v>
      </c>
      <c r="AI2158">
        <v>0</v>
      </c>
      <c r="AJ2158">
        <v>0</v>
      </c>
      <c r="AK2158">
        <v>2</v>
      </c>
      <c r="AL2158">
        <v>0</v>
      </c>
      <c r="AM2158">
        <v>0</v>
      </c>
      <c r="AN2158">
        <v>2</v>
      </c>
      <c r="BC2158">
        <v>0</v>
      </c>
      <c r="BD2158">
        <v>5</v>
      </c>
      <c r="BE2158">
        <v>444</v>
      </c>
      <c r="BF2158">
        <v>444</v>
      </c>
      <c r="BG2158">
        <v>531</v>
      </c>
      <c r="BJ2158">
        <v>1</v>
      </c>
      <c r="BL2158" t="s">
        <v>4500</v>
      </c>
      <c r="BM2158" s="4">
        <v>43283.374305555553</v>
      </c>
      <c r="BN2158" s="4">
        <v>43283.395787037036</v>
      </c>
      <c r="BO2158" s="4">
        <v>43283.395787037036</v>
      </c>
      <c r="BP2158" t="s">
        <v>92</v>
      </c>
      <c r="BQ2158" t="s">
        <v>93</v>
      </c>
      <c r="BR2158" t="s">
        <v>94</v>
      </c>
    </row>
    <row r="2159" spans="1:70" x14ac:dyDescent="0.3">
      <c r="A2159" t="str">
        <f>"201479B0100"</f>
        <v>201479B0100</v>
      </c>
      <c r="B2159" t="s">
        <v>4501</v>
      </c>
      <c r="C2159">
        <v>20</v>
      </c>
      <c r="D2159" t="s">
        <v>88</v>
      </c>
      <c r="E2159">
        <v>307</v>
      </c>
      <c r="F2159" t="s">
        <v>4479</v>
      </c>
      <c r="G2159">
        <v>1479</v>
      </c>
      <c r="H2159">
        <v>1</v>
      </c>
      <c r="I2159" t="s">
        <v>90</v>
      </c>
      <c r="J2159">
        <v>0</v>
      </c>
      <c r="K2159">
        <v>2</v>
      </c>
      <c r="L2159">
        <v>5</v>
      </c>
      <c r="M2159">
        <v>145</v>
      </c>
      <c r="N2159">
        <v>538</v>
      </c>
      <c r="O2159">
        <v>1</v>
      </c>
      <c r="P2159">
        <v>538</v>
      </c>
      <c r="Q2159">
        <v>3</v>
      </c>
      <c r="R2159">
        <v>166</v>
      </c>
      <c r="S2159">
        <v>5</v>
      </c>
      <c r="T2159">
        <v>3</v>
      </c>
      <c r="U2159">
        <v>6</v>
      </c>
      <c r="V2159">
        <v>11</v>
      </c>
      <c r="X2159">
        <v>4</v>
      </c>
      <c r="Y2159">
        <v>313</v>
      </c>
      <c r="Z2159">
        <v>1</v>
      </c>
      <c r="AC2159">
        <v>0</v>
      </c>
      <c r="AD2159">
        <v>0</v>
      </c>
      <c r="AE2159">
        <v>0</v>
      </c>
      <c r="AF2159">
        <v>0</v>
      </c>
      <c r="AG2159">
        <v>3</v>
      </c>
      <c r="AH2159">
        <v>0</v>
      </c>
      <c r="AI2159">
        <v>0</v>
      </c>
      <c r="AJ2159">
        <v>0</v>
      </c>
      <c r="AK2159">
        <v>4</v>
      </c>
      <c r="AL2159">
        <v>0</v>
      </c>
      <c r="AM2159">
        <v>0</v>
      </c>
      <c r="AN2159">
        <v>1</v>
      </c>
      <c r="BC2159">
        <v>0</v>
      </c>
      <c r="BD2159">
        <v>18</v>
      </c>
      <c r="BE2159">
        <v>538</v>
      </c>
      <c r="BF2159">
        <v>538</v>
      </c>
      <c r="BG2159">
        <v>662</v>
      </c>
      <c r="BJ2159">
        <v>1</v>
      </c>
      <c r="BL2159" t="s">
        <v>4502</v>
      </c>
      <c r="BM2159" s="4">
        <v>43283.376388888886</v>
      </c>
      <c r="BN2159" s="4">
        <v>43283.379606481481</v>
      </c>
      <c r="BO2159" s="4">
        <v>43283.379606481481</v>
      </c>
      <c r="BP2159" t="s">
        <v>92</v>
      </c>
      <c r="BQ2159" t="s">
        <v>93</v>
      </c>
      <c r="BR2159" t="s">
        <v>94</v>
      </c>
    </row>
    <row r="2160" spans="1:70" x14ac:dyDescent="0.3">
      <c r="A2160" t="str">
        <f>"201480B0100"</f>
        <v>201480B0100</v>
      </c>
      <c r="B2160" t="s">
        <v>4503</v>
      </c>
      <c r="C2160">
        <v>20</v>
      </c>
      <c r="D2160" t="s">
        <v>88</v>
      </c>
      <c r="E2160">
        <v>307</v>
      </c>
      <c r="F2160" t="s">
        <v>4479</v>
      </c>
      <c r="G2160">
        <v>1480</v>
      </c>
      <c r="H2160">
        <v>1</v>
      </c>
      <c r="I2160" t="s">
        <v>90</v>
      </c>
      <c r="J2160">
        <v>0</v>
      </c>
      <c r="K2160">
        <v>2</v>
      </c>
      <c r="L2160">
        <v>5</v>
      </c>
      <c r="BG2160">
        <v>602</v>
      </c>
      <c r="BI2160" t="s">
        <v>122</v>
      </c>
      <c r="BJ2160">
        <v>0</v>
      </c>
      <c r="BL2160" t="s">
        <v>4504</v>
      </c>
      <c r="BM2160" s="4">
        <v>43282.531944444447</v>
      </c>
      <c r="BN2160" s="4">
        <v>43283.532210648147</v>
      </c>
      <c r="BO2160" s="4">
        <v>43283.532210648147</v>
      </c>
      <c r="BP2160" t="s">
        <v>92</v>
      </c>
      <c r="BQ2160" t="s">
        <v>93</v>
      </c>
      <c r="BR2160" t="s">
        <v>94</v>
      </c>
    </row>
    <row r="2161" spans="1:70" x14ac:dyDescent="0.3">
      <c r="A2161" t="str">
        <f>"201481B0100"</f>
        <v>201481B0100</v>
      </c>
      <c r="B2161" t="s">
        <v>4505</v>
      </c>
      <c r="C2161">
        <v>20</v>
      </c>
      <c r="D2161" t="s">
        <v>88</v>
      </c>
      <c r="E2161">
        <v>307</v>
      </c>
      <c r="F2161" t="s">
        <v>4479</v>
      </c>
      <c r="G2161">
        <v>1481</v>
      </c>
      <c r="H2161">
        <v>1</v>
      </c>
      <c r="I2161" t="s">
        <v>90</v>
      </c>
      <c r="J2161">
        <v>0</v>
      </c>
      <c r="K2161">
        <v>2</v>
      </c>
      <c r="L2161">
        <v>5</v>
      </c>
      <c r="M2161">
        <v>117</v>
      </c>
      <c r="N2161">
        <v>467</v>
      </c>
      <c r="O2161">
        <v>3</v>
      </c>
      <c r="P2161" t="s">
        <v>105</v>
      </c>
      <c r="Q2161">
        <v>3</v>
      </c>
      <c r="R2161">
        <v>180</v>
      </c>
      <c r="S2161">
        <v>0</v>
      </c>
      <c r="T2161">
        <v>10</v>
      </c>
      <c r="U2161">
        <v>6</v>
      </c>
      <c r="V2161">
        <v>9</v>
      </c>
      <c r="X2161">
        <v>3</v>
      </c>
      <c r="Y2161">
        <v>246</v>
      </c>
      <c r="Z2161">
        <v>1</v>
      </c>
      <c r="AC2161">
        <v>0</v>
      </c>
      <c r="AD2161">
        <v>0</v>
      </c>
      <c r="AE2161">
        <v>0</v>
      </c>
      <c r="AF2161">
        <v>0</v>
      </c>
      <c r="AG2161">
        <v>2</v>
      </c>
      <c r="AH2161">
        <v>1</v>
      </c>
      <c r="AI2161">
        <v>0</v>
      </c>
      <c r="AJ2161">
        <v>0</v>
      </c>
      <c r="AK2161">
        <v>0</v>
      </c>
      <c r="AL2161">
        <v>0</v>
      </c>
      <c r="AM2161">
        <v>0</v>
      </c>
      <c r="AN2161">
        <v>0</v>
      </c>
      <c r="BC2161" t="s">
        <v>105</v>
      </c>
      <c r="BD2161">
        <v>6</v>
      </c>
      <c r="BE2161">
        <v>467</v>
      </c>
      <c r="BF2161">
        <v>467</v>
      </c>
      <c r="BG2161">
        <v>563</v>
      </c>
      <c r="BI2161" t="s">
        <v>106</v>
      </c>
      <c r="BJ2161">
        <v>1</v>
      </c>
      <c r="BL2161" t="s">
        <v>4506</v>
      </c>
      <c r="BM2161" s="4">
        <v>43283.369444444441</v>
      </c>
      <c r="BN2161" s="4">
        <v>43283.376817129632</v>
      </c>
      <c r="BO2161" s="4">
        <v>43283.376817129632</v>
      </c>
      <c r="BP2161" t="s">
        <v>92</v>
      </c>
      <c r="BQ2161" t="s">
        <v>93</v>
      </c>
      <c r="BR2161" t="s">
        <v>94</v>
      </c>
    </row>
    <row r="2162" spans="1:70" x14ac:dyDescent="0.3">
      <c r="A2162" t="str">
        <f>"201485B0100"</f>
        <v>201485B0100</v>
      </c>
      <c r="B2162" t="s">
        <v>4507</v>
      </c>
      <c r="C2162">
        <v>20</v>
      </c>
      <c r="D2162" t="s">
        <v>88</v>
      </c>
      <c r="E2162">
        <v>310</v>
      </c>
      <c r="F2162" t="s">
        <v>4508</v>
      </c>
      <c r="G2162">
        <v>1485</v>
      </c>
      <c r="H2162">
        <v>1</v>
      </c>
      <c r="I2162" t="s">
        <v>90</v>
      </c>
      <c r="J2162">
        <v>0</v>
      </c>
      <c r="K2162">
        <v>1</v>
      </c>
      <c r="L2162">
        <v>5</v>
      </c>
      <c r="M2162">
        <v>148</v>
      </c>
      <c r="N2162">
        <v>461</v>
      </c>
      <c r="O2162">
        <v>0</v>
      </c>
      <c r="P2162">
        <v>461</v>
      </c>
      <c r="Q2162">
        <v>2</v>
      </c>
      <c r="R2162">
        <v>129</v>
      </c>
      <c r="S2162">
        <v>159</v>
      </c>
      <c r="U2162">
        <v>3</v>
      </c>
      <c r="V2162">
        <v>2</v>
      </c>
      <c r="W2162">
        <v>1</v>
      </c>
      <c r="Y2162">
        <v>138</v>
      </c>
      <c r="Z2162">
        <v>5</v>
      </c>
      <c r="AC2162">
        <v>0</v>
      </c>
      <c r="AD2162">
        <v>2</v>
      </c>
      <c r="AE2162">
        <v>0</v>
      </c>
      <c r="AF2162">
        <v>0</v>
      </c>
      <c r="AK2162">
        <v>3</v>
      </c>
      <c r="AL2162">
        <v>2</v>
      </c>
      <c r="AM2162">
        <v>0</v>
      </c>
      <c r="AN2162">
        <v>1</v>
      </c>
      <c r="BC2162">
        <v>0</v>
      </c>
      <c r="BD2162">
        <v>14</v>
      </c>
      <c r="BE2162">
        <v>461</v>
      </c>
      <c r="BF2162">
        <v>461</v>
      </c>
      <c r="BG2162">
        <v>587</v>
      </c>
      <c r="BJ2162">
        <v>1</v>
      </c>
      <c r="BL2162" t="s">
        <v>4509</v>
      </c>
      <c r="BM2162" s="4">
        <v>43283.154166666667</v>
      </c>
      <c r="BN2162" s="4">
        <v>43283.167407407411</v>
      </c>
      <c r="BO2162" s="4">
        <v>43283.167407407411</v>
      </c>
      <c r="BP2162" t="s">
        <v>92</v>
      </c>
      <c r="BQ2162" t="s">
        <v>93</v>
      </c>
      <c r="BR2162" t="s">
        <v>94</v>
      </c>
    </row>
    <row r="2163" spans="1:70" x14ac:dyDescent="0.3">
      <c r="A2163" t="str">
        <f>"201485C0100"</f>
        <v>201485C0100</v>
      </c>
      <c r="B2163" t="s">
        <v>4510</v>
      </c>
      <c r="C2163">
        <v>20</v>
      </c>
      <c r="D2163" t="s">
        <v>88</v>
      </c>
      <c r="E2163">
        <v>310</v>
      </c>
      <c r="F2163" t="s">
        <v>4508</v>
      </c>
      <c r="G2163">
        <v>1485</v>
      </c>
      <c r="H2163">
        <v>1</v>
      </c>
      <c r="I2163" t="s">
        <v>98</v>
      </c>
      <c r="J2163">
        <v>0</v>
      </c>
      <c r="K2163">
        <v>1</v>
      </c>
      <c r="L2163">
        <v>5</v>
      </c>
      <c r="M2163">
        <v>157</v>
      </c>
      <c r="N2163">
        <v>452</v>
      </c>
      <c r="O2163">
        <v>5</v>
      </c>
      <c r="P2163">
        <v>452</v>
      </c>
      <c r="Q2163">
        <v>0</v>
      </c>
      <c r="R2163">
        <v>140</v>
      </c>
      <c r="S2163">
        <v>138</v>
      </c>
      <c r="U2163">
        <v>3</v>
      </c>
      <c r="V2163">
        <v>0</v>
      </c>
      <c r="W2163">
        <v>2</v>
      </c>
      <c r="Y2163">
        <v>154</v>
      </c>
      <c r="Z2163">
        <v>3</v>
      </c>
      <c r="AC2163">
        <v>0</v>
      </c>
      <c r="AD2163">
        <v>0</v>
      </c>
      <c r="AE2163">
        <v>0</v>
      </c>
      <c r="AF2163">
        <v>0</v>
      </c>
      <c r="AK2163">
        <v>0</v>
      </c>
      <c r="AL2163">
        <v>0</v>
      </c>
      <c r="AM2163">
        <v>0</v>
      </c>
      <c r="AN2163">
        <v>0</v>
      </c>
      <c r="BC2163">
        <v>0</v>
      </c>
      <c r="BD2163">
        <v>12</v>
      </c>
      <c r="BE2163">
        <v>452</v>
      </c>
      <c r="BF2163">
        <v>452</v>
      </c>
      <c r="BG2163">
        <v>587</v>
      </c>
      <c r="BJ2163">
        <v>1</v>
      </c>
      <c r="BL2163" t="s">
        <v>4511</v>
      </c>
      <c r="BM2163" s="4">
        <v>43283.151388888888</v>
      </c>
      <c r="BN2163" s="4">
        <v>43283.163842592592</v>
      </c>
      <c r="BO2163" s="4">
        <v>43283.163842592592</v>
      </c>
      <c r="BP2163" t="s">
        <v>92</v>
      </c>
      <c r="BQ2163" t="s">
        <v>93</v>
      </c>
      <c r="BR2163" t="s">
        <v>94</v>
      </c>
    </row>
    <row r="2164" spans="1:70" x14ac:dyDescent="0.3">
      <c r="A2164" t="str">
        <f>"201486B0100"</f>
        <v>201486B0100</v>
      </c>
      <c r="B2164" t="s">
        <v>4512</v>
      </c>
      <c r="C2164">
        <v>20</v>
      </c>
      <c r="D2164" t="s">
        <v>88</v>
      </c>
      <c r="E2164">
        <v>310</v>
      </c>
      <c r="F2164" t="s">
        <v>4508</v>
      </c>
      <c r="G2164">
        <v>1486</v>
      </c>
      <c r="H2164">
        <v>1</v>
      </c>
      <c r="I2164" t="s">
        <v>90</v>
      </c>
      <c r="J2164">
        <v>0</v>
      </c>
      <c r="K2164">
        <v>1</v>
      </c>
      <c r="L2164">
        <v>5</v>
      </c>
      <c r="M2164">
        <v>147</v>
      </c>
      <c r="N2164" t="s">
        <v>127</v>
      </c>
      <c r="O2164" t="s">
        <v>127</v>
      </c>
      <c r="P2164">
        <v>445</v>
      </c>
      <c r="Q2164">
        <v>4</v>
      </c>
      <c r="R2164">
        <v>154</v>
      </c>
      <c r="S2164">
        <v>104</v>
      </c>
      <c r="U2164">
        <v>8</v>
      </c>
      <c r="V2164">
        <v>2</v>
      </c>
      <c r="W2164">
        <v>2</v>
      </c>
      <c r="Y2164">
        <v>152</v>
      </c>
      <c r="Z2164">
        <v>6</v>
      </c>
      <c r="AC2164">
        <v>1</v>
      </c>
      <c r="AD2164">
        <v>2</v>
      </c>
      <c r="AE2164" t="s">
        <v>105</v>
      </c>
      <c r="AF2164">
        <v>1</v>
      </c>
      <c r="AK2164">
        <v>1</v>
      </c>
      <c r="AL2164" t="s">
        <v>105</v>
      </c>
      <c r="AM2164" t="s">
        <v>127</v>
      </c>
      <c r="AN2164" t="s">
        <v>105</v>
      </c>
      <c r="BC2164" t="s">
        <v>105</v>
      </c>
      <c r="BD2164">
        <v>9</v>
      </c>
      <c r="BE2164">
        <v>445</v>
      </c>
      <c r="BF2164">
        <v>446</v>
      </c>
      <c r="BG2164">
        <v>570</v>
      </c>
      <c r="BI2164" t="s">
        <v>106</v>
      </c>
      <c r="BJ2164">
        <v>1</v>
      </c>
      <c r="BL2164" t="s">
        <v>4513</v>
      </c>
      <c r="BM2164" s="4">
        <v>43283.115277777775</v>
      </c>
      <c r="BN2164" s="4">
        <v>43283.145914351851</v>
      </c>
      <c r="BO2164" s="4">
        <v>43283.145914351851</v>
      </c>
      <c r="BP2164" t="s">
        <v>92</v>
      </c>
      <c r="BQ2164" t="s">
        <v>93</v>
      </c>
      <c r="BR2164" t="s">
        <v>94</v>
      </c>
    </row>
    <row r="2165" spans="1:70" x14ac:dyDescent="0.3">
      <c r="A2165" t="str">
        <f>"201486C0100"</f>
        <v>201486C0100</v>
      </c>
      <c r="B2165" t="s">
        <v>4514</v>
      </c>
      <c r="C2165">
        <v>20</v>
      </c>
      <c r="D2165" t="s">
        <v>88</v>
      </c>
      <c r="E2165">
        <v>310</v>
      </c>
      <c r="F2165" t="s">
        <v>4508</v>
      </c>
      <c r="G2165">
        <v>1486</v>
      </c>
      <c r="H2165">
        <v>1</v>
      </c>
      <c r="I2165" t="s">
        <v>98</v>
      </c>
      <c r="J2165">
        <v>0</v>
      </c>
      <c r="K2165">
        <v>1</v>
      </c>
      <c r="L2165">
        <v>5</v>
      </c>
      <c r="M2165">
        <v>149</v>
      </c>
      <c r="N2165">
        <v>443</v>
      </c>
      <c r="O2165">
        <v>1</v>
      </c>
      <c r="P2165">
        <v>443</v>
      </c>
      <c r="Q2165">
        <v>4</v>
      </c>
      <c r="R2165">
        <v>132</v>
      </c>
      <c r="S2165">
        <v>139</v>
      </c>
      <c r="U2165">
        <v>1</v>
      </c>
      <c r="V2165">
        <v>2</v>
      </c>
      <c r="W2165">
        <v>3</v>
      </c>
      <c r="Y2165">
        <v>142</v>
      </c>
      <c r="Z2165">
        <v>1</v>
      </c>
      <c r="AC2165">
        <v>3</v>
      </c>
      <c r="AD2165">
        <v>1</v>
      </c>
      <c r="AE2165">
        <v>0</v>
      </c>
      <c r="AF2165">
        <v>0</v>
      </c>
      <c r="AK2165">
        <v>3</v>
      </c>
      <c r="AL2165">
        <v>1</v>
      </c>
      <c r="AM2165">
        <v>0</v>
      </c>
      <c r="AN2165">
        <v>1</v>
      </c>
      <c r="BC2165">
        <v>0</v>
      </c>
      <c r="BD2165">
        <v>10</v>
      </c>
      <c r="BE2165">
        <v>443</v>
      </c>
      <c r="BF2165">
        <v>443</v>
      </c>
      <c r="BG2165">
        <v>570</v>
      </c>
      <c r="BJ2165">
        <v>1</v>
      </c>
      <c r="BL2165" t="s">
        <v>4515</v>
      </c>
      <c r="BM2165" s="4">
        <v>43283.061111111114</v>
      </c>
      <c r="BN2165" s="4">
        <v>43283.074618055558</v>
      </c>
      <c r="BO2165" s="4">
        <v>43283.074618055558</v>
      </c>
      <c r="BP2165" t="s">
        <v>92</v>
      </c>
      <c r="BQ2165" t="s">
        <v>93</v>
      </c>
      <c r="BR2165" t="s">
        <v>94</v>
      </c>
    </row>
    <row r="2166" spans="1:70" x14ac:dyDescent="0.3">
      <c r="A2166" t="str">
        <f>"201487B0100"</f>
        <v>201487B0100</v>
      </c>
      <c r="B2166" t="s">
        <v>4516</v>
      </c>
      <c r="C2166">
        <v>20</v>
      </c>
      <c r="D2166" t="s">
        <v>88</v>
      </c>
      <c r="E2166">
        <v>310</v>
      </c>
      <c r="F2166" t="s">
        <v>4508</v>
      </c>
      <c r="G2166">
        <v>1487</v>
      </c>
      <c r="H2166">
        <v>1</v>
      </c>
      <c r="I2166" t="s">
        <v>90</v>
      </c>
      <c r="J2166">
        <v>0</v>
      </c>
      <c r="K2166">
        <v>2</v>
      </c>
      <c r="L2166">
        <v>5</v>
      </c>
      <c r="M2166">
        <v>133</v>
      </c>
      <c r="N2166">
        <v>415</v>
      </c>
      <c r="O2166">
        <v>0</v>
      </c>
      <c r="P2166">
        <v>415</v>
      </c>
      <c r="Q2166">
        <v>2</v>
      </c>
      <c r="R2166">
        <v>152</v>
      </c>
      <c r="S2166">
        <v>132</v>
      </c>
      <c r="U2166">
        <v>2</v>
      </c>
      <c r="V2166">
        <v>1</v>
      </c>
      <c r="W2166">
        <v>2</v>
      </c>
      <c r="Y2166">
        <v>105</v>
      </c>
      <c r="Z2166">
        <v>2</v>
      </c>
      <c r="AC2166">
        <v>0</v>
      </c>
      <c r="AD2166">
        <v>0</v>
      </c>
      <c r="AE2166">
        <v>0</v>
      </c>
      <c r="AF2166">
        <v>1</v>
      </c>
      <c r="AK2166">
        <v>2</v>
      </c>
      <c r="AL2166">
        <v>2</v>
      </c>
      <c r="AM2166">
        <v>0</v>
      </c>
      <c r="AN2166">
        <v>0</v>
      </c>
      <c r="BC2166">
        <v>0</v>
      </c>
      <c r="BD2166">
        <v>12</v>
      </c>
      <c r="BE2166">
        <v>415</v>
      </c>
      <c r="BF2166">
        <v>415</v>
      </c>
      <c r="BG2166">
        <v>526</v>
      </c>
      <c r="BJ2166">
        <v>1</v>
      </c>
      <c r="BL2166" t="s">
        <v>4517</v>
      </c>
      <c r="BM2166" s="4">
        <v>43283.053472222222</v>
      </c>
      <c r="BN2166" s="4">
        <v>43283.073368055557</v>
      </c>
      <c r="BO2166" s="4">
        <v>43283.073368055557</v>
      </c>
      <c r="BP2166" t="s">
        <v>92</v>
      </c>
      <c r="BQ2166" t="s">
        <v>93</v>
      </c>
      <c r="BR2166" t="s">
        <v>94</v>
      </c>
    </row>
    <row r="2167" spans="1:70" x14ac:dyDescent="0.3">
      <c r="A2167" t="str">
        <f>"201487C0100"</f>
        <v>201487C0100</v>
      </c>
      <c r="B2167" t="s">
        <v>4518</v>
      </c>
      <c r="C2167">
        <v>20</v>
      </c>
      <c r="D2167" t="s">
        <v>88</v>
      </c>
      <c r="E2167">
        <v>310</v>
      </c>
      <c r="F2167" t="s">
        <v>4508</v>
      </c>
      <c r="G2167">
        <v>1487</v>
      </c>
      <c r="H2167">
        <v>1</v>
      </c>
      <c r="I2167" t="s">
        <v>98</v>
      </c>
      <c r="J2167">
        <v>0</v>
      </c>
      <c r="K2167">
        <v>2</v>
      </c>
      <c r="L2167">
        <v>5</v>
      </c>
      <c r="M2167">
        <v>9</v>
      </c>
      <c r="N2167">
        <v>407</v>
      </c>
      <c r="O2167">
        <v>5</v>
      </c>
      <c r="P2167">
        <v>407</v>
      </c>
      <c r="Q2167">
        <v>1</v>
      </c>
      <c r="R2167">
        <v>162</v>
      </c>
      <c r="S2167">
        <v>87</v>
      </c>
      <c r="U2167">
        <v>4</v>
      </c>
      <c r="V2167">
        <v>5</v>
      </c>
      <c r="W2167">
        <v>2</v>
      </c>
      <c r="Y2167">
        <v>125</v>
      </c>
      <c r="Z2167">
        <v>3</v>
      </c>
      <c r="AC2167">
        <v>1</v>
      </c>
      <c r="AD2167">
        <v>2</v>
      </c>
      <c r="AE2167">
        <v>0</v>
      </c>
      <c r="AF2167">
        <v>2</v>
      </c>
      <c r="AK2167">
        <v>2</v>
      </c>
      <c r="AL2167">
        <v>0</v>
      </c>
      <c r="AM2167">
        <v>0</v>
      </c>
      <c r="AN2167">
        <v>2</v>
      </c>
      <c r="BC2167">
        <v>0</v>
      </c>
      <c r="BD2167">
        <v>9</v>
      </c>
      <c r="BE2167">
        <v>407</v>
      </c>
      <c r="BF2167">
        <v>407</v>
      </c>
      <c r="BG2167">
        <v>525</v>
      </c>
      <c r="BJ2167">
        <v>1</v>
      </c>
      <c r="BL2167" t="s">
        <v>4519</v>
      </c>
      <c r="BM2167" s="4">
        <v>43283.04583333333</v>
      </c>
      <c r="BN2167" s="4">
        <v>43283.069861111115</v>
      </c>
      <c r="BO2167" s="4">
        <v>43283.069861111115</v>
      </c>
      <c r="BP2167" t="s">
        <v>92</v>
      </c>
      <c r="BQ2167" t="s">
        <v>93</v>
      </c>
      <c r="BR2167" t="s">
        <v>94</v>
      </c>
    </row>
    <row r="2168" spans="1:70" x14ac:dyDescent="0.3">
      <c r="A2168" t="str">
        <f>"201488B0100"</f>
        <v>201488B0100</v>
      </c>
      <c r="B2168" t="s">
        <v>4520</v>
      </c>
      <c r="C2168">
        <v>20</v>
      </c>
      <c r="D2168" t="s">
        <v>88</v>
      </c>
      <c r="E2168">
        <v>310</v>
      </c>
      <c r="F2168" t="s">
        <v>4508</v>
      </c>
      <c r="G2168">
        <v>1488</v>
      </c>
      <c r="H2168">
        <v>1</v>
      </c>
      <c r="I2168" t="s">
        <v>90</v>
      </c>
      <c r="J2168">
        <v>0</v>
      </c>
      <c r="K2168">
        <v>2</v>
      </c>
      <c r="L2168">
        <v>5</v>
      </c>
      <c r="M2168">
        <v>137</v>
      </c>
      <c r="N2168">
        <v>403</v>
      </c>
      <c r="O2168">
        <v>0</v>
      </c>
      <c r="P2168">
        <v>403</v>
      </c>
      <c r="Q2168">
        <v>1</v>
      </c>
      <c r="R2168">
        <v>71</v>
      </c>
      <c r="S2168">
        <v>116</v>
      </c>
      <c r="U2168">
        <v>4</v>
      </c>
      <c r="V2168">
        <v>2</v>
      </c>
      <c r="W2168">
        <v>11</v>
      </c>
      <c r="Y2168">
        <v>166</v>
      </c>
      <c r="Z2168">
        <v>3</v>
      </c>
      <c r="AC2168">
        <v>0</v>
      </c>
      <c r="AD2168">
        <v>1</v>
      </c>
      <c r="AE2168">
        <v>0</v>
      </c>
      <c r="AF2168">
        <v>1</v>
      </c>
      <c r="AK2168">
        <v>0</v>
      </c>
      <c r="AL2168">
        <v>0</v>
      </c>
      <c r="AM2168">
        <v>0</v>
      </c>
      <c r="AN2168">
        <v>2</v>
      </c>
      <c r="BC2168">
        <v>0</v>
      </c>
      <c r="BD2168">
        <v>25</v>
      </c>
      <c r="BE2168">
        <v>403</v>
      </c>
      <c r="BF2168">
        <v>403</v>
      </c>
      <c r="BG2168">
        <v>518</v>
      </c>
      <c r="BJ2168">
        <v>1</v>
      </c>
      <c r="BL2168" t="s">
        <v>4521</v>
      </c>
      <c r="BM2168" s="4">
        <v>43283.086111111108</v>
      </c>
      <c r="BN2168" s="4">
        <v>43283.09269675926</v>
      </c>
      <c r="BO2168" s="4">
        <v>43283.09269675926</v>
      </c>
      <c r="BP2168" t="s">
        <v>92</v>
      </c>
      <c r="BQ2168" t="s">
        <v>93</v>
      </c>
      <c r="BR2168" t="s">
        <v>94</v>
      </c>
    </row>
    <row r="2169" spans="1:70" x14ac:dyDescent="0.3">
      <c r="A2169" t="str">
        <f>"201488E0100"</f>
        <v>201488E0100</v>
      </c>
      <c r="B2169" s="2" t="s">
        <v>4522</v>
      </c>
      <c r="C2169">
        <v>20</v>
      </c>
      <c r="D2169" t="s">
        <v>88</v>
      </c>
      <c r="E2169">
        <v>310</v>
      </c>
      <c r="F2169" t="s">
        <v>4508</v>
      </c>
      <c r="G2169">
        <v>1488</v>
      </c>
      <c r="H2169">
        <v>1</v>
      </c>
      <c r="I2169" t="s">
        <v>156</v>
      </c>
      <c r="J2169">
        <v>0</v>
      </c>
      <c r="K2169">
        <v>2</v>
      </c>
      <c r="L2169">
        <v>5</v>
      </c>
      <c r="M2169">
        <v>137</v>
      </c>
      <c r="N2169">
        <v>316</v>
      </c>
      <c r="O2169">
        <v>3</v>
      </c>
      <c r="P2169">
        <v>316</v>
      </c>
      <c r="Q2169">
        <v>0</v>
      </c>
      <c r="R2169">
        <v>105</v>
      </c>
      <c r="S2169">
        <v>105</v>
      </c>
      <c r="U2169">
        <v>1</v>
      </c>
      <c r="V2169">
        <v>2</v>
      </c>
      <c r="W2169">
        <v>1</v>
      </c>
      <c r="Y2169">
        <v>78</v>
      </c>
      <c r="Z2169">
        <v>2</v>
      </c>
      <c r="AC2169">
        <v>0</v>
      </c>
      <c r="AD2169">
        <v>1</v>
      </c>
      <c r="AE2169">
        <v>0</v>
      </c>
      <c r="AF2169">
        <v>1</v>
      </c>
      <c r="AK2169">
        <v>2</v>
      </c>
      <c r="AL2169">
        <v>1</v>
      </c>
      <c r="AM2169">
        <v>0</v>
      </c>
      <c r="AN2169">
        <v>3</v>
      </c>
      <c r="BC2169">
        <v>0</v>
      </c>
      <c r="BD2169">
        <v>14</v>
      </c>
      <c r="BE2169">
        <v>316</v>
      </c>
      <c r="BF2169">
        <v>316</v>
      </c>
      <c r="BG2169">
        <v>432</v>
      </c>
      <c r="BJ2169">
        <v>1</v>
      </c>
      <c r="BL2169" t="s">
        <v>4523</v>
      </c>
      <c r="BM2169" s="4">
        <v>43283.200694444444</v>
      </c>
      <c r="BN2169" s="4">
        <v>43283.219166666669</v>
      </c>
      <c r="BO2169" s="4">
        <v>43283.219166666669</v>
      </c>
      <c r="BP2169" t="s">
        <v>92</v>
      </c>
      <c r="BQ2169" t="s">
        <v>93</v>
      </c>
      <c r="BR2169" t="s">
        <v>94</v>
      </c>
    </row>
    <row r="2170" spans="1:70" x14ac:dyDescent="0.3">
      <c r="A2170" t="str">
        <f>"201489B0100"</f>
        <v>201489B0100</v>
      </c>
      <c r="B2170" t="s">
        <v>4524</v>
      </c>
      <c r="C2170">
        <v>20</v>
      </c>
      <c r="D2170" t="s">
        <v>88</v>
      </c>
      <c r="E2170">
        <v>310</v>
      </c>
      <c r="F2170" t="s">
        <v>4508</v>
      </c>
      <c r="G2170">
        <v>1489</v>
      </c>
      <c r="H2170">
        <v>1</v>
      </c>
      <c r="I2170" t="s">
        <v>90</v>
      </c>
      <c r="J2170">
        <v>0</v>
      </c>
      <c r="K2170">
        <v>2</v>
      </c>
      <c r="L2170">
        <v>5</v>
      </c>
      <c r="M2170">
        <v>276</v>
      </c>
      <c r="N2170">
        <v>480</v>
      </c>
      <c r="O2170">
        <v>0</v>
      </c>
      <c r="P2170">
        <v>470</v>
      </c>
      <c r="Q2170">
        <v>3</v>
      </c>
      <c r="R2170">
        <v>133</v>
      </c>
      <c r="S2170">
        <v>160</v>
      </c>
      <c r="U2170">
        <v>7</v>
      </c>
      <c r="V2170">
        <v>6</v>
      </c>
      <c r="W2170">
        <v>37</v>
      </c>
      <c r="Y2170">
        <v>91</v>
      </c>
      <c r="Z2170">
        <v>0</v>
      </c>
      <c r="AC2170">
        <v>0</v>
      </c>
      <c r="AD2170">
        <v>0</v>
      </c>
      <c r="AE2170">
        <v>0</v>
      </c>
      <c r="AF2170">
        <v>0</v>
      </c>
      <c r="AK2170">
        <v>0</v>
      </c>
      <c r="AL2170">
        <v>0</v>
      </c>
      <c r="AM2170">
        <v>0</v>
      </c>
      <c r="AN2170">
        <v>0</v>
      </c>
      <c r="BC2170">
        <v>0</v>
      </c>
      <c r="BD2170">
        <v>32</v>
      </c>
      <c r="BE2170">
        <v>470</v>
      </c>
      <c r="BF2170">
        <v>469</v>
      </c>
      <c r="BG2170">
        <v>737</v>
      </c>
      <c r="BJ2170">
        <v>1</v>
      </c>
      <c r="BL2170" t="s">
        <v>4525</v>
      </c>
      <c r="BM2170" s="4">
        <v>43283.211805555555</v>
      </c>
      <c r="BN2170" s="4">
        <v>43283.264652777776</v>
      </c>
      <c r="BO2170" s="4">
        <v>43283.264652777776</v>
      </c>
      <c r="BP2170" t="s">
        <v>92</v>
      </c>
      <c r="BQ2170" t="s">
        <v>93</v>
      </c>
      <c r="BR2170" t="s">
        <v>94</v>
      </c>
    </row>
    <row r="2171" spans="1:70" x14ac:dyDescent="0.3">
      <c r="A2171" t="str">
        <f>"201489C0100"</f>
        <v>201489C0100</v>
      </c>
      <c r="B2171" t="s">
        <v>4526</v>
      </c>
      <c r="C2171">
        <v>20</v>
      </c>
      <c r="D2171" t="s">
        <v>88</v>
      </c>
      <c r="E2171">
        <v>310</v>
      </c>
      <c r="F2171" t="s">
        <v>4508</v>
      </c>
      <c r="G2171">
        <v>1489</v>
      </c>
      <c r="H2171">
        <v>1</v>
      </c>
      <c r="I2171" t="s">
        <v>98</v>
      </c>
      <c r="J2171">
        <v>0</v>
      </c>
      <c r="K2171">
        <v>2</v>
      </c>
      <c r="L2171">
        <v>5</v>
      </c>
      <c r="M2171">
        <v>245</v>
      </c>
      <c r="N2171">
        <v>513</v>
      </c>
      <c r="O2171" t="s">
        <v>105</v>
      </c>
      <c r="P2171" t="s">
        <v>105</v>
      </c>
      <c r="Q2171">
        <v>0</v>
      </c>
      <c r="R2171">
        <v>158</v>
      </c>
      <c r="S2171">
        <v>173</v>
      </c>
      <c r="U2171">
        <v>5</v>
      </c>
      <c r="V2171">
        <v>7</v>
      </c>
      <c r="W2171">
        <v>14</v>
      </c>
      <c r="Y2171" t="s">
        <v>127</v>
      </c>
      <c r="Z2171">
        <v>3</v>
      </c>
      <c r="AC2171">
        <v>1</v>
      </c>
      <c r="AD2171">
        <v>1</v>
      </c>
      <c r="AE2171">
        <v>3</v>
      </c>
      <c r="AF2171" t="s">
        <v>127</v>
      </c>
      <c r="AK2171">
        <v>2</v>
      </c>
      <c r="AL2171" t="s">
        <v>105</v>
      </c>
      <c r="AM2171" t="s">
        <v>127</v>
      </c>
      <c r="AN2171" t="s">
        <v>105</v>
      </c>
      <c r="BC2171" t="s">
        <v>105</v>
      </c>
      <c r="BD2171">
        <v>30</v>
      </c>
      <c r="BE2171" t="s">
        <v>105</v>
      </c>
      <c r="BF2171">
        <v>397</v>
      </c>
      <c r="BG2171">
        <v>737</v>
      </c>
      <c r="BI2171" t="s">
        <v>106</v>
      </c>
      <c r="BJ2171">
        <v>1</v>
      </c>
      <c r="BL2171" t="s">
        <v>4527</v>
      </c>
      <c r="BM2171" s="4">
        <v>43283.212500000001</v>
      </c>
      <c r="BN2171" s="4">
        <v>43283.289930555555</v>
      </c>
      <c r="BO2171" s="4">
        <v>43283.289930555555</v>
      </c>
      <c r="BP2171" t="s">
        <v>92</v>
      </c>
      <c r="BQ2171" t="s">
        <v>93</v>
      </c>
      <c r="BR2171" t="s">
        <v>94</v>
      </c>
    </row>
    <row r="2172" spans="1:70" x14ac:dyDescent="0.3">
      <c r="A2172" t="str">
        <f>"201490B0100"</f>
        <v>201490B0100</v>
      </c>
      <c r="B2172" t="s">
        <v>4528</v>
      </c>
      <c r="C2172">
        <v>20</v>
      </c>
      <c r="D2172" t="s">
        <v>88</v>
      </c>
      <c r="E2172">
        <v>310</v>
      </c>
      <c r="F2172" t="s">
        <v>4508</v>
      </c>
      <c r="G2172">
        <v>1490</v>
      </c>
      <c r="H2172">
        <v>1</v>
      </c>
      <c r="I2172" t="s">
        <v>90</v>
      </c>
      <c r="J2172">
        <v>0</v>
      </c>
      <c r="K2172">
        <v>2</v>
      </c>
      <c r="L2172">
        <v>5</v>
      </c>
      <c r="M2172">
        <v>128</v>
      </c>
      <c r="N2172">
        <v>399</v>
      </c>
      <c r="O2172">
        <v>0</v>
      </c>
      <c r="P2172">
        <v>271</v>
      </c>
      <c r="Q2172">
        <v>2</v>
      </c>
      <c r="R2172">
        <v>87</v>
      </c>
      <c r="S2172">
        <v>92</v>
      </c>
      <c r="U2172">
        <v>2</v>
      </c>
      <c r="V2172">
        <v>1</v>
      </c>
      <c r="W2172">
        <v>0</v>
      </c>
      <c r="Y2172">
        <v>41</v>
      </c>
      <c r="Z2172">
        <v>4</v>
      </c>
      <c r="AC2172" t="s">
        <v>105</v>
      </c>
      <c r="AD2172" t="s">
        <v>105</v>
      </c>
      <c r="AE2172" t="s">
        <v>105</v>
      </c>
      <c r="AF2172" t="s">
        <v>105</v>
      </c>
      <c r="AK2172" t="s">
        <v>105</v>
      </c>
      <c r="AL2172" t="s">
        <v>105</v>
      </c>
      <c r="AM2172" t="s">
        <v>105</v>
      </c>
      <c r="AN2172" t="s">
        <v>105</v>
      </c>
      <c r="BC2172" t="s">
        <v>105</v>
      </c>
      <c r="BD2172">
        <v>20</v>
      </c>
      <c r="BE2172">
        <v>251</v>
      </c>
      <c r="BF2172">
        <v>249</v>
      </c>
      <c r="BG2172">
        <v>377</v>
      </c>
      <c r="BI2172" t="s">
        <v>106</v>
      </c>
      <c r="BJ2172">
        <v>1</v>
      </c>
      <c r="BL2172" t="s">
        <v>4529</v>
      </c>
      <c r="BM2172" s="4">
        <v>43283.220833333333</v>
      </c>
      <c r="BN2172" s="4">
        <v>43283.280497685184</v>
      </c>
      <c r="BO2172" s="4">
        <v>43283.280497685184</v>
      </c>
      <c r="BP2172" t="s">
        <v>92</v>
      </c>
      <c r="BQ2172" t="s">
        <v>93</v>
      </c>
      <c r="BR2172" t="s">
        <v>94</v>
      </c>
    </row>
    <row r="2173" spans="1:70" x14ac:dyDescent="0.3">
      <c r="A2173" t="str">
        <f>"201490C0100"</f>
        <v>201490C0100</v>
      </c>
      <c r="B2173" t="s">
        <v>4530</v>
      </c>
      <c r="C2173">
        <v>20</v>
      </c>
      <c r="D2173" t="s">
        <v>88</v>
      </c>
      <c r="E2173">
        <v>310</v>
      </c>
      <c r="F2173" t="s">
        <v>4508</v>
      </c>
      <c r="G2173">
        <v>1490</v>
      </c>
      <c r="H2173">
        <v>1</v>
      </c>
      <c r="I2173" t="s">
        <v>98</v>
      </c>
      <c r="J2173">
        <v>0</v>
      </c>
      <c r="K2173">
        <v>2</v>
      </c>
      <c r="L2173">
        <v>5</v>
      </c>
      <c r="M2173">
        <v>106</v>
      </c>
      <c r="N2173">
        <v>293</v>
      </c>
      <c r="O2173">
        <v>1</v>
      </c>
      <c r="P2173">
        <v>321</v>
      </c>
      <c r="Q2173">
        <v>0</v>
      </c>
      <c r="R2173">
        <v>110</v>
      </c>
      <c r="S2173">
        <v>107</v>
      </c>
      <c r="U2173">
        <v>0</v>
      </c>
      <c r="V2173">
        <v>1</v>
      </c>
      <c r="W2173">
        <v>0</v>
      </c>
      <c r="Y2173">
        <v>60</v>
      </c>
      <c r="Z2173">
        <v>5</v>
      </c>
      <c r="AC2173">
        <v>4</v>
      </c>
      <c r="AD2173">
        <v>2</v>
      </c>
      <c r="AE2173">
        <v>0</v>
      </c>
      <c r="AF2173">
        <v>2</v>
      </c>
      <c r="AK2173">
        <v>1</v>
      </c>
      <c r="AL2173">
        <v>0</v>
      </c>
      <c r="AM2173">
        <v>0</v>
      </c>
      <c r="AN2173">
        <v>1</v>
      </c>
      <c r="BC2173">
        <v>0</v>
      </c>
      <c r="BD2173">
        <v>21</v>
      </c>
      <c r="BE2173">
        <v>321</v>
      </c>
      <c r="BF2173">
        <v>314</v>
      </c>
      <c r="BG2173">
        <v>377</v>
      </c>
      <c r="BJ2173">
        <v>1</v>
      </c>
      <c r="BL2173" t="s">
        <v>4531</v>
      </c>
      <c r="BM2173" s="4">
        <v>43283.220138888886</v>
      </c>
      <c r="BN2173" s="4">
        <v>43283.273657407408</v>
      </c>
      <c r="BO2173" s="4">
        <v>43283.273657407408</v>
      </c>
      <c r="BP2173" t="s">
        <v>92</v>
      </c>
      <c r="BQ2173" t="s">
        <v>93</v>
      </c>
      <c r="BR2173" t="s">
        <v>94</v>
      </c>
    </row>
    <row r="2174" spans="1:70" x14ac:dyDescent="0.3">
      <c r="A2174" t="str">
        <f>"201491B0100"</f>
        <v>201491B0100</v>
      </c>
      <c r="B2174" t="s">
        <v>4532</v>
      </c>
      <c r="C2174">
        <v>20</v>
      </c>
      <c r="D2174" t="s">
        <v>88</v>
      </c>
      <c r="E2174">
        <v>310</v>
      </c>
      <c r="F2174" t="s">
        <v>4508</v>
      </c>
      <c r="G2174">
        <v>1491</v>
      </c>
      <c r="H2174">
        <v>1</v>
      </c>
      <c r="I2174" t="s">
        <v>90</v>
      </c>
      <c r="J2174">
        <v>0</v>
      </c>
      <c r="K2174">
        <v>2</v>
      </c>
      <c r="L2174">
        <v>5</v>
      </c>
      <c r="M2174">
        <v>123</v>
      </c>
      <c r="N2174">
        <v>327</v>
      </c>
      <c r="O2174">
        <v>0</v>
      </c>
      <c r="P2174">
        <v>327</v>
      </c>
      <c r="Q2174">
        <v>2</v>
      </c>
      <c r="R2174">
        <v>98</v>
      </c>
      <c r="S2174">
        <v>79</v>
      </c>
      <c r="U2174">
        <v>5</v>
      </c>
      <c r="V2174">
        <v>2</v>
      </c>
      <c r="W2174">
        <v>0</v>
      </c>
      <c r="Y2174">
        <v>124</v>
      </c>
      <c r="Z2174">
        <v>4</v>
      </c>
      <c r="AC2174">
        <v>0</v>
      </c>
      <c r="AD2174">
        <v>1</v>
      </c>
      <c r="AE2174">
        <v>0</v>
      </c>
      <c r="AF2174">
        <v>0</v>
      </c>
      <c r="AK2174">
        <v>0</v>
      </c>
      <c r="AL2174">
        <v>0</v>
      </c>
      <c r="AM2174">
        <v>0</v>
      </c>
      <c r="AN2174">
        <v>0</v>
      </c>
      <c r="BC2174">
        <v>0</v>
      </c>
      <c r="BD2174">
        <v>12</v>
      </c>
      <c r="BE2174">
        <v>327</v>
      </c>
      <c r="BF2174">
        <v>327</v>
      </c>
      <c r="BG2174">
        <v>428</v>
      </c>
      <c r="BJ2174">
        <v>1</v>
      </c>
      <c r="BL2174" t="s">
        <v>4533</v>
      </c>
      <c r="BM2174" s="4">
        <v>43283.034722222219</v>
      </c>
      <c r="BN2174" s="4">
        <v>43283.062905092593</v>
      </c>
      <c r="BO2174" s="4">
        <v>43283.062905092593</v>
      </c>
      <c r="BP2174" t="s">
        <v>92</v>
      </c>
      <c r="BQ2174" t="s">
        <v>93</v>
      </c>
      <c r="BR2174" t="s">
        <v>94</v>
      </c>
    </row>
    <row r="2175" spans="1:70" x14ac:dyDescent="0.3">
      <c r="A2175" t="str">
        <f>"201491E0100"</f>
        <v>201491E0100</v>
      </c>
      <c r="B2175" s="2" t="s">
        <v>4534</v>
      </c>
      <c r="C2175">
        <v>20</v>
      </c>
      <c r="D2175" t="s">
        <v>88</v>
      </c>
      <c r="E2175">
        <v>310</v>
      </c>
      <c r="F2175" t="s">
        <v>4508</v>
      </c>
      <c r="G2175">
        <v>1491</v>
      </c>
      <c r="H2175">
        <v>1</v>
      </c>
      <c r="I2175" t="s">
        <v>156</v>
      </c>
      <c r="J2175">
        <v>0</v>
      </c>
      <c r="K2175">
        <v>2</v>
      </c>
      <c r="L2175">
        <v>5</v>
      </c>
      <c r="M2175">
        <v>141</v>
      </c>
      <c r="N2175">
        <v>352</v>
      </c>
      <c r="O2175">
        <v>12</v>
      </c>
      <c r="P2175">
        <v>365</v>
      </c>
      <c r="Q2175">
        <v>3</v>
      </c>
      <c r="R2175">
        <v>85</v>
      </c>
      <c r="S2175">
        <v>121</v>
      </c>
      <c r="U2175">
        <v>6</v>
      </c>
      <c r="V2175">
        <v>2</v>
      </c>
      <c r="W2175">
        <v>0</v>
      </c>
      <c r="Y2175">
        <v>116</v>
      </c>
      <c r="Z2175">
        <v>1</v>
      </c>
      <c r="AC2175">
        <v>0</v>
      </c>
      <c r="AD2175">
        <v>0</v>
      </c>
      <c r="AE2175">
        <v>0</v>
      </c>
      <c r="AF2175">
        <v>0</v>
      </c>
      <c r="AK2175">
        <v>2</v>
      </c>
      <c r="AL2175">
        <v>1</v>
      </c>
      <c r="AM2175">
        <v>0</v>
      </c>
      <c r="AN2175">
        <v>1</v>
      </c>
      <c r="BC2175">
        <v>0</v>
      </c>
      <c r="BD2175">
        <v>28</v>
      </c>
      <c r="BE2175">
        <v>365</v>
      </c>
      <c r="BF2175">
        <v>366</v>
      </c>
      <c r="BG2175">
        <v>484</v>
      </c>
      <c r="BJ2175">
        <v>1</v>
      </c>
      <c r="BL2175" t="s">
        <v>4535</v>
      </c>
      <c r="BM2175" s="4">
        <v>43283.041666666664</v>
      </c>
      <c r="BN2175" s="4">
        <v>43283.063159722224</v>
      </c>
      <c r="BO2175" s="4">
        <v>43283.063159722224</v>
      </c>
      <c r="BP2175" t="s">
        <v>92</v>
      </c>
      <c r="BQ2175" t="s">
        <v>93</v>
      </c>
      <c r="BR2175" t="s">
        <v>94</v>
      </c>
    </row>
    <row r="2176" spans="1:70" x14ac:dyDescent="0.3">
      <c r="A2176" t="str">
        <f>"201498B0100"</f>
        <v>201498B0100</v>
      </c>
      <c r="B2176" t="s">
        <v>4536</v>
      </c>
      <c r="C2176">
        <v>20</v>
      </c>
      <c r="D2176" t="s">
        <v>88</v>
      </c>
      <c r="E2176">
        <v>316</v>
      </c>
      <c r="F2176" t="s">
        <v>4537</v>
      </c>
      <c r="G2176">
        <v>1498</v>
      </c>
      <c r="H2176">
        <v>1</v>
      </c>
      <c r="I2176" t="s">
        <v>90</v>
      </c>
      <c r="J2176">
        <v>0</v>
      </c>
      <c r="K2176">
        <v>2</v>
      </c>
      <c r="L2176">
        <v>5</v>
      </c>
      <c r="M2176">
        <v>73</v>
      </c>
      <c r="N2176">
        <v>544</v>
      </c>
      <c r="O2176">
        <v>2</v>
      </c>
      <c r="P2176">
        <v>544</v>
      </c>
      <c r="Q2176">
        <v>11</v>
      </c>
      <c r="R2176">
        <v>262</v>
      </c>
      <c r="S2176">
        <v>12</v>
      </c>
      <c r="T2176">
        <v>4</v>
      </c>
      <c r="U2176">
        <v>19</v>
      </c>
      <c r="V2176">
        <v>6</v>
      </c>
      <c r="W2176">
        <v>3</v>
      </c>
      <c r="X2176">
        <v>0</v>
      </c>
      <c r="Y2176">
        <v>189</v>
      </c>
      <c r="Z2176">
        <v>3</v>
      </c>
      <c r="AA2176">
        <v>4</v>
      </c>
      <c r="AB2176">
        <v>1</v>
      </c>
      <c r="AC2176">
        <v>0</v>
      </c>
      <c r="AD2176">
        <v>1</v>
      </c>
      <c r="AE2176">
        <v>0</v>
      </c>
      <c r="AF2176">
        <v>0</v>
      </c>
      <c r="AK2176">
        <v>2</v>
      </c>
      <c r="AL2176">
        <v>0</v>
      </c>
      <c r="AM2176">
        <v>0</v>
      </c>
      <c r="AN2176">
        <v>0</v>
      </c>
      <c r="AT2176">
        <v>13</v>
      </c>
      <c r="BC2176">
        <v>0</v>
      </c>
      <c r="BD2176">
        <v>11</v>
      </c>
      <c r="BE2176">
        <v>541</v>
      </c>
      <c r="BF2176">
        <v>541</v>
      </c>
      <c r="BG2176">
        <v>693</v>
      </c>
      <c r="BJ2176">
        <v>1</v>
      </c>
      <c r="BL2176" t="s">
        <v>4538</v>
      </c>
      <c r="BM2176" s="4">
        <v>43283.623692129629</v>
      </c>
      <c r="BN2176" s="4">
        <v>43283.632453703707</v>
      </c>
      <c r="BO2176" s="4">
        <v>43283.632453703707</v>
      </c>
      <c r="BP2176" t="s">
        <v>92</v>
      </c>
      <c r="BQ2176" t="s">
        <v>93</v>
      </c>
      <c r="BR2176" t="s">
        <v>94</v>
      </c>
    </row>
    <row r="2177" spans="1:70" x14ac:dyDescent="0.3">
      <c r="A2177" t="str">
        <f>"201498C0100"</f>
        <v>201498C0100</v>
      </c>
      <c r="B2177" t="s">
        <v>4539</v>
      </c>
      <c r="C2177">
        <v>20</v>
      </c>
      <c r="D2177" t="s">
        <v>88</v>
      </c>
      <c r="E2177">
        <v>316</v>
      </c>
      <c r="F2177" t="s">
        <v>4537</v>
      </c>
      <c r="G2177">
        <v>1498</v>
      </c>
      <c r="H2177">
        <v>1</v>
      </c>
      <c r="I2177" t="s">
        <v>98</v>
      </c>
      <c r="J2177">
        <v>0</v>
      </c>
      <c r="K2177">
        <v>2</v>
      </c>
      <c r="L2177">
        <v>5</v>
      </c>
      <c r="M2177">
        <v>207</v>
      </c>
      <c r="N2177">
        <v>507</v>
      </c>
      <c r="O2177">
        <v>3</v>
      </c>
      <c r="P2177">
        <v>507</v>
      </c>
      <c r="Q2177">
        <v>10</v>
      </c>
      <c r="R2177">
        <v>256</v>
      </c>
      <c r="S2177">
        <v>21</v>
      </c>
      <c r="T2177">
        <v>6</v>
      </c>
      <c r="U2177">
        <v>14</v>
      </c>
      <c r="V2177">
        <v>5</v>
      </c>
      <c r="W2177">
        <v>1</v>
      </c>
      <c r="X2177">
        <v>2</v>
      </c>
      <c r="Y2177">
        <v>158</v>
      </c>
      <c r="Z2177">
        <v>2</v>
      </c>
      <c r="AA2177">
        <v>8</v>
      </c>
      <c r="AB2177">
        <v>0</v>
      </c>
      <c r="AC2177">
        <v>2</v>
      </c>
      <c r="AD2177">
        <v>0</v>
      </c>
      <c r="AE2177">
        <v>0</v>
      </c>
      <c r="AF2177">
        <v>0</v>
      </c>
      <c r="AK2177">
        <v>0</v>
      </c>
      <c r="AL2177">
        <v>1</v>
      </c>
      <c r="AM2177">
        <v>0</v>
      </c>
      <c r="AN2177">
        <v>0</v>
      </c>
      <c r="AT2177">
        <v>12</v>
      </c>
      <c r="BC2177">
        <v>0</v>
      </c>
      <c r="BD2177">
        <v>9</v>
      </c>
      <c r="BE2177">
        <v>507</v>
      </c>
      <c r="BF2177">
        <v>507</v>
      </c>
      <c r="BG2177">
        <v>692</v>
      </c>
      <c r="BJ2177">
        <v>1</v>
      </c>
      <c r="BL2177" t="s">
        <v>4540</v>
      </c>
      <c r="BM2177" s="4">
        <v>43283.692245370374</v>
      </c>
      <c r="BN2177" s="4">
        <v>43283.701666666668</v>
      </c>
      <c r="BO2177" s="4">
        <v>43283.701666666668</v>
      </c>
      <c r="BP2177" t="s">
        <v>92</v>
      </c>
      <c r="BQ2177" t="s">
        <v>93</v>
      </c>
      <c r="BR2177" t="s">
        <v>94</v>
      </c>
    </row>
    <row r="2178" spans="1:70" x14ac:dyDescent="0.3">
      <c r="A2178" t="str">
        <f>"201498C0200"</f>
        <v>201498C0200</v>
      </c>
      <c r="B2178" t="s">
        <v>4541</v>
      </c>
      <c r="C2178">
        <v>20</v>
      </c>
      <c r="D2178" t="s">
        <v>88</v>
      </c>
      <c r="E2178">
        <v>316</v>
      </c>
      <c r="F2178" t="s">
        <v>4537</v>
      </c>
      <c r="G2178">
        <v>1498</v>
      </c>
      <c r="H2178">
        <v>2</v>
      </c>
      <c r="I2178" t="s">
        <v>98</v>
      </c>
      <c r="J2178">
        <v>0</v>
      </c>
      <c r="K2178">
        <v>2</v>
      </c>
      <c r="L2178">
        <v>5</v>
      </c>
      <c r="M2178">
        <v>207</v>
      </c>
      <c r="N2178">
        <v>506</v>
      </c>
      <c r="O2178">
        <v>3</v>
      </c>
      <c r="P2178">
        <v>506</v>
      </c>
      <c r="Q2178">
        <v>5</v>
      </c>
      <c r="R2178">
        <v>268</v>
      </c>
      <c r="S2178">
        <v>14</v>
      </c>
      <c r="T2178">
        <v>8</v>
      </c>
      <c r="U2178">
        <v>17</v>
      </c>
      <c r="V2178">
        <v>1</v>
      </c>
      <c r="W2178">
        <v>0</v>
      </c>
      <c r="X2178">
        <v>1</v>
      </c>
      <c r="Y2178">
        <v>150</v>
      </c>
      <c r="Z2178">
        <v>2</v>
      </c>
      <c r="AA2178">
        <v>0</v>
      </c>
      <c r="AB2178">
        <v>0</v>
      </c>
      <c r="AC2178">
        <v>0</v>
      </c>
      <c r="AD2178">
        <v>0</v>
      </c>
      <c r="AE2178">
        <v>0</v>
      </c>
      <c r="AF2178">
        <v>0</v>
      </c>
      <c r="AK2178">
        <v>3</v>
      </c>
      <c r="AL2178">
        <v>1</v>
      </c>
      <c r="AM2178">
        <v>0</v>
      </c>
      <c r="AN2178">
        <v>1</v>
      </c>
      <c r="AT2178">
        <v>5</v>
      </c>
      <c r="BC2178">
        <v>12</v>
      </c>
      <c r="BD2178">
        <v>18</v>
      </c>
      <c r="BE2178">
        <v>506</v>
      </c>
      <c r="BF2178">
        <v>506</v>
      </c>
      <c r="BG2178">
        <v>692</v>
      </c>
      <c r="BJ2178">
        <v>1</v>
      </c>
      <c r="BL2178" t="s">
        <v>4542</v>
      </c>
      <c r="BM2178" s="4">
        <v>43283.598692129628</v>
      </c>
      <c r="BN2178" s="4">
        <v>43283.601689814815</v>
      </c>
      <c r="BO2178" s="4">
        <v>43283.601689814815</v>
      </c>
      <c r="BP2178" t="s">
        <v>92</v>
      </c>
      <c r="BQ2178" t="s">
        <v>93</v>
      </c>
      <c r="BR2178" t="s">
        <v>94</v>
      </c>
    </row>
    <row r="2179" spans="1:70" x14ac:dyDescent="0.3">
      <c r="A2179" t="str">
        <f>"201498C0300"</f>
        <v>201498C0300</v>
      </c>
      <c r="B2179" t="s">
        <v>4543</v>
      </c>
      <c r="C2179">
        <v>20</v>
      </c>
      <c r="D2179" t="s">
        <v>88</v>
      </c>
      <c r="E2179">
        <v>316</v>
      </c>
      <c r="F2179" t="s">
        <v>4537</v>
      </c>
      <c r="G2179">
        <v>1498</v>
      </c>
      <c r="H2179">
        <v>3</v>
      </c>
      <c r="I2179" t="s">
        <v>98</v>
      </c>
      <c r="J2179">
        <v>0</v>
      </c>
      <c r="K2179">
        <v>2</v>
      </c>
      <c r="L2179">
        <v>5</v>
      </c>
      <c r="M2179">
        <v>181</v>
      </c>
      <c r="N2179">
        <v>532</v>
      </c>
      <c r="O2179">
        <v>5</v>
      </c>
      <c r="P2179">
        <v>532</v>
      </c>
      <c r="Q2179">
        <v>8</v>
      </c>
      <c r="R2179">
        <v>287</v>
      </c>
      <c r="S2179">
        <v>8</v>
      </c>
      <c r="T2179">
        <v>10</v>
      </c>
      <c r="U2179">
        <v>18</v>
      </c>
      <c r="V2179">
        <v>1</v>
      </c>
      <c r="W2179">
        <v>2</v>
      </c>
      <c r="X2179">
        <v>4</v>
      </c>
      <c r="Y2179">
        <v>146</v>
      </c>
      <c r="Z2179">
        <v>4</v>
      </c>
      <c r="AA2179">
        <v>2</v>
      </c>
      <c r="AB2179">
        <v>0</v>
      </c>
      <c r="AC2179">
        <v>0</v>
      </c>
      <c r="AD2179">
        <v>0</v>
      </c>
      <c r="AE2179">
        <v>1</v>
      </c>
      <c r="AF2179">
        <v>0</v>
      </c>
      <c r="AK2179">
        <v>1</v>
      </c>
      <c r="AL2179">
        <v>1</v>
      </c>
      <c r="AM2179">
        <v>0</v>
      </c>
      <c r="AN2179">
        <v>2</v>
      </c>
      <c r="AT2179">
        <v>15</v>
      </c>
      <c r="BC2179">
        <v>0</v>
      </c>
      <c r="BD2179">
        <v>23</v>
      </c>
      <c r="BE2179">
        <v>533</v>
      </c>
      <c r="BF2179">
        <v>533</v>
      </c>
      <c r="BG2179">
        <v>692</v>
      </c>
      <c r="BJ2179">
        <v>1</v>
      </c>
      <c r="BL2179" t="s">
        <v>4544</v>
      </c>
      <c r="BM2179" s="4">
        <v>43283.614583333336</v>
      </c>
      <c r="BN2179" s="4">
        <v>43283.619652777779</v>
      </c>
      <c r="BO2179" s="4">
        <v>43283.619652777779</v>
      </c>
      <c r="BP2179" t="s">
        <v>92</v>
      </c>
      <c r="BQ2179" t="s">
        <v>93</v>
      </c>
      <c r="BR2179" t="s">
        <v>94</v>
      </c>
    </row>
    <row r="2180" spans="1:70" x14ac:dyDescent="0.3">
      <c r="A2180" t="str">
        <f>"201499B0100"</f>
        <v>201499B0100</v>
      </c>
      <c r="B2180" t="s">
        <v>4545</v>
      </c>
      <c r="C2180">
        <v>20</v>
      </c>
      <c r="D2180" t="s">
        <v>88</v>
      </c>
      <c r="E2180">
        <v>316</v>
      </c>
      <c r="F2180" t="s">
        <v>4537</v>
      </c>
      <c r="G2180">
        <v>1499</v>
      </c>
      <c r="H2180">
        <v>1</v>
      </c>
      <c r="I2180" t="s">
        <v>90</v>
      </c>
      <c r="J2180">
        <v>0</v>
      </c>
      <c r="K2180">
        <v>2</v>
      </c>
      <c r="L2180">
        <v>5</v>
      </c>
      <c r="BG2180">
        <v>573</v>
      </c>
      <c r="BI2180" t="s">
        <v>122</v>
      </c>
      <c r="BJ2180">
        <v>0</v>
      </c>
      <c r="BL2180" t="s">
        <v>4546</v>
      </c>
      <c r="BM2180" s="4">
        <v>43283.679942129631</v>
      </c>
      <c r="BN2180" s="4">
        <v>43283.682812500003</v>
      </c>
      <c r="BO2180" s="4">
        <v>43283.682812500003</v>
      </c>
      <c r="BP2180" t="s">
        <v>92</v>
      </c>
      <c r="BQ2180" t="s">
        <v>93</v>
      </c>
      <c r="BR2180" t="s">
        <v>94</v>
      </c>
    </row>
    <row r="2181" spans="1:70" x14ac:dyDescent="0.3">
      <c r="A2181" t="str">
        <f>"201499C0100"</f>
        <v>201499C0100</v>
      </c>
      <c r="B2181" t="s">
        <v>4547</v>
      </c>
      <c r="C2181">
        <v>20</v>
      </c>
      <c r="D2181" t="s">
        <v>88</v>
      </c>
      <c r="E2181">
        <v>316</v>
      </c>
      <c r="F2181" t="s">
        <v>4537</v>
      </c>
      <c r="G2181">
        <v>1499</v>
      </c>
      <c r="H2181">
        <v>1</v>
      </c>
      <c r="I2181" t="s">
        <v>98</v>
      </c>
      <c r="J2181">
        <v>0</v>
      </c>
      <c r="K2181">
        <v>2</v>
      </c>
      <c r="L2181">
        <v>5</v>
      </c>
      <c r="M2181">
        <v>211</v>
      </c>
      <c r="N2181">
        <v>382</v>
      </c>
      <c r="O2181">
        <v>3</v>
      </c>
      <c r="P2181">
        <v>382</v>
      </c>
      <c r="Q2181">
        <v>5</v>
      </c>
      <c r="R2181">
        <v>195</v>
      </c>
      <c r="S2181">
        <v>15</v>
      </c>
      <c r="T2181">
        <v>4</v>
      </c>
      <c r="U2181">
        <v>12</v>
      </c>
      <c r="V2181">
        <v>7</v>
      </c>
      <c r="W2181">
        <v>2</v>
      </c>
      <c r="X2181">
        <v>1</v>
      </c>
      <c r="Y2181">
        <v>101</v>
      </c>
      <c r="Z2181">
        <v>3</v>
      </c>
      <c r="AA2181">
        <v>0</v>
      </c>
      <c r="AB2181">
        <v>0</v>
      </c>
      <c r="AC2181">
        <v>1</v>
      </c>
      <c r="AD2181">
        <v>0</v>
      </c>
      <c r="AE2181">
        <v>0</v>
      </c>
      <c r="AF2181">
        <v>0</v>
      </c>
      <c r="AK2181">
        <v>1</v>
      </c>
      <c r="AL2181">
        <v>0</v>
      </c>
      <c r="AM2181">
        <v>1</v>
      </c>
      <c r="AN2181">
        <v>0</v>
      </c>
      <c r="AT2181">
        <v>4</v>
      </c>
      <c r="BC2181">
        <v>0</v>
      </c>
      <c r="BD2181">
        <v>22</v>
      </c>
      <c r="BE2181" t="s">
        <v>105</v>
      </c>
      <c r="BF2181">
        <v>374</v>
      </c>
      <c r="BG2181">
        <v>572</v>
      </c>
      <c r="BJ2181">
        <v>1</v>
      </c>
      <c r="BL2181" t="s">
        <v>4548</v>
      </c>
      <c r="BM2181" s="4">
        <v>43283.615613425929</v>
      </c>
      <c r="BN2181" s="4">
        <v>43283.618923611109</v>
      </c>
      <c r="BO2181" s="4">
        <v>43283.618923611109</v>
      </c>
      <c r="BP2181" t="s">
        <v>92</v>
      </c>
      <c r="BQ2181" t="s">
        <v>93</v>
      </c>
      <c r="BR2181" t="s">
        <v>94</v>
      </c>
    </row>
    <row r="2182" spans="1:70" x14ac:dyDescent="0.3">
      <c r="A2182" t="str">
        <f>"201499C0200"</f>
        <v>201499C0200</v>
      </c>
      <c r="B2182" t="s">
        <v>4549</v>
      </c>
      <c r="C2182">
        <v>20</v>
      </c>
      <c r="D2182" t="s">
        <v>88</v>
      </c>
      <c r="E2182">
        <v>316</v>
      </c>
      <c r="F2182" t="s">
        <v>4537</v>
      </c>
      <c r="G2182">
        <v>1499</v>
      </c>
      <c r="H2182">
        <v>2</v>
      </c>
      <c r="I2182" t="s">
        <v>98</v>
      </c>
      <c r="J2182">
        <v>0</v>
      </c>
      <c r="K2182">
        <v>2</v>
      </c>
      <c r="L2182">
        <v>5</v>
      </c>
      <c r="M2182">
        <v>215</v>
      </c>
      <c r="N2182">
        <v>379</v>
      </c>
      <c r="O2182">
        <v>7</v>
      </c>
      <c r="P2182">
        <v>372</v>
      </c>
      <c r="Q2182">
        <v>1</v>
      </c>
      <c r="R2182">
        <v>196</v>
      </c>
      <c r="S2182">
        <v>7</v>
      </c>
      <c r="T2182">
        <v>11</v>
      </c>
      <c r="U2182">
        <v>17</v>
      </c>
      <c r="V2182">
        <v>4</v>
      </c>
      <c r="W2182">
        <v>1</v>
      </c>
      <c r="X2182">
        <v>0</v>
      </c>
      <c r="Y2182">
        <v>70</v>
      </c>
      <c r="Z2182">
        <v>11</v>
      </c>
      <c r="AA2182" t="s">
        <v>105</v>
      </c>
      <c r="AB2182" t="s">
        <v>105</v>
      </c>
      <c r="AC2182">
        <v>0</v>
      </c>
      <c r="AD2182">
        <v>0</v>
      </c>
      <c r="AE2182">
        <v>0</v>
      </c>
      <c r="AF2182">
        <v>0</v>
      </c>
      <c r="AK2182">
        <v>1</v>
      </c>
      <c r="AL2182">
        <v>1</v>
      </c>
      <c r="AM2182">
        <v>0</v>
      </c>
      <c r="AN2182">
        <v>0</v>
      </c>
      <c r="AT2182">
        <v>16</v>
      </c>
      <c r="BC2182">
        <v>0</v>
      </c>
      <c r="BD2182">
        <v>16</v>
      </c>
      <c r="BE2182">
        <v>372</v>
      </c>
      <c r="BF2182">
        <v>352</v>
      </c>
      <c r="BG2182">
        <v>572</v>
      </c>
      <c r="BI2182" t="s">
        <v>106</v>
      </c>
      <c r="BJ2182">
        <v>1</v>
      </c>
      <c r="BL2182" t="s">
        <v>4550</v>
      </c>
      <c r="BM2182" s="4">
        <v>43283.615023148152</v>
      </c>
      <c r="BN2182" s="4">
        <v>43283.630335648151</v>
      </c>
      <c r="BO2182" s="4">
        <v>43283.630335648151</v>
      </c>
      <c r="BP2182" t="s">
        <v>92</v>
      </c>
      <c r="BQ2182" t="s">
        <v>93</v>
      </c>
      <c r="BR2182" t="s">
        <v>94</v>
      </c>
    </row>
    <row r="2183" spans="1:70" x14ac:dyDescent="0.3">
      <c r="A2183" t="str">
        <f>"201499E0100"</f>
        <v>201499E0100</v>
      </c>
      <c r="B2183" s="2" t="s">
        <v>4551</v>
      </c>
      <c r="C2183">
        <v>20</v>
      </c>
      <c r="D2183" t="s">
        <v>88</v>
      </c>
      <c r="E2183">
        <v>316</v>
      </c>
      <c r="F2183" t="s">
        <v>4537</v>
      </c>
      <c r="G2183">
        <v>1499</v>
      </c>
      <c r="H2183">
        <v>1</v>
      </c>
      <c r="I2183" t="s">
        <v>156</v>
      </c>
      <c r="J2183">
        <v>0</v>
      </c>
      <c r="K2183">
        <v>2</v>
      </c>
      <c r="L2183">
        <v>5</v>
      </c>
      <c r="BG2183">
        <v>533</v>
      </c>
      <c r="BI2183" t="s">
        <v>122</v>
      </c>
      <c r="BJ2183">
        <v>0</v>
      </c>
      <c r="BL2183" t="s">
        <v>4552</v>
      </c>
      <c r="BM2183" s="4">
        <v>43283.738229166665</v>
      </c>
      <c r="BN2183" s="4">
        <v>43283.741712962961</v>
      </c>
      <c r="BO2183" s="4">
        <v>43283.741712962961</v>
      </c>
      <c r="BP2183" t="s">
        <v>92</v>
      </c>
      <c r="BQ2183" t="s">
        <v>93</v>
      </c>
      <c r="BR2183" t="s">
        <v>94</v>
      </c>
    </row>
    <row r="2184" spans="1:70" x14ac:dyDescent="0.3">
      <c r="A2184" t="str">
        <f>"201499E0200"</f>
        <v>201499E0200</v>
      </c>
      <c r="B2184" s="2" t="s">
        <v>4553</v>
      </c>
      <c r="C2184">
        <v>20</v>
      </c>
      <c r="D2184" t="s">
        <v>88</v>
      </c>
      <c r="E2184">
        <v>316</v>
      </c>
      <c r="F2184" t="s">
        <v>4537</v>
      </c>
      <c r="G2184">
        <v>1499</v>
      </c>
      <c r="H2184">
        <v>2</v>
      </c>
      <c r="I2184" t="s">
        <v>156</v>
      </c>
      <c r="J2184">
        <v>0</v>
      </c>
      <c r="K2184">
        <v>2</v>
      </c>
      <c r="L2184">
        <v>5</v>
      </c>
      <c r="M2184">
        <v>121</v>
      </c>
      <c r="N2184">
        <v>209</v>
      </c>
      <c r="O2184">
        <v>0</v>
      </c>
      <c r="P2184">
        <v>209</v>
      </c>
      <c r="Q2184">
        <v>6</v>
      </c>
      <c r="R2184">
        <v>149</v>
      </c>
      <c r="S2184">
        <v>5</v>
      </c>
      <c r="T2184">
        <v>8</v>
      </c>
      <c r="U2184">
        <v>5</v>
      </c>
      <c r="V2184">
        <v>1</v>
      </c>
      <c r="W2184">
        <v>1</v>
      </c>
      <c r="X2184">
        <v>0</v>
      </c>
      <c r="Y2184">
        <v>20</v>
      </c>
      <c r="Z2184">
        <v>2</v>
      </c>
      <c r="AA2184">
        <v>4</v>
      </c>
      <c r="AB2184">
        <v>0</v>
      </c>
      <c r="AC2184">
        <v>0</v>
      </c>
      <c r="AD2184">
        <v>0</v>
      </c>
      <c r="AE2184">
        <v>0</v>
      </c>
      <c r="AF2184">
        <v>0</v>
      </c>
      <c r="AK2184">
        <v>1</v>
      </c>
      <c r="AL2184">
        <v>0</v>
      </c>
      <c r="AM2184">
        <v>0</v>
      </c>
      <c r="AN2184">
        <v>0</v>
      </c>
      <c r="AT2184">
        <v>2</v>
      </c>
      <c r="BC2184">
        <v>0</v>
      </c>
      <c r="BD2184">
        <v>5</v>
      </c>
      <c r="BE2184">
        <v>209</v>
      </c>
      <c r="BF2184">
        <v>209</v>
      </c>
      <c r="BG2184">
        <v>308</v>
      </c>
      <c r="BJ2184">
        <v>1</v>
      </c>
      <c r="BL2184" t="s">
        <v>4554</v>
      </c>
      <c r="BM2184" s="4">
        <v>43283.623206018521</v>
      </c>
      <c r="BN2184" s="4">
        <v>43283.631157407406</v>
      </c>
      <c r="BO2184" s="4">
        <v>43283.631157407406</v>
      </c>
      <c r="BP2184" t="s">
        <v>92</v>
      </c>
      <c r="BQ2184" t="s">
        <v>93</v>
      </c>
      <c r="BR2184" t="s">
        <v>94</v>
      </c>
    </row>
    <row r="2185" spans="1:70" x14ac:dyDescent="0.3">
      <c r="A2185" t="str">
        <f>"201499E0300"</f>
        <v>201499E0300</v>
      </c>
      <c r="B2185" s="2" t="s">
        <v>4555</v>
      </c>
      <c r="C2185">
        <v>20</v>
      </c>
      <c r="D2185" t="s">
        <v>88</v>
      </c>
      <c r="E2185">
        <v>316</v>
      </c>
      <c r="F2185" t="s">
        <v>4537</v>
      </c>
      <c r="G2185">
        <v>1499</v>
      </c>
      <c r="H2185">
        <v>3</v>
      </c>
      <c r="I2185" t="s">
        <v>156</v>
      </c>
      <c r="J2185">
        <v>0</v>
      </c>
      <c r="K2185">
        <v>2</v>
      </c>
      <c r="L2185">
        <v>5</v>
      </c>
      <c r="M2185">
        <v>88</v>
      </c>
      <c r="N2185">
        <v>201</v>
      </c>
      <c r="O2185">
        <v>5</v>
      </c>
      <c r="P2185">
        <v>195</v>
      </c>
      <c r="Q2185">
        <v>5</v>
      </c>
      <c r="R2185">
        <v>116</v>
      </c>
      <c r="S2185">
        <v>5</v>
      </c>
      <c r="T2185">
        <v>5</v>
      </c>
      <c r="U2185">
        <v>11</v>
      </c>
      <c r="V2185">
        <v>3</v>
      </c>
      <c r="W2185">
        <v>0</v>
      </c>
      <c r="X2185">
        <v>0</v>
      </c>
      <c r="Y2185">
        <v>39</v>
      </c>
      <c r="Z2185">
        <v>1</v>
      </c>
      <c r="AA2185">
        <v>3</v>
      </c>
      <c r="AB2185">
        <v>0</v>
      </c>
      <c r="AC2185">
        <v>0</v>
      </c>
      <c r="AD2185">
        <v>0</v>
      </c>
      <c r="AE2185">
        <v>0</v>
      </c>
      <c r="AF2185">
        <v>0</v>
      </c>
      <c r="AK2185">
        <v>0</v>
      </c>
      <c r="AL2185">
        <v>0</v>
      </c>
      <c r="AM2185">
        <v>0</v>
      </c>
      <c r="AN2185">
        <v>0</v>
      </c>
      <c r="AT2185">
        <v>3</v>
      </c>
      <c r="BC2185">
        <v>0</v>
      </c>
      <c r="BD2185">
        <v>7</v>
      </c>
      <c r="BE2185">
        <v>195</v>
      </c>
      <c r="BF2185">
        <v>198</v>
      </c>
      <c r="BG2185">
        <v>261</v>
      </c>
      <c r="BJ2185">
        <v>1</v>
      </c>
      <c r="BL2185" t="s">
        <v>4556</v>
      </c>
      <c r="BM2185" s="4">
        <v>43283.608043981483</v>
      </c>
      <c r="BN2185" s="4">
        <v>43283.617905092593</v>
      </c>
      <c r="BO2185" s="4">
        <v>43283.617905092593</v>
      </c>
      <c r="BP2185" t="s">
        <v>92</v>
      </c>
      <c r="BQ2185" t="s">
        <v>93</v>
      </c>
      <c r="BR2185" t="s">
        <v>94</v>
      </c>
    </row>
    <row r="2186" spans="1:70" x14ac:dyDescent="0.3">
      <c r="A2186" t="str">
        <f>"201500B0100"</f>
        <v>201500B0100</v>
      </c>
      <c r="B2186" t="s">
        <v>4557</v>
      </c>
      <c r="C2186">
        <v>20</v>
      </c>
      <c r="D2186" t="s">
        <v>88</v>
      </c>
      <c r="E2186">
        <v>316</v>
      </c>
      <c r="F2186" t="s">
        <v>4537</v>
      </c>
      <c r="G2186">
        <v>1500</v>
      </c>
      <c r="H2186">
        <v>1</v>
      </c>
      <c r="I2186" t="s">
        <v>90</v>
      </c>
      <c r="J2186">
        <v>0</v>
      </c>
      <c r="K2186">
        <v>1</v>
      </c>
      <c r="L2186">
        <v>5</v>
      </c>
      <c r="BG2186">
        <v>713</v>
      </c>
      <c r="BI2186" t="s">
        <v>122</v>
      </c>
      <c r="BJ2186">
        <v>0</v>
      </c>
      <c r="BL2186" t="s">
        <v>4558</v>
      </c>
      <c r="BM2186" s="4">
        <v>43283.712222222224</v>
      </c>
      <c r="BN2186" s="4">
        <v>43283.714814814812</v>
      </c>
      <c r="BO2186" s="4">
        <v>43283.714814814812</v>
      </c>
      <c r="BP2186" t="s">
        <v>92</v>
      </c>
      <c r="BQ2186" t="s">
        <v>93</v>
      </c>
      <c r="BR2186" t="s">
        <v>94</v>
      </c>
    </row>
    <row r="2187" spans="1:70" x14ac:dyDescent="0.3">
      <c r="A2187" t="str">
        <f>"201500C0100"</f>
        <v>201500C0100</v>
      </c>
      <c r="B2187" t="s">
        <v>4559</v>
      </c>
      <c r="C2187">
        <v>20</v>
      </c>
      <c r="D2187" t="s">
        <v>88</v>
      </c>
      <c r="E2187">
        <v>316</v>
      </c>
      <c r="F2187" t="s">
        <v>4537</v>
      </c>
      <c r="G2187">
        <v>1500</v>
      </c>
      <c r="H2187">
        <v>1</v>
      </c>
      <c r="I2187" t="s">
        <v>98</v>
      </c>
      <c r="J2187">
        <v>0</v>
      </c>
      <c r="K2187">
        <v>1</v>
      </c>
      <c r="L2187">
        <v>5</v>
      </c>
      <c r="BG2187">
        <v>713</v>
      </c>
      <c r="BI2187" t="s">
        <v>122</v>
      </c>
      <c r="BJ2187">
        <v>0</v>
      </c>
      <c r="BL2187" t="s">
        <v>4560</v>
      </c>
      <c r="BM2187" s="4">
        <v>43283.711724537039</v>
      </c>
      <c r="BN2187" s="4">
        <v>43283.724664351852</v>
      </c>
      <c r="BO2187" s="4">
        <v>43283.724664351852</v>
      </c>
      <c r="BP2187" t="s">
        <v>92</v>
      </c>
      <c r="BQ2187" t="s">
        <v>93</v>
      </c>
      <c r="BR2187" t="s">
        <v>94</v>
      </c>
    </row>
    <row r="2188" spans="1:70" x14ac:dyDescent="0.3">
      <c r="A2188" t="str">
        <f>"201500C0200"</f>
        <v>201500C0200</v>
      </c>
      <c r="B2188" t="s">
        <v>4561</v>
      </c>
      <c r="C2188">
        <v>20</v>
      </c>
      <c r="D2188" t="s">
        <v>88</v>
      </c>
      <c r="E2188">
        <v>316</v>
      </c>
      <c r="F2188" t="s">
        <v>4537</v>
      </c>
      <c r="G2188">
        <v>1500</v>
      </c>
      <c r="H2188">
        <v>2</v>
      </c>
      <c r="I2188" t="s">
        <v>98</v>
      </c>
      <c r="J2188">
        <v>0</v>
      </c>
      <c r="K2188">
        <v>1</v>
      </c>
      <c r="L2188">
        <v>5</v>
      </c>
      <c r="M2188">
        <v>196</v>
      </c>
      <c r="N2188">
        <v>537</v>
      </c>
      <c r="O2188">
        <v>6</v>
      </c>
      <c r="P2188" t="s">
        <v>127</v>
      </c>
      <c r="Q2188">
        <v>10</v>
      </c>
      <c r="R2188">
        <v>229</v>
      </c>
      <c r="S2188">
        <v>9</v>
      </c>
      <c r="T2188">
        <v>5</v>
      </c>
      <c r="U2188">
        <v>14</v>
      </c>
      <c r="V2188">
        <v>6</v>
      </c>
      <c r="W2188">
        <v>2</v>
      </c>
      <c r="X2188">
        <v>4</v>
      </c>
      <c r="Y2188">
        <v>234</v>
      </c>
      <c r="Z2188">
        <v>10</v>
      </c>
      <c r="AA2188">
        <v>0</v>
      </c>
      <c r="AB2188">
        <v>0</v>
      </c>
      <c r="AC2188">
        <v>0</v>
      </c>
      <c r="AD2188">
        <v>1</v>
      </c>
      <c r="AE2188">
        <v>0</v>
      </c>
      <c r="AF2188">
        <v>0</v>
      </c>
      <c r="AK2188">
        <v>5</v>
      </c>
      <c r="AL2188">
        <v>1</v>
      </c>
      <c r="AM2188">
        <v>0</v>
      </c>
      <c r="AN2188">
        <v>0</v>
      </c>
      <c r="AT2188">
        <v>3</v>
      </c>
      <c r="BC2188">
        <v>0</v>
      </c>
      <c r="BD2188">
        <v>12</v>
      </c>
      <c r="BE2188">
        <v>539</v>
      </c>
      <c r="BF2188">
        <v>545</v>
      </c>
      <c r="BG2188">
        <v>713</v>
      </c>
      <c r="BJ2188">
        <v>1</v>
      </c>
      <c r="BL2188" t="s">
        <v>4562</v>
      </c>
      <c r="BM2188" s="4">
        <v>43283.604525462964</v>
      </c>
      <c r="BN2188" s="4">
        <v>43283.608148148145</v>
      </c>
      <c r="BO2188" s="4">
        <v>43283.608148148145</v>
      </c>
      <c r="BP2188" t="s">
        <v>92</v>
      </c>
      <c r="BQ2188" t="s">
        <v>93</v>
      </c>
      <c r="BR2188" t="s">
        <v>94</v>
      </c>
    </row>
    <row r="2189" spans="1:70" x14ac:dyDescent="0.3">
      <c r="A2189" t="str">
        <f>"201501B0100"</f>
        <v>201501B0100</v>
      </c>
      <c r="B2189" t="s">
        <v>4563</v>
      </c>
      <c r="C2189">
        <v>20</v>
      </c>
      <c r="D2189" t="s">
        <v>88</v>
      </c>
      <c r="E2189">
        <v>316</v>
      </c>
      <c r="F2189" t="s">
        <v>4537</v>
      </c>
      <c r="G2189">
        <v>1501</v>
      </c>
      <c r="H2189">
        <v>1</v>
      </c>
      <c r="I2189" t="s">
        <v>90</v>
      </c>
      <c r="J2189">
        <v>0</v>
      </c>
      <c r="K2189">
        <v>2</v>
      </c>
      <c r="L2189">
        <v>5</v>
      </c>
      <c r="M2189">
        <v>222</v>
      </c>
      <c r="N2189">
        <v>474</v>
      </c>
      <c r="O2189">
        <v>14</v>
      </c>
      <c r="P2189">
        <v>469</v>
      </c>
      <c r="Q2189">
        <v>17</v>
      </c>
      <c r="R2189">
        <v>212</v>
      </c>
      <c r="S2189">
        <v>2</v>
      </c>
      <c r="T2189">
        <v>10</v>
      </c>
      <c r="U2189">
        <v>8</v>
      </c>
      <c r="V2189">
        <v>2</v>
      </c>
      <c r="W2189">
        <v>3</v>
      </c>
      <c r="X2189">
        <v>1</v>
      </c>
      <c r="Y2189">
        <v>173</v>
      </c>
      <c r="Z2189">
        <v>5</v>
      </c>
      <c r="AA2189">
        <v>1</v>
      </c>
      <c r="AB2189">
        <v>2</v>
      </c>
      <c r="AC2189">
        <v>0</v>
      </c>
      <c r="AD2189">
        <v>1</v>
      </c>
      <c r="AE2189">
        <v>0</v>
      </c>
      <c r="AF2189">
        <v>0</v>
      </c>
      <c r="AK2189">
        <v>3</v>
      </c>
      <c r="AL2189">
        <v>2</v>
      </c>
      <c r="AM2189">
        <v>1</v>
      </c>
      <c r="AN2189">
        <v>1</v>
      </c>
      <c r="AT2189">
        <v>5</v>
      </c>
      <c r="BC2189">
        <v>0</v>
      </c>
      <c r="BD2189">
        <v>20</v>
      </c>
      <c r="BE2189">
        <v>469</v>
      </c>
      <c r="BF2189">
        <v>469</v>
      </c>
      <c r="BG2189">
        <v>674</v>
      </c>
      <c r="BJ2189">
        <v>1</v>
      </c>
      <c r="BL2189" t="s">
        <v>4564</v>
      </c>
      <c r="BM2189" s="4">
        <v>43283.606840277775</v>
      </c>
      <c r="BN2189" s="4">
        <v>43283.611250000002</v>
      </c>
      <c r="BO2189" s="4">
        <v>43283.611250000002</v>
      </c>
      <c r="BP2189" t="s">
        <v>92</v>
      </c>
      <c r="BQ2189" t="s">
        <v>93</v>
      </c>
      <c r="BR2189" t="s">
        <v>94</v>
      </c>
    </row>
    <row r="2190" spans="1:70" x14ac:dyDescent="0.3">
      <c r="A2190" t="str">
        <f>"201501C0100"</f>
        <v>201501C0100</v>
      </c>
      <c r="B2190" t="s">
        <v>4565</v>
      </c>
      <c r="C2190">
        <v>20</v>
      </c>
      <c r="D2190" t="s">
        <v>88</v>
      </c>
      <c r="E2190">
        <v>316</v>
      </c>
      <c r="F2190" t="s">
        <v>4537</v>
      </c>
      <c r="G2190">
        <v>1501</v>
      </c>
      <c r="H2190">
        <v>1</v>
      </c>
      <c r="I2190" t="s">
        <v>98</v>
      </c>
      <c r="J2190">
        <v>0</v>
      </c>
      <c r="K2190">
        <v>2</v>
      </c>
      <c r="L2190">
        <v>5</v>
      </c>
      <c r="M2190">
        <v>182</v>
      </c>
      <c r="N2190">
        <v>527</v>
      </c>
      <c r="O2190">
        <v>14</v>
      </c>
      <c r="P2190">
        <v>426</v>
      </c>
      <c r="Q2190">
        <v>6</v>
      </c>
      <c r="R2190">
        <v>187</v>
      </c>
      <c r="S2190">
        <v>6</v>
      </c>
      <c r="T2190">
        <v>14</v>
      </c>
      <c r="U2190">
        <v>18</v>
      </c>
      <c r="V2190">
        <v>7</v>
      </c>
      <c r="W2190">
        <v>0</v>
      </c>
      <c r="X2190">
        <v>4</v>
      </c>
      <c r="Y2190">
        <v>191</v>
      </c>
      <c r="Z2190">
        <v>4</v>
      </c>
      <c r="AA2190" t="s">
        <v>105</v>
      </c>
      <c r="AB2190" t="s">
        <v>105</v>
      </c>
      <c r="AC2190">
        <v>0</v>
      </c>
      <c r="AD2190">
        <v>0</v>
      </c>
      <c r="AE2190">
        <v>0</v>
      </c>
      <c r="AF2190">
        <v>0</v>
      </c>
      <c r="AK2190">
        <v>7</v>
      </c>
      <c r="AL2190">
        <v>3</v>
      </c>
      <c r="AM2190">
        <v>1</v>
      </c>
      <c r="AN2190">
        <v>2</v>
      </c>
      <c r="AT2190">
        <v>4</v>
      </c>
      <c r="BC2190">
        <v>7</v>
      </c>
      <c r="BD2190">
        <v>17</v>
      </c>
      <c r="BE2190">
        <v>478</v>
      </c>
      <c r="BF2190">
        <v>478</v>
      </c>
      <c r="BG2190">
        <v>674</v>
      </c>
      <c r="BI2190" t="s">
        <v>106</v>
      </c>
      <c r="BJ2190">
        <v>1</v>
      </c>
      <c r="BL2190" t="s">
        <v>4566</v>
      </c>
      <c r="BM2190" s="4">
        <v>43283.607430555552</v>
      </c>
      <c r="BN2190" s="4">
        <v>43283.611689814818</v>
      </c>
      <c r="BO2190" s="4">
        <v>43283.611689814818</v>
      </c>
      <c r="BP2190" t="s">
        <v>92</v>
      </c>
      <c r="BQ2190" t="s">
        <v>93</v>
      </c>
      <c r="BR2190" t="s">
        <v>94</v>
      </c>
    </row>
    <row r="2191" spans="1:70" x14ac:dyDescent="0.3">
      <c r="A2191" t="str">
        <f>"201501E0100"</f>
        <v>201501E0100</v>
      </c>
      <c r="B2191" s="2" t="s">
        <v>4567</v>
      </c>
      <c r="C2191">
        <v>20</v>
      </c>
      <c r="D2191" t="s">
        <v>88</v>
      </c>
      <c r="E2191">
        <v>316</v>
      </c>
      <c r="F2191" t="s">
        <v>4537</v>
      </c>
      <c r="G2191">
        <v>1501</v>
      </c>
      <c r="H2191">
        <v>1</v>
      </c>
      <c r="I2191" t="s">
        <v>156</v>
      </c>
      <c r="J2191">
        <v>0</v>
      </c>
      <c r="K2191">
        <v>2</v>
      </c>
      <c r="L2191">
        <v>5</v>
      </c>
      <c r="M2191">
        <v>120</v>
      </c>
      <c r="N2191">
        <v>381</v>
      </c>
      <c r="O2191">
        <v>8</v>
      </c>
      <c r="P2191">
        <v>22</v>
      </c>
      <c r="Q2191">
        <v>3</v>
      </c>
      <c r="R2191">
        <v>232</v>
      </c>
      <c r="S2191">
        <v>2</v>
      </c>
      <c r="T2191">
        <v>10</v>
      </c>
      <c r="U2191">
        <v>9</v>
      </c>
      <c r="V2191">
        <v>2</v>
      </c>
      <c r="W2191">
        <v>1</v>
      </c>
      <c r="X2191">
        <v>2</v>
      </c>
      <c r="Y2191">
        <v>100</v>
      </c>
      <c r="Z2191">
        <v>3</v>
      </c>
      <c r="AA2191">
        <v>0</v>
      </c>
      <c r="AB2191">
        <v>0</v>
      </c>
      <c r="AC2191">
        <v>0</v>
      </c>
      <c r="AD2191">
        <v>0</v>
      </c>
      <c r="AE2191">
        <v>0</v>
      </c>
      <c r="AF2191">
        <v>0</v>
      </c>
      <c r="AK2191">
        <v>2</v>
      </c>
      <c r="AL2191">
        <v>1</v>
      </c>
      <c r="AM2191">
        <v>0</v>
      </c>
      <c r="AN2191">
        <v>2</v>
      </c>
      <c r="AT2191">
        <v>4</v>
      </c>
      <c r="BC2191">
        <v>0</v>
      </c>
      <c r="BD2191">
        <v>6</v>
      </c>
      <c r="BE2191">
        <v>379</v>
      </c>
      <c r="BF2191">
        <v>379</v>
      </c>
      <c r="BG2191">
        <v>477</v>
      </c>
      <c r="BJ2191">
        <v>1</v>
      </c>
      <c r="BL2191" t="s">
        <v>4568</v>
      </c>
      <c r="BM2191" s="4">
        <v>43283.605937499997</v>
      </c>
      <c r="BN2191" s="4">
        <v>43283.612604166665</v>
      </c>
      <c r="BO2191" s="4">
        <v>43283.612604166665</v>
      </c>
      <c r="BP2191" t="s">
        <v>92</v>
      </c>
      <c r="BQ2191" t="s">
        <v>93</v>
      </c>
      <c r="BR2191" t="s">
        <v>94</v>
      </c>
    </row>
    <row r="2192" spans="1:70" x14ac:dyDescent="0.3">
      <c r="A2192" t="str">
        <f>"201502B0100"</f>
        <v>201502B0100</v>
      </c>
      <c r="B2192" t="s">
        <v>4569</v>
      </c>
      <c r="C2192">
        <v>20</v>
      </c>
      <c r="D2192" t="s">
        <v>88</v>
      </c>
      <c r="E2192">
        <v>316</v>
      </c>
      <c r="F2192" t="s">
        <v>4537</v>
      </c>
      <c r="G2192">
        <v>1502</v>
      </c>
      <c r="H2192">
        <v>1</v>
      </c>
      <c r="I2192" t="s">
        <v>90</v>
      </c>
      <c r="J2192">
        <v>0</v>
      </c>
      <c r="K2192">
        <v>2</v>
      </c>
      <c r="L2192">
        <v>5</v>
      </c>
      <c r="M2192">
        <v>180</v>
      </c>
      <c r="N2192">
        <v>363</v>
      </c>
      <c r="O2192">
        <v>6</v>
      </c>
      <c r="P2192">
        <v>363</v>
      </c>
      <c r="Q2192">
        <v>7</v>
      </c>
      <c r="R2192">
        <v>142</v>
      </c>
      <c r="S2192">
        <v>4</v>
      </c>
      <c r="T2192">
        <v>6</v>
      </c>
      <c r="U2192">
        <v>10</v>
      </c>
      <c r="V2192">
        <v>2</v>
      </c>
      <c r="W2192">
        <v>4</v>
      </c>
      <c r="X2192">
        <v>1</v>
      </c>
      <c r="Y2192">
        <v>158</v>
      </c>
      <c r="Z2192">
        <v>4</v>
      </c>
      <c r="AA2192">
        <v>2</v>
      </c>
      <c r="AB2192">
        <v>0</v>
      </c>
      <c r="AC2192">
        <v>0</v>
      </c>
      <c r="AD2192">
        <v>1</v>
      </c>
      <c r="AE2192">
        <v>0</v>
      </c>
      <c r="AF2192">
        <v>0</v>
      </c>
      <c r="AK2192">
        <v>3</v>
      </c>
      <c r="AL2192">
        <v>2</v>
      </c>
      <c r="AM2192">
        <v>0</v>
      </c>
      <c r="AN2192">
        <v>1</v>
      </c>
      <c r="AT2192">
        <v>8</v>
      </c>
      <c r="BC2192">
        <v>0</v>
      </c>
      <c r="BD2192">
        <v>8</v>
      </c>
      <c r="BE2192">
        <v>363</v>
      </c>
      <c r="BF2192">
        <v>363</v>
      </c>
      <c r="BG2192">
        <v>530</v>
      </c>
      <c r="BJ2192">
        <v>1</v>
      </c>
      <c r="BL2192" t="s">
        <v>4570</v>
      </c>
      <c r="BM2192" s="4">
        <v>43283.609849537039</v>
      </c>
      <c r="BN2192" s="4">
        <v>43283.614293981482</v>
      </c>
      <c r="BO2192" s="4">
        <v>43283.614293981482</v>
      </c>
      <c r="BP2192" t="s">
        <v>92</v>
      </c>
      <c r="BQ2192" t="s">
        <v>93</v>
      </c>
      <c r="BR2192" t="s">
        <v>94</v>
      </c>
    </row>
    <row r="2193" spans="1:70" x14ac:dyDescent="0.3">
      <c r="A2193" t="str">
        <f>"201502C0100"</f>
        <v>201502C0100</v>
      </c>
      <c r="B2193" t="s">
        <v>4571</v>
      </c>
      <c r="C2193">
        <v>20</v>
      </c>
      <c r="D2193" t="s">
        <v>88</v>
      </c>
      <c r="E2193">
        <v>316</v>
      </c>
      <c r="F2193" t="s">
        <v>4537</v>
      </c>
      <c r="G2193">
        <v>1502</v>
      </c>
      <c r="H2193">
        <v>1</v>
      </c>
      <c r="I2193" t="s">
        <v>98</v>
      </c>
      <c r="J2193">
        <v>0</v>
      </c>
      <c r="K2193">
        <v>2</v>
      </c>
      <c r="L2193">
        <v>5</v>
      </c>
      <c r="M2193">
        <v>174</v>
      </c>
      <c r="N2193">
        <v>373</v>
      </c>
      <c r="O2193" t="s">
        <v>105</v>
      </c>
      <c r="P2193">
        <v>373</v>
      </c>
      <c r="Q2193">
        <v>4</v>
      </c>
      <c r="R2193">
        <v>161</v>
      </c>
      <c r="S2193">
        <v>3</v>
      </c>
      <c r="T2193">
        <v>11</v>
      </c>
      <c r="U2193">
        <v>8</v>
      </c>
      <c r="V2193">
        <v>3</v>
      </c>
      <c r="W2193">
        <v>0</v>
      </c>
      <c r="X2193">
        <v>1</v>
      </c>
      <c r="Y2193">
        <v>158</v>
      </c>
      <c r="Z2193">
        <v>2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K2193">
        <v>4</v>
      </c>
      <c r="AL2193">
        <v>2</v>
      </c>
      <c r="AM2193">
        <v>0</v>
      </c>
      <c r="AN2193">
        <v>0</v>
      </c>
      <c r="AT2193">
        <v>7</v>
      </c>
      <c r="BC2193">
        <v>0</v>
      </c>
      <c r="BD2193">
        <v>9</v>
      </c>
      <c r="BE2193">
        <v>373</v>
      </c>
      <c r="BF2193">
        <v>373</v>
      </c>
      <c r="BG2193">
        <v>529</v>
      </c>
      <c r="BJ2193">
        <v>1</v>
      </c>
      <c r="BL2193" t="s">
        <v>4572</v>
      </c>
      <c r="BM2193" s="4">
        <v>43283.605185185188</v>
      </c>
      <c r="BN2193" s="4">
        <v>43283.618055555555</v>
      </c>
      <c r="BO2193" s="4">
        <v>43283.618055555555</v>
      </c>
      <c r="BP2193" t="s">
        <v>92</v>
      </c>
      <c r="BQ2193" t="s">
        <v>93</v>
      </c>
      <c r="BR2193" t="s">
        <v>94</v>
      </c>
    </row>
    <row r="2194" spans="1:70" x14ac:dyDescent="0.3">
      <c r="A2194" t="str">
        <f>"201502C0200"</f>
        <v>201502C0200</v>
      </c>
      <c r="B2194" t="s">
        <v>4573</v>
      </c>
      <c r="C2194">
        <v>20</v>
      </c>
      <c r="D2194" t="s">
        <v>88</v>
      </c>
      <c r="E2194">
        <v>316</v>
      </c>
      <c r="F2194" t="s">
        <v>4537</v>
      </c>
      <c r="G2194">
        <v>1502</v>
      </c>
      <c r="H2194">
        <v>2</v>
      </c>
      <c r="I2194" t="s">
        <v>98</v>
      </c>
      <c r="J2194">
        <v>0</v>
      </c>
      <c r="K2194">
        <v>2</v>
      </c>
      <c r="L2194">
        <v>5</v>
      </c>
      <c r="M2194">
        <v>157</v>
      </c>
      <c r="N2194">
        <v>391</v>
      </c>
      <c r="O2194">
        <v>7</v>
      </c>
      <c r="P2194">
        <v>379</v>
      </c>
      <c r="Q2194">
        <v>7</v>
      </c>
      <c r="R2194">
        <v>165</v>
      </c>
      <c r="S2194">
        <v>7</v>
      </c>
      <c r="T2194">
        <v>4</v>
      </c>
      <c r="U2194">
        <v>13</v>
      </c>
      <c r="V2194">
        <v>2</v>
      </c>
      <c r="W2194">
        <v>0</v>
      </c>
      <c r="X2194">
        <v>2</v>
      </c>
      <c r="Y2194">
        <v>153</v>
      </c>
      <c r="Z2194">
        <v>5</v>
      </c>
      <c r="AA2194">
        <v>1</v>
      </c>
      <c r="AB2194">
        <v>0</v>
      </c>
      <c r="AC2194">
        <v>0</v>
      </c>
      <c r="AD2194">
        <v>1</v>
      </c>
      <c r="AE2194">
        <v>0</v>
      </c>
      <c r="AF2194">
        <v>0</v>
      </c>
      <c r="AK2194">
        <v>4</v>
      </c>
      <c r="AL2194">
        <v>1</v>
      </c>
      <c r="AM2194">
        <v>0</v>
      </c>
      <c r="AN2194">
        <v>2</v>
      </c>
      <c r="AT2194">
        <v>8</v>
      </c>
      <c r="BC2194">
        <v>1</v>
      </c>
      <c r="BD2194">
        <v>14</v>
      </c>
      <c r="BE2194">
        <v>379</v>
      </c>
      <c r="BF2194">
        <v>390</v>
      </c>
      <c r="BG2194">
        <v>529</v>
      </c>
      <c r="BJ2194">
        <v>1</v>
      </c>
      <c r="BL2194" t="s">
        <v>4574</v>
      </c>
      <c r="BM2194" s="4">
        <v>43283.610462962963</v>
      </c>
      <c r="BN2194" s="4">
        <v>43283.627754629626</v>
      </c>
      <c r="BO2194" s="4">
        <v>43283.627754629626</v>
      </c>
      <c r="BP2194" t="s">
        <v>92</v>
      </c>
      <c r="BQ2194" t="s">
        <v>93</v>
      </c>
      <c r="BR2194" t="s">
        <v>94</v>
      </c>
    </row>
    <row r="2195" spans="1:70" x14ac:dyDescent="0.3">
      <c r="A2195" t="str">
        <f>"201503B0100"</f>
        <v>201503B0100</v>
      </c>
      <c r="B2195" t="s">
        <v>4575</v>
      </c>
      <c r="C2195">
        <v>20</v>
      </c>
      <c r="D2195" t="s">
        <v>88</v>
      </c>
      <c r="E2195">
        <v>316</v>
      </c>
      <c r="F2195" t="s">
        <v>4537</v>
      </c>
      <c r="G2195">
        <v>1503</v>
      </c>
      <c r="H2195">
        <v>1</v>
      </c>
      <c r="I2195" t="s">
        <v>90</v>
      </c>
      <c r="J2195">
        <v>0</v>
      </c>
      <c r="K2195">
        <v>1</v>
      </c>
      <c r="L2195">
        <v>5</v>
      </c>
      <c r="M2195">
        <v>279</v>
      </c>
      <c r="N2195">
        <v>406</v>
      </c>
      <c r="O2195">
        <v>8</v>
      </c>
      <c r="P2195">
        <v>687</v>
      </c>
      <c r="Q2195">
        <v>0</v>
      </c>
      <c r="R2195">
        <v>164</v>
      </c>
      <c r="S2195">
        <v>5</v>
      </c>
      <c r="T2195">
        <v>10</v>
      </c>
      <c r="U2195">
        <v>2</v>
      </c>
      <c r="V2195">
        <v>2</v>
      </c>
      <c r="W2195">
        <v>0</v>
      </c>
      <c r="X2195">
        <v>1</v>
      </c>
      <c r="Y2195">
        <v>193</v>
      </c>
      <c r="Z2195">
        <v>6</v>
      </c>
      <c r="AA2195">
        <v>6</v>
      </c>
      <c r="AB2195">
        <v>1</v>
      </c>
      <c r="AC2195">
        <v>1</v>
      </c>
      <c r="AD2195">
        <v>0</v>
      </c>
      <c r="AE2195">
        <v>0</v>
      </c>
      <c r="AF2195">
        <v>0</v>
      </c>
      <c r="AK2195">
        <v>2</v>
      </c>
      <c r="AL2195">
        <v>1</v>
      </c>
      <c r="AM2195">
        <v>0</v>
      </c>
      <c r="AN2195">
        <v>2</v>
      </c>
      <c r="AT2195">
        <v>2</v>
      </c>
      <c r="BC2195">
        <v>2</v>
      </c>
      <c r="BD2195">
        <v>8</v>
      </c>
      <c r="BE2195">
        <v>406</v>
      </c>
      <c r="BF2195">
        <v>408</v>
      </c>
      <c r="BG2195">
        <v>665</v>
      </c>
      <c r="BJ2195">
        <v>1</v>
      </c>
      <c r="BL2195" t="s">
        <v>4576</v>
      </c>
      <c r="BM2195" s="4">
        <v>43283.342557870368</v>
      </c>
      <c r="BN2195" s="4">
        <v>43283.372164351851</v>
      </c>
      <c r="BO2195" s="4">
        <v>43283.372164351851</v>
      </c>
      <c r="BP2195" t="s">
        <v>92</v>
      </c>
      <c r="BQ2195" t="s">
        <v>93</v>
      </c>
      <c r="BR2195" t="s">
        <v>94</v>
      </c>
    </row>
    <row r="2196" spans="1:70" x14ac:dyDescent="0.3">
      <c r="A2196" t="str">
        <f>"201503C0100"</f>
        <v>201503C0100</v>
      </c>
      <c r="B2196" t="s">
        <v>4577</v>
      </c>
      <c r="C2196">
        <v>20</v>
      </c>
      <c r="D2196" t="s">
        <v>88</v>
      </c>
      <c r="E2196">
        <v>316</v>
      </c>
      <c r="F2196" t="s">
        <v>4537</v>
      </c>
      <c r="G2196">
        <v>1503</v>
      </c>
      <c r="H2196">
        <v>1</v>
      </c>
      <c r="I2196" t="s">
        <v>98</v>
      </c>
      <c r="J2196">
        <v>0</v>
      </c>
      <c r="K2196">
        <v>1</v>
      </c>
      <c r="L2196">
        <v>5</v>
      </c>
      <c r="M2196">
        <v>268</v>
      </c>
      <c r="N2196">
        <v>418</v>
      </c>
      <c r="O2196">
        <v>13</v>
      </c>
      <c r="P2196">
        <v>418</v>
      </c>
      <c r="Q2196">
        <v>7</v>
      </c>
      <c r="R2196">
        <v>184</v>
      </c>
      <c r="S2196">
        <v>3</v>
      </c>
      <c r="T2196">
        <v>5</v>
      </c>
      <c r="U2196">
        <v>5</v>
      </c>
      <c r="V2196">
        <v>1</v>
      </c>
      <c r="W2196">
        <v>0</v>
      </c>
      <c r="X2196">
        <v>0</v>
      </c>
      <c r="Y2196">
        <v>175</v>
      </c>
      <c r="Z2196">
        <v>4</v>
      </c>
      <c r="AA2196">
        <v>5</v>
      </c>
      <c r="AB2196">
        <v>4</v>
      </c>
      <c r="AC2196">
        <v>1</v>
      </c>
      <c r="AD2196">
        <v>0</v>
      </c>
      <c r="AE2196">
        <v>0</v>
      </c>
      <c r="AF2196">
        <v>0</v>
      </c>
      <c r="AK2196">
        <v>0</v>
      </c>
      <c r="AL2196">
        <v>1</v>
      </c>
      <c r="AM2196">
        <v>1</v>
      </c>
      <c r="AN2196">
        <v>0</v>
      </c>
      <c r="AT2196">
        <v>5</v>
      </c>
      <c r="BC2196">
        <v>0</v>
      </c>
      <c r="BD2196">
        <v>9</v>
      </c>
      <c r="BE2196">
        <v>418</v>
      </c>
      <c r="BF2196">
        <v>410</v>
      </c>
      <c r="BG2196">
        <v>665</v>
      </c>
      <c r="BJ2196">
        <v>1</v>
      </c>
      <c r="BL2196" t="s">
        <v>4578</v>
      </c>
      <c r="BM2196" s="4">
        <v>43283.324374999997</v>
      </c>
      <c r="BN2196" s="4">
        <v>43283.344525462962</v>
      </c>
      <c r="BO2196" s="4">
        <v>43283.344525462962</v>
      </c>
      <c r="BP2196" t="s">
        <v>92</v>
      </c>
      <c r="BQ2196" t="s">
        <v>93</v>
      </c>
      <c r="BR2196" t="s">
        <v>94</v>
      </c>
    </row>
    <row r="2197" spans="1:70" x14ac:dyDescent="0.3">
      <c r="A2197" t="str">
        <f>"201503C0200"</f>
        <v>201503C0200</v>
      </c>
      <c r="B2197" t="s">
        <v>4579</v>
      </c>
      <c r="C2197">
        <v>20</v>
      </c>
      <c r="D2197" t="s">
        <v>88</v>
      </c>
      <c r="E2197">
        <v>316</v>
      </c>
      <c r="F2197" t="s">
        <v>4537</v>
      </c>
      <c r="G2197">
        <v>1503</v>
      </c>
      <c r="H2197">
        <v>2</v>
      </c>
      <c r="I2197" t="s">
        <v>98</v>
      </c>
      <c r="J2197">
        <v>0</v>
      </c>
      <c r="K2197">
        <v>1</v>
      </c>
      <c r="L2197">
        <v>5</v>
      </c>
      <c r="M2197">
        <v>274</v>
      </c>
      <c r="N2197">
        <v>413</v>
      </c>
      <c r="O2197">
        <v>14</v>
      </c>
      <c r="P2197">
        <v>413</v>
      </c>
      <c r="Q2197">
        <v>7</v>
      </c>
      <c r="R2197">
        <v>169</v>
      </c>
      <c r="S2197">
        <v>7</v>
      </c>
      <c r="T2197">
        <v>13</v>
      </c>
      <c r="U2197">
        <v>9</v>
      </c>
      <c r="V2197">
        <v>3</v>
      </c>
      <c r="W2197">
        <v>0</v>
      </c>
      <c r="X2197">
        <v>2</v>
      </c>
      <c r="Y2197">
        <v>174</v>
      </c>
      <c r="Z2197">
        <v>5</v>
      </c>
      <c r="AA2197">
        <v>5</v>
      </c>
      <c r="AB2197">
        <v>3</v>
      </c>
      <c r="AC2197">
        <v>0</v>
      </c>
      <c r="AD2197">
        <v>0</v>
      </c>
      <c r="AE2197">
        <v>0</v>
      </c>
      <c r="AF2197">
        <v>0</v>
      </c>
      <c r="AK2197">
        <v>7</v>
      </c>
      <c r="AL2197">
        <v>0</v>
      </c>
      <c r="AM2197">
        <v>0</v>
      </c>
      <c r="AN2197">
        <v>0</v>
      </c>
      <c r="AT2197">
        <v>0</v>
      </c>
      <c r="BC2197">
        <v>0</v>
      </c>
      <c r="BD2197">
        <v>9</v>
      </c>
      <c r="BE2197">
        <v>413</v>
      </c>
      <c r="BF2197">
        <v>413</v>
      </c>
      <c r="BG2197">
        <v>665</v>
      </c>
      <c r="BJ2197">
        <v>1</v>
      </c>
      <c r="BL2197" t="s">
        <v>4580</v>
      </c>
      <c r="BM2197" s="4">
        <v>43283.314282407409</v>
      </c>
      <c r="BN2197" s="4">
        <v>43283.33834490741</v>
      </c>
      <c r="BO2197" s="4">
        <v>43283.33834490741</v>
      </c>
      <c r="BP2197" t="s">
        <v>92</v>
      </c>
      <c r="BQ2197" t="s">
        <v>93</v>
      </c>
      <c r="BR2197" t="s">
        <v>94</v>
      </c>
    </row>
    <row r="2198" spans="1:70" x14ac:dyDescent="0.3">
      <c r="A2198" t="str">
        <f>"201503C0300"</f>
        <v>201503C0300</v>
      </c>
      <c r="B2198" t="s">
        <v>4581</v>
      </c>
      <c r="C2198">
        <v>20</v>
      </c>
      <c r="D2198" t="s">
        <v>88</v>
      </c>
      <c r="E2198">
        <v>316</v>
      </c>
      <c r="F2198" t="s">
        <v>4537</v>
      </c>
      <c r="G2198">
        <v>1503</v>
      </c>
      <c r="H2198">
        <v>3</v>
      </c>
      <c r="I2198" t="s">
        <v>98</v>
      </c>
      <c r="J2198">
        <v>0</v>
      </c>
      <c r="K2198">
        <v>1</v>
      </c>
      <c r="L2198">
        <v>5</v>
      </c>
      <c r="M2198">
        <v>283</v>
      </c>
      <c r="N2198">
        <v>405</v>
      </c>
      <c r="O2198">
        <v>12</v>
      </c>
      <c r="P2198">
        <v>405</v>
      </c>
      <c r="Q2198">
        <v>1</v>
      </c>
      <c r="R2198">
        <v>179</v>
      </c>
      <c r="S2198">
        <v>2</v>
      </c>
      <c r="T2198">
        <v>7</v>
      </c>
      <c r="U2198">
        <v>10</v>
      </c>
      <c r="V2198">
        <v>1</v>
      </c>
      <c r="W2198">
        <v>1</v>
      </c>
      <c r="X2198">
        <v>1</v>
      </c>
      <c r="Y2198">
        <v>172</v>
      </c>
      <c r="Z2198">
        <v>4</v>
      </c>
      <c r="AA2198">
        <v>3</v>
      </c>
      <c r="AB2198">
        <v>1</v>
      </c>
      <c r="AC2198">
        <v>1</v>
      </c>
      <c r="AD2198">
        <v>0</v>
      </c>
      <c r="AE2198">
        <v>0</v>
      </c>
      <c r="AF2198">
        <v>0</v>
      </c>
      <c r="AK2198">
        <v>5</v>
      </c>
      <c r="AL2198">
        <v>0</v>
      </c>
      <c r="AM2198">
        <v>0</v>
      </c>
      <c r="AN2198">
        <v>0</v>
      </c>
      <c r="AT2198">
        <v>4</v>
      </c>
      <c r="BC2198">
        <v>0</v>
      </c>
      <c r="BD2198">
        <v>13</v>
      </c>
      <c r="BE2198">
        <v>405</v>
      </c>
      <c r="BF2198">
        <v>405</v>
      </c>
      <c r="BG2198">
        <v>665</v>
      </c>
      <c r="BJ2198">
        <v>1</v>
      </c>
      <c r="BL2198" t="s">
        <v>4582</v>
      </c>
      <c r="BM2198" s="4">
        <v>43283.312800925924</v>
      </c>
      <c r="BN2198" s="4">
        <v>43283.33630787037</v>
      </c>
      <c r="BO2198" s="4">
        <v>43283.33630787037</v>
      </c>
      <c r="BP2198" t="s">
        <v>92</v>
      </c>
      <c r="BQ2198" t="s">
        <v>93</v>
      </c>
      <c r="BR2198" t="s">
        <v>94</v>
      </c>
    </row>
    <row r="2199" spans="1:70" x14ac:dyDescent="0.3">
      <c r="A2199" t="str">
        <f>"201503C0400"</f>
        <v>201503C0400</v>
      </c>
      <c r="B2199" t="s">
        <v>4583</v>
      </c>
      <c r="C2199">
        <v>20</v>
      </c>
      <c r="D2199" t="s">
        <v>88</v>
      </c>
      <c r="E2199">
        <v>316</v>
      </c>
      <c r="F2199" t="s">
        <v>4537</v>
      </c>
      <c r="G2199">
        <v>1503</v>
      </c>
      <c r="H2199">
        <v>4</v>
      </c>
      <c r="I2199" t="s">
        <v>98</v>
      </c>
      <c r="J2199">
        <v>0</v>
      </c>
      <c r="K2199">
        <v>1</v>
      </c>
      <c r="L2199">
        <v>5</v>
      </c>
      <c r="M2199">
        <v>270</v>
      </c>
      <c r="N2199">
        <v>415</v>
      </c>
      <c r="O2199">
        <v>9</v>
      </c>
      <c r="P2199">
        <v>414</v>
      </c>
      <c r="Q2199">
        <v>4</v>
      </c>
      <c r="R2199">
        <v>171</v>
      </c>
      <c r="S2199">
        <v>7</v>
      </c>
      <c r="T2199">
        <v>7</v>
      </c>
      <c r="U2199">
        <v>9</v>
      </c>
      <c r="V2199">
        <v>5</v>
      </c>
      <c r="W2199">
        <v>0</v>
      </c>
      <c r="X2199">
        <v>1</v>
      </c>
      <c r="Y2199">
        <v>185</v>
      </c>
      <c r="Z2199">
        <v>6</v>
      </c>
      <c r="AA2199">
        <v>1</v>
      </c>
      <c r="AB2199">
        <v>0</v>
      </c>
      <c r="AC2199">
        <v>0</v>
      </c>
      <c r="AD2199">
        <v>0</v>
      </c>
      <c r="AE2199">
        <v>0</v>
      </c>
      <c r="AF2199">
        <v>0</v>
      </c>
      <c r="AK2199">
        <v>3</v>
      </c>
      <c r="AL2199">
        <v>0</v>
      </c>
      <c r="AM2199">
        <v>0</v>
      </c>
      <c r="AN2199">
        <v>0</v>
      </c>
      <c r="AT2199">
        <v>10</v>
      </c>
      <c r="BC2199">
        <v>0</v>
      </c>
      <c r="BD2199">
        <v>5</v>
      </c>
      <c r="BE2199">
        <v>414</v>
      </c>
      <c r="BF2199">
        <v>414</v>
      </c>
      <c r="BG2199">
        <v>665</v>
      </c>
      <c r="BJ2199">
        <v>1</v>
      </c>
      <c r="BL2199" t="s">
        <v>4584</v>
      </c>
      <c r="BM2199" s="4">
        <v>43283.327893518515</v>
      </c>
      <c r="BN2199" s="4">
        <v>43283.346597222226</v>
      </c>
      <c r="BO2199" s="4">
        <v>43283.346597222226</v>
      </c>
      <c r="BP2199" t="s">
        <v>92</v>
      </c>
      <c r="BQ2199" t="s">
        <v>93</v>
      </c>
      <c r="BR2199" t="s">
        <v>94</v>
      </c>
    </row>
    <row r="2200" spans="1:70" x14ac:dyDescent="0.3">
      <c r="A2200" t="str">
        <f>"201503C0500"</f>
        <v>201503C0500</v>
      </c>
      <c r="B2200" t="s">
        <v>4585</v>
      </c>
      <c r="C2200">
        <v>20</v>
      </c>
      <c r="D2200" t="s">
        <v>88</v>
      </c>
      <c r="E2200">
        <v>316</v>
      </c>
      <c r="F2200" t="s">
        <v>4537</v>
      </c>
      <c r="G2200">
        <v>1503</v>
      </c>
      <c r="H2200">
        <v>5</v>
      </c>
      <c r="I2200" t="s">
        <v>98</v>
      </c>
      <c r="J2200">
        <v>0</v>
      </c>
      <c r="K2200">
        <v>1</v>
      </c>
      <c r="L2200">
        <v>5</v>
      </c>
      <c r="M2200">
        <v>265</v>
      </c>
      <c r="N2200">
        <v>409</v>
      </c>
      <c r="O2200">
        <v>9</v>
      </c>
      <c r="P2200">
        <v>420</v>
      </c>
      <c r="Q2200">
        <v>4</v>
      </c>
      <c r="R2200">
        <v>177</v>
      </c>
      <c r="S2200">
        <v>9</v>
      </c>
      <c r="T2200">
        <v>8</v>
      </c>
      <c r="U2200">
        <v>6</v>
      </c>
      <c r="V2200">
        <v>3</v>
      </c>
      <c r="W2200">
        <v>0</v>
      </c>
      <c r="X2200">
        <v>2</v>
      </c>
      <c r="Y2200">
        <v>184</v>
      </c>
      <c r="Z2200">
        <v>3</v>
      </c>
      <c r="AA2200">
        <v>4</v>
      </c>
      <c r="AB2200">
        <v>1</v>
      </c>
      <c r="AC2200">
        <v>0</v>
      </c>
      <c r="AD2200">
        <v>0</v>
      </c>
      <c r="AE2200">
        <v>0</v>
      </c>
      <c r="AF2200">
        <v>0</v>
      </c>
      <c r="AK2200">
        <v>4</v>
      </c>
      <c r="AL2200">
        <v>1</v>
      </c>
      <c r="AM2200">
        <v>0</v>
      </c>
      <c r="AN2200">
        <v>0</v>
      </c>
      <c r="AT2200">
        <v>5</v>
      </c>
      <c r="BC2200">
        <v>0</v>
      </c>
      <c r="BD2200">
        <v>9</v>
      </c>
      <c r="BE2200">
        <v>420</v>
      </c>
      <c r="BF2200">
        <v>420</v>
      </c>
      <c r="BG2200">
        <v>664</v>
      </c>
      <c r="BJ2200">
        <v>1</v>
      </c>
      <c r="BL2200" t="s">
        <v>4586</v>
      </c>
      <c r="BM2200" s="4">
        <v>43283.337708333333</v>
      </c>
      <c r="BN2200" s="4">
        <v>43283.354097222225</v>
      </c>
      <c r="BO2200" s="4">
        <v>43283.354097222225</v>
      </c>
      <c r="BP2200" t="s">
        <v>92</v>
      </c>
      <c r="BQ2200" t="s">
        <v>93</v>
      </c>
      <c r="BR2200" t="s">
        <v>94</v>
      </c>
    </row>
    <row r="2201" spans="1:70" x14ac:dyDescent="0.3">
      <c r="A2201" t="str">
        <f>"201503C0600"</f>
        <v>201503C0600</v>
      </c>
      <c r="B2201" t="s">
        <v>4587</v>
      </c>
      <c r="C2201">
        <v>20</v>
      </c>
      <c r="D2201" t="s">
        <v>88</v>
      </c>
      <c r="E2201">
        <v>316</v>
      </c>
      <c r="F2201" t="s">
        <v>4537</v>
      </c>
      <c r="G2201">
        <v>1503</v>
      </c>
      <c r="H2201">
        <v>6</v>
      </c>
      <c r="I2201" t="s">
        <v>98</v>
      </c>
      <c r="J2201">
        <v>0</v>
      </c>
      <c r="K2201">
        <v>1</v>
      </c>
      <c r="L2201">
        <v>5</v>
      </c>
      <c r="M2201">
        <v>311</v>
      </c>
      <c r="N2201">
        <v>379</v>
      </c>
      <c r="O2201">
        <v>7</v>
      </c>
      <c r="P2201">
        <v>0</v>
      </c>
      <c r="Q2201">
        <v>6</v>
      </c>
      <c r="R2201">
        <v>150</v>
      </c>
      <c r="S2201">
        <v>2</v>
      </c>
      <c r="T2201">
        <v>5</v>
      </c>
      <c r="U2201">
        <v>12</v>
      </c>
      <c r="V2201">
        <v>3</v>
      </c>
      <c r="W2201">
        <v>0</v>
      </c>
      <c r="X2201">
        <v>2</v>
      </c>
      <c r="Y2201">
        <v>150</v>
      </c>
      <c r="Z2201">
        <v>7</v>
      </c>
      <c r="AA2201">
        <v>3</v>
      </c>
      <c r="AB2201">
        <v>0</v>
      </c>
      <c r="AC2201">
        <v>1</v>
      </c>
      <c r="AD2201">
        <v>0</v>
      </c>
      <c r="AE2201">
        <v>0</v>
      </c>
      <c r="AF2201">
        <v>0</v>
      </c>
      <c r="AK2201">
        <v>5</v>
      </c>
      <c r="AL2201">
        <v>0</v>
      </c>
      <c r="AM2201">
        <v>0</v>
      </c>
      <c r="AN2201">
        <v>2</v>
      </c>
      <c r="AT2201">
        <v>7</v>
      </c>
      <c r="BC2201">
        <v>0</v>
      </c>
      <c r="BD2201">
        <v>20</v>
      </c>
      <c r="BE2201" t="s">
        <v>105</v>
      </c>
      <c r="BF2201">
        <v>375</v>
      </c>
      <c r="BG2201">
        <v>664</v>
      </c>
      <c r="BJ2201">
        <v>1</v>
      </c>
      <c r="BL2201" t="s">
        <v>4588</v>
      </c>
      <c r="BM2201" s="4">
        <v>43283.323645833334</v>
      </c>
      <c r="BN2201" s="4">
        <v>43283.343622685185</v>
      </c>
      <c r="BO2201" s="4">
        <v>43283.343622685185</v>
      </c>
      <c r="BP2201" t="s">
        <v>92</v>
      </c>
      <c r="BQ2201" t="s">
        <v>93</v>
      </c>
      <c r="BR2201" t="s">
        <v>94</v>
      </c>
    </row>
    <row r="2202" spans="1:70" x14ac:dyDescent="0.3">
      <c r="A2202" t="str">
        <f>"201503E0100"</f>
        <v>201503E0100</v>
      </c>
      <c r="B2202" s="2" t="s">
        <v>4589</v>
      </c>
      <c r="C2202">
        <v>20</v>
      </c>
      <c r="D2202" t="s">
        <v>88</v>
      </c>
      <c r="E2202">
        <v>316</v>
      </c>
      <c r="F2202" t="s">
        <v>4537</v>
      </c>
      <c r="G2202">
        <v>1503</v>
      </c>
      <c r="H2202">
        <v>1</v>
      </c>
      <c r="I2202" t="s">
        <v>156</v>
      </c>
      <c r="J2202">
        <v>0</v>
      </c>
      <c r="K2202">
        <v>1</v>
      </c>
      <c r="L2202">
        <v>5</v>
      </c>
      <c r="BG2202">
        <v>676</v>
      </c>
      <c r="BI2202" t="s">
        <v>122</v>
      </c>
      <c r="BJ2202">
        <v>0</v>
      </c>
      <c r="BL2202" t="s">
        <v>4590</v>
      </c>
      <c r="BM2202" s="4">
        <v>43283.679571759261</v>
      </c>
      <c r="BN2202" s="4">
        <v>43283.682025462964</v>
      </c>
      <c r="BO2202" s="4">
        <v>43283.682025462964</v>
      </c>
      <c r="BP2202" t="s">
        <v>92</v>
      </c>
      <c r="BQ2202" t="s">
        <v>93</v>
      </c>
      <c r="BR2202" t="s">
        <v>94</v>
      </c>
    </row>
    <row r="2203" spans="1:70" x14ac:dyDescent="0.3">
      <c r="A2203" t="str">
        <f>"201503E0101"</f>
        <v>201503E0101</v>
      </c>
      <c r="B2203" s="2" t="s">
        <v>4591</v>
      </c>
      <c r="C2203">
        <v>20</v>
      </c>
      <c r="D2203" t="s">
        <v>88</v>
      </c>
      <c r="E2203">
        <v>316</v>
      </c>
      <c r="F2203" t="s">
        <v>4537</v>
      </c>
      <c r="G2203">
        <v>1503</v>
      </c>
      <c r="H2203">
        <v>1</v>
      </c>
      <c r="I2203" t="s">
        <v>156</v>
      </c>
      <c r="J2203">
        <v>1</v>
      </c>
      <c r="K2203">
        <v>1</v>
      </c>
      <c r="L2203">
        <v>5</v>
      </c>
      <c r="M2203">
        <v>292</v>
      </c>
      <c r="N2203">
        <v>413</v>
      </c>
      <c r="O2203">
        <v>8</v>
      </c>
      <c r="P2203">
        <v>405</v>
      </c>
      <c r="Q2203">
        <v>3</v>
      </c>
      <c r="R2203">
        <v>185</v>
      </c>
      <c r="S2203">
        <v>3</v>
      </c>
      <c r="T2203">
        <v>6</v>
      </c>
      <c r="U2203">
        <v>14</v>
      </c>
      <c r="V2203">
        <v>0</v>
      </c>
      <c r="W2203">
        <v>2</v>
      </c>
      <c r="X2203">
        <v>2</v>
      </c>
      <c r="Y2203">
        <v>159</v>
      </c>
      <c r="Z2203">
        <v>4</v>
      </c>
      <c r="AA2203">
        <v>6</v>
      </c>
      <c r="AB2203">
        <v>0</v>
      </c>
      <c r="AC2203">
        <v>0</v>
      </c>
      <c r="AD2203">
        <v>0</v>
      </c>
      <c r="AE2203">
        <v>0</v>
      </c>
      <c r="AF2203">
        <v>0</v>
      </c>
      <c r="AK2203">
        <v>5</v>
      </c>
      <c r="AL2203">
        <v>2</v>
      </c>
      <c r="AM2203">
        <v>0</v>
      </c>
      <c r="AN2203">
        <v>1</v>
      </c>
      <c r="AT2203">
        <v>3</v>
      </c>
      <c r="BC2203" t="s">
        <v>105</v>
      </c>
      <c r="BD2203">
        <v>9</v>
      </c>
      <c r="BE2203">
        <v>405</v>
      </c>
      <c r="BF2203">
        <v>404</v>
      </c>
      <c r="BG2203">
        <v>676</v>
      </c>
      <c r="BI2203" t="s">
        <v>106</v>
      </c>
      <c r="BJ2203">
        <v>1</v>
      </c>
      <c r="BL2203" t="s">
        <v>4592</v>
      </c>
      <c r="BM2203" s="4">
        <v>43283.318518518521</v>
      </c>
      <c r="BN2203" s="4">
        <v>43283.36645833333</v>
      </c>
      <c r="BO2203" s="4">
        <v>43283.36645833333</v>
      </c>
      <c r="BP2203" t="s">
        <v>92</v>
      </c>
      <c r="BQ2203" t="s">
        <v>93</v>
      </c>
      <c r="BR2203" t="s">
        <v>94</v>
      </c>
    </row>
    <row r="2204" spans="1:70" x14ac:dyDescent="0.3">
      <c r="A2204" t="str">
        <f>"201503E0102"</f>
        <v>201503E0102</v>
      </c>
      <c r="B2204" s="2" t="s">
        <v>4593</v>
      </c>
      <c r="C2204">
        <v>20</v>
      </c>
      <c r="D2204" t="s">
        <v>88</v>
      </c>
      <c r="E2204">
        <v>316</v>
      </c>
      <c r="F2204" t="s">
        <v>4537</v>
      </c>
      <c r="G2204">
        <v>1503</v>
      </c>
      <c r="H2204">
        <v>1</v>
      </c>
      <c r="I2204" t="s">
        <v>156</v>
      </c>
      <c r="J2204">
        <v>2</v>
      </c>
      <c r="K2204">
        <v>1</v>
      </c>
      <c r="L2204">
        <v>5</v>
      </c>
      <c r="M2204">
        <v>271</v>
      </c>
      <c r="N2204">
        <v>427</v>
      </c>
      <c r="O2204">
        <v>11</v>
      </c>
      <c r="P2204">
        <v>427</v>
      </c>
      <c r="Q2204">
        <v>5</v>
      </c>
      <c r="R2204">
        <v>176</v>
      </c>
      <c r="S2204">
        <v>5</v>
      </c>
      <c r="T2204">
        <v>8</v>
      </c>
      <c r="U2204">
        <v>11</v>
      </c>
      <c r="V2204">
        <v>5</v>
      </c>
      <c r="W2204">
        <v>1</v>
      </c>
      <c r="X2204">
        <v>0</v>
      </c>
      <c r="Y2204">
        <v>177</v>
      </c>
      <c r="Z2204">
        <v>6</v>
      </c>
      <c r="AA2204">
        <v>1</v>
      </c>
      <c r="AB2204">
        <v>0</v>
      </c>
      <c r="AC2204">
        <v>0</v>
      </c>
      <c r="AD2204">
        <v>0</v>
      </c>
      <c r="AE2204">
        <v>0</v>
      </c>
      <c r="AF2204">
        <v>0</v>
      </c>
      <c r="AK2204">
        <v>0</v>
      </c>
      <c r="AL2204">
        <v>1</v>
      </c>
      <c r="AM2204">
        <v>1</v>
      </c>
      <c r="AN2204">
        <v>0</v>
      </c>
      <c r="AT2204">
        <v>5</v>
      </c>
      <c r="BC2204">
        <v>0</v>
      </c>
      <c r="BD2204">
        <v>25</v>
      </c>
      <c r="BE2204" t="s">
        <v>105</v>
      </c>
      <c r="BF2204">
        <v>427</v>
      </c>
      <c r="BG2204">
        <v>676</v>
      </c>
      <c r="BJ2204">
        <v>1</v>
      </c>
      <c r="BL2204" t="s">
        <v>4594</v>
      </c>
      <c r="BM2204" s="4">
        <v>43283.618750000001</v>
      </c>
      <c r="BN2204" s="4">
        <v>43283.623240740744</v>
      </c>
      <c r="BO2204" s="4">
        <v>43283.623240740744</v>
      </c>
      <c r="BP2204" t="s">
        <v>92</v>
      </c>
      <c r="BQ2204" t="s">
        <v>93</v>
      </c>
      <c r="BR2204" t="s">
        <v>94</v>
      </c>
    </row>
    <row r="2205" spans="1:70" x14ac:dyDescent="0.3">
      <c r="A2205" t="str">
        <f>"201503E0103"</f>
        <v>201503E0103</v>
      </c>
      <c r="B2205" s="2" t="s">
        <v>4595</v>
      </c>
      <c r="C2205">
        <v>20</v>
      </c>
      <c r="D2205" t="s">
        <v>88</v>
      </c>
      <c r="E2205">
        <v>316</v>
      </c>
      <c r="F2205" t="s">
        <v>4537</v>
      </c>
      <c r="G2205">
        <v>1503</v>
      </c>
      <c r="H2205">
        <v>1</v>
      </c>
      <c r="I2205" t="s">
        <v>156</v>
      </c>
      <c r="J2205">
        <v>3</v>
      </c>
      <c r="K2205">
        <v>1</v>
      </c>
      <c r="L2205">
        <v>5</v>
      </c>
      <c r="M2205">
        <v>304</v>
      </c>
      <c r="N2205">
        <v>398</v>
      </c>
      <c r="O2205">
        <v>7</v>
      </c>
      <c r="P2205">
        <v>400</v>
      </c>
      <c r="Q2205">
        <v>8</v>
      </c>
      <c r="R2205">
        <v>163</v>
      </c>
      <c r="S2205">
        <v>3</v>
      </c>
      <c r="T2205">
        <v>9</v>
      </c>
      <c r="U2205">
        <v>10</v>
      </c>
      <c r="V2205">
        <v>3</v>
      </c>
      <c r="W2205">
        <v>0</v>
      </c>
      <c r="X2205">
        <v>2</v>
      </c>
      <c r="Y2205">
        <v>167</v>
      </c>
      <c r="Z2205">
        <v>5</v>
      </c>
      <c r="AA2205">
        <v>3</v>
      </c>
      <c r="AB2205">
        <v>0</v>
      </c>
      <c r="AC2205">
        <v>0</v>
      </c>
      <c r="AD2205">
        <v>0</v>
      </c>
      <c r="AE2205">
        <v>0</v>
      </c>
      <c r="AF2205">
        <v>0</v>
      </c>
      <c r="AK2205">
        <v>3</v>
      </c>
      <c r="AL2205">
        <v>1</v>
      </c>
      <c r="AM2205">
        <v>0</v>
      </c>
      <c r="AN2205">
        <v>2</v>
      </c>
      <c r="AT2205">
        <v>8</v>
      </c>
      <c r="BC2205">
        <v>0</v>
      </c>
      <c r="BD2205">
        <v>13</v>
      </c>
      <c r="BE2205">
        <v>400</v>
      </c>
      <c r="BF2205">
        <v>400</v>
      </c>
      <c r="BG2205">
        <v>676</v>
      </c>
      <c r="BJ2205">
        <v>1</v>
      </c>
      <c r="BL2205" t="s">
        <v>4596</v>
      </c>
      <c r="BM2205" s="4">
        <v>43283.61959490741</v>
      </c>
      <c r="BN2205" s="4">
        <v>43283.623888888891</v>
      </c>
      <c r="BO2205" s="4">
        <v>43283.623888888891</v>
      </c>
      <c r="BP2205" t="s">
        <v>92</v>
      </c>
      <c r="BQ2205" t="s">
        <v>93</v>
      </c>
      <c r="BR2205" t="s">
        <v>94</v>
      </c>
    </row>
    <row r="2206" spans="1:70" x14ac:dyDescent="0.3">
      <c r="A2206" t="str">
        <f>"201503E0104"</f>
        <v>201503E0104</v>
      </c>
      <c r="B2206" s="2" t="s">
        <v>4597</v>
      </c>
      <c r="C2206">
        <v>20</v>
      </c>
      <c r="D2206" t="s">
        <v>88</v>
      </c>
      <c r="E2206">
        <v>316</v>
      </c>
      <c r="F2206" t="s">
        <v>4537</v>
      </c>
      <c r="G2206">
        <v>1503</v>
      </c>
      <c r="H2206">
        <v>1</v>
      </c>
      <c r="I2206" t="s">
        <v>156</v>
      </c>
      <c r="J2206">
        <v>4</v>
      </c>
      <c r="K2206">
        <v>1</v>
      </c>
      <c r="L2206">
        <v>5</v>
      </c>
      <c r="BG2206">
        <v>675</v>
      </c>
      <c r="BI2206" t="s">
        <v>407</v>
      </c>
      <c r="BJ2206">
        <v>0</v>
      </c>
      <c r="BL2206" t="s">
        <v>4598</v>
      </c>
      <c r="BM2206" s="4">
        <v>43283.603796296295</v>
      </c>
      <c r="BN2206" s="4">
        <v>43283.615601851852</v>
      </c>
      <c r="BO2206" s="4">
        <v>43283.615601851852</v>
      </c>
      <c r="BP2206" t="s">
        <v>92</v>
      </c>
      <c r="BQ2206" t="s">
        <v>93</v>
      </c>
      <c r="BR2206" t="s">
        <v>94</v>
      </c>
    </row>
    <row r="2207" spans="1:70" x14ac:dyDescent="0.3">
      <c r="A2207" t="str">
        <f>"201503E0105"</f>
        <v>201503E0105</v>
      </c>
      <c r="B2207" s="2" t="s">
        <v>4599</v>
      </c>
      <c r="C2207">
        <v>20</v>
      </c>
      <c r="D2207" t="s">
        <v>88</v>
      </c>
      <c r="E2207">
        <v>316</v>
      </c>
      <c r="F2207" t="s">
        <v>4537</v>
      </c>
      <c r="G2207">
        <v>1503</v>
      </c>
      <c r="H2207">
        <v>1</v>
      </c>
      <c r="I2207" t="s">
        <v>156</v>
      </c>
      <c r="J2207">
        <v>5</v>
      </c>
      <c r="K2207">
        <v>1</v>
      </c>
      <c r="L2207">
        <v>5</v>
      </c>
      <c r="M2207">
        <v>306</v>
      </c>
      <c r="N2207">
        <v>390</v>
      </c>
      <c r="O2207">
        <v>6</v>
      </c>
      <c r="P2207">
        <v>393</v>
      </c>
      <c r="Q2207">
        <v>2</v>
      </c>
      <c r="R2207">
        <v>177</v>
      </c>
      <c r="S2207">
        <v>3</v>
      </c>
      <c r="T2207">
        <v>4</v>
      </c>
      <c r="U2207">
        <v>10</v>
      </c>
      <c r="V2207">
        <v>0</v>
      </c>
      <c r="W2207">
        <v>2</v>
      </c>
      <c r="X2207">
        <v>0</v>
      </c>
      <c r="Y2207">
        <v>160</v>
      </c>
      <c r="Z2207">
        <v>7</v>
      </c>
      <c r="AA2207">
        <v>1</v>
      </c>
      <c r="AB2207">
        <v>2</v>
      </c>
      <c r="AC2207">
        <v>0</v>
      </c>
      <c r="AD2207">
        <v>0</v>
      </c>
      <c r="AE2207">
        <v>0</v>
      </c>
      <c r="AF2207">
        <v>0</v>
      </c>
      <c r="AK2207">
        <v>4</v>
      </c>
      <c r="AL2207">
        <v>2</v>
      </c>
      <c r="AM2207">
        <v>0</v>
      </c>
      <c r="AN2207">
        <v>1</v>
      </c>
      <c r="AT2207">
        <v>7</v>
      </c>
      <c r="BC2207">
        <v>0</v>
      </c>
      <c r="BD2207">
        <v>11</v>
      </c>
      <c r="BE2207">
        <v>393</v>
      </c>
      <c r="BF2207">
        <v>393</v>
      </c>
      <c r="BG2207">
        <v>675</v>
      </c>
      <c r="BJ2207">
        <v>1</v>
      </c>
      <c r="BL2207" t="s">
        <v>4600</v>
      </c>
      <c r="BM2207" s="4">
        <v>43283.317754629628</v>
      </c>
      <c r="BN2207" s="4">
        <v>43283.339166666665</v>
      </c>
      <c r="BO2207" s="4">
        <v>43283.339166666665</v>
      </c>
      <c r="BP2207" t="s">
        <v>92</v>
      </c>
      <c r="BQ2207" t="s">
        <v>93</v>
      </c>
      <c r="BR2207" t="s">
        <v>94</v>
      </c>
    </row>
    <row r="2208" spans="1:70" x14ac:dyDescent="0.3">
      <c r="A2208" t="str">
        <f>"201503E0106"</f>
        <v>201503E0106</v>
      </c>
      <c r="B2208" s="2" t="s">
        <v>4601</v>
      </c>
      <c r="C2208">
        <v>20</v>
      </c>
      <c r="D2208" t="s">
        <v>88</v>
      </c>
      <c r="E2208">
        <v>316</v>
      </c>
      <c r="F2208" t="s">
        <v>4537</v>
      </c>
      <c r="G2208">
        <v>1503</v>
      </c>
      <c r="H2208">
        <v>1</v>
      </c>
      <c r="I2208" t="s">
        <v>156</v>
      </c>
      <c r="J2208">
        <v>6</v>
      </c>
      <c r="K2208">
        <v>1</v>
      </c>
      <c r="L2208">
        <v>5</v>
      </c>
      <c r="M2208">
        <v>306</v>
      </c>
      <c r="N2208">
        <v>391</v>
      </c>
      <c r="O2208">
        <v>8</v>
      </c>
      <c r="P2208">
        <v>391</v>
      </c>
      <c r="Q2208">
        <v>3</v>
      </c>
      <c r="R2208">
        <v>170</v>
      </c>
      <c r="S2208">
        <v>2</v>
      </c>
      <c r="T2208">
        <v>6</v>
      </c>
      <c r="U2208">
        <v>10</v>
      </c>
      <c r="V2208">
        <v>1</v>
      </c>
      <c r="W2208">
        <v>3</v>
      </c>
      <c r="X2208">
        <v>1</v>
      </c>
      <c r="Y2208">
        <v>160</v>
      </c>
      <c r="Z2208">
        <v>4</v>
      </c>
      <c r="AA2208">
        <v>5</v>
      </c>
      <c r="AB2208">
        <v>1</v>
      </c>
      <c r="AC2208">
        <v>0</v>
      </c>
      <c r="AD2208">
        <v>0</v>
      </c>
      <c r="AE2208">
        <v>0</v>
      </c>
      <c r="AF2208">
        <v>1</v>
      </c>
      <c r="AK2208">
        <v>4</v>
      </c>
      <c r="AL2208">
        <v>2</v>
      </c>
      <c r="AM2208">
        <v>0</v>
      </c>
      <c r="AN2208">
        <v>2</v>
      </c>
      <c r="AT2208">
        <v>6</v>
      </c>
      <c r="BC2208">
        <v>0</v>
      </c>
      <c r="BD2208">
        <v>10</v>
      </c>
      <c r="BE2208">
        <v>391</v>
      </c>
      <c r="BF2208">
        <v>391</v>
      </c>
      <c r="BG2208">
        <v>675</v>
      </c>
      <c r="BJ2208">
        <v>1</v>
      </c>
      <c r="BL2208" t="s">
        <v>4602</v>
      </c>
      <c r="BM2208" s="4">
        <v>43283.620150462964</v>
      </c>
      <c r="BN2208" s="4">
        <v>43283.625185185185</v>
      </c>
      <c r="BO2208" s="4">
        <v>43283.625185185185</v>
      </c>
      <c r="BP2208" t="s">
        <v>92</v>
      </c>
      <c r="BQ2208" t="s">
        <v>93</v>
      </c>
      <c r="BR2208" t="s">
        <v>94</v>
      </c>
    </row>
    <row r="2209" spans="1:70" x14ac:dyDescent="0.3">
      <c r="A2209" t="str">
        <f>"201503E0200"</f>
        <v>201503E0200</v>
      </c>
      <c r="B2209" s="2" t="s">
        <v>4603</v>
      </c>
      <c r="C2209">
        <v>20</v>
      </c>
      <c r="D2209" t="s">
        <v>88</v>
      </c>
      <c r="E2209">
        <v>316</v>
      </c>
      <c r="F2209" t="s">
        <v>4537</v>
      </c>
      <c r="G2209">
        <v>1503</v>
      </c>
      <c r="H2209">
        <v>2</v>
      </c>
      <c r="I2209" t="s">
        <v>156</v>
      </c>
      <c r="J2209">
        <v>0</v>
      </c>
      <c r="K2209">
        <v>2</v>
      </c>
      <c r="L2209">
        <v>5</v>
      </c>
      <c r="M2209">
        <v>175</v>
      </c>
      <c r="N2209">
        <v>264</v>
      </c>
      <c r="O2209">
        <v>7</v>
      </c>
      <c r="P2209">
        <v>264</v>
      </c>
      <c r="Q2209">
        <v>4</v>
      </c>
      <c r="R2209">
        <v>142</v>
      </c>
      <c r="S2209">
        <v>2</v>
      </c>
      <c r="T2209">
        <v>18</v>
      </c>
      <c r="U2209">
        <v>7</v>
      </c>
      <c r="V2209">
        <v>2</v>
      </c>
      <c r="W2209">
        <v>1</v>
      </c>
      <c r="X2209">
        <v>0</v>
      </c>
      <c r="Y2209">
        <v>53</v>
      </c>
      <c r="Z2209">
        <v>4</v>
      </c>
      <c r="AA2209">
        <v>0</v>
      </c>
      <c r="AB2209">
        <v>0</v>
      </c>
      <c r="AC2209">
        <v>1</v>
      </c>
      <c r="AD2209">
        <v>0</v>
      </c>
      <c r="AE2209">
        <v>0</v>
      </c>
      <c r="AF2209">
        <v>0</v>
      </c>
      <c r="AK2209">
        <v>6</v>
      </c>
      <c r="AL2209">
        <v>1</v>
      </c>
      <c r="AM2209">
        <v>0</v>
      </c>
      <c r="AN2209">
        <v>0</v>
      </c>
      <c r="AT2209">
        <v>9</v>
      </c>
      <c r="BC2209">
        <v>0</v>
      </c>
      <c r="BD2209">
        <v>15</v>
      </c>
      <c r="BE2209">
        <v>264</v>
      </c>
      <c r="BF2209">
        <v>265</v>
      </c>
      <c r="BG2209">
        <v>417</v>
      </c>
      <c r="BJ2209">
        <v>1</v>
      </c>
      <c r="BL2209" t="s">
        <v>4604</v>
      </c>
      <c r="BM2209" s="4">
        <v>43283.608715277776</v>
      </c>
      <c r="BN2209" s="4">
        <v>43283.613645833335</v>
      </c>
      <c r="BO2209" s="4">
        <v>43283.613645833335</v>
      </c>
      <c r="BP2209" t="s">
        <v>92</v>
      </c>
      <c r="BQ2209" t="s">
        <v>93</v>
      </c>
      <c r="BR2209" t="s">
        <v>94</v>
      </c>
    </row>
    <row r="2210" spans="1:70" x14ac:dyDescent="0.3">
      <c r="A2210" t="str">
        <f>"201504B0100"</f>
        <v>201504B0100</v>
      </c>
      <c r="B2210" t="s">
        <v>4605</v>
      </c>
      <c r="C2210">
        <v>20</v>
      </c>
      <c r="D2210" t="s">
        <v>88</v>
      </c>
      <c r="E2210">
        <v>316</v>
      </c>
      <c r="F2210" t="s">
        <v>4537</v>
      </c>
      <c r="G2210">
        <v>1504</v>
      </c>
      <c r="H2210">
        <v>1</v>
      </c>
      <c r="I2210" t="s">
        <v>90</v>
      </c>
      <c r="J2210">
        <v>0</v>
      </c>
      <c r="K2210">
        <v>1</v>
      </c>
      <c r="L2210">
        <v>5</v>
      </c>
      <c r="M2210">
        <v>155</v>
      </c>
      <c r="N2210" t="s">
        <v>127</v>
      </c>
      <c r="O2210">
        <v>13</v>
      </c>
      <c r="P2210" t="s">
        <v>105</v>
      </c>
      <c r="Q2210">
        <v>15</v>
      </c>
      <c r="R2210">
        <v>97</v>
      </c>
      <c r="S2210">
        <v>3</v>
      </c>
      <c r="T2210">
        <v>6</v>
      </c>
      <c r="U2210">
        <v>10</v>
      </c>
      <c r="V2210">
        <v>1</v>
      </c>
      <c r="W2210">
        <v>0</v>
      </c>
      <c r="X2210">
        <v>2</v>
      </c>
      <c r="Y2210">
        <v>119</v>
      </c>
      <c r="Z2210">
        <v>1</v>
      </c>
      <c r="AA2210">
        <v>0</v>
      </c>
      <c r="AB2210">
        <v>0</v>
      </c>
      <c r="AC2210">
        <v>0</v>
      </c>
      <c r="AD2210">
        <v>0</v>
      </c>
      <c r="AE2210">
        <v>0</v>
      </c>
      <c r="AF2210">
        <v>0</v>
      </c>
      <c r="AK2210">
        <v>1</v>
      </c>
      <c r="AL2210">
        <v>1</v>
      </c>
      <c r="AM2210">
        <v>0</v>
      </c>
      <c r="AN2210">
        <v>2</v>
      </c>
      <c r="AT2210">
        <v>5</v>
      </c>
      <c r="BC2210">
        <v>0</v>
      </c>
      <c r="BD2210">
        <v>9</v>
      </c>
      <c r="BE2210">
        <v>273</v>
      </c>
      <c r="BF2210">
        <v>272</v>
      </c>
      <c r="BG2210">
        <v>405</v>
      </c>
      <c r="BJ2210">
        <v>1</v>
      </c>
      <c r="BL2210" t="s">
        <v>4606</v>
      </c>
      <c r="BM2210" s="4">
        <v>43283.344583333332</v>
      </c>
      <c r="BN2210" s="4">
        <v>43283.358981481484</v>
      </c>
      <c r="BO2210" s="4">
        <v>43283.358981481484</v>
      </c>
      <c r="BP2210" t="s">
        <v>92</v>
      </c>
      <c r="BQ2210" t="s">
        <v>93</v>
      </c>
      <c r="BR2210" t="s">
        <v>94</v>
      </c>
    </row>
    <row r="2211" spans="1:70" x14ac:dyDescent="0.3">
      <c r="A2211" t="str">
        <f>"201504C0100"</f>
        <v>201504C0100</v>
      </c>
      <c r="B2211" t="s">
        <v>4607</v>
      </c>
      <c r="C2211">
        <v>20</v>
      </c>
      <c r="D2211" t="s">
        <v>88</v>
      </c>
      <c r="E2211">
        <v>316</v>
      </c>
      <c r="F2211" t="s">
        <v>4537</v>
      </c>
      <c r="G2211">
        <v>1504</v>
      </c>
      <c r="H2211">
        <v>1</v>
      </c>
      <c r="I2211" t="s">
        <v>98</v>
      </c>
      <c r="J2211">
        <v>0</v>
      </c>
      <c r="K2211">
        <v>1</v>
      </c>
      <c r="L2211">
        <v>5</v>
      </c>
      <c r="M2211">
        <v>160</v>
      </c>
      <c r="N2211">
        <v>267</v>
      </c>
      <c r="O2211">
        <v>13</v>
      </c>
      <c r="P2211">
        <v>267</v>
      </c>
      <c r="Q2211">
        <v>12</v>
      </c>
      <c r="R2211">
        <v>114</v>
      </c>
      <c r="S2211">
        <v>4</v>
      </c>
      <c r="T2211">
        <v>3</v>
      </c>
      <c r="U2211">
        <v>7</v>
      </c>
      <c r="V2211">
        <v>6</v>
      </c>
      <c r="W2211">
        <v>2</v>
      </c>
      <c r="X2211">
        <v>2</v>
      </c>
      <c r="Y2211">
        <v>95</v>
      </c>
      <c r="Z2211">
        <v>1</v>
      </c>
      <c r="AA2211">
        <v>2</v>
      </c>
      <c r="AB2211">
        <v>1</v>
      </c>
      <c r="AC2211">
        <v>0</v>
      </c>
      <c r="AD2211">
        <v>0</v>
      </c>
      <c r="AE2211">
        <v>0</v>
      </c>
      <c r="AF2211">
        <v>0</v>
      </c>
      <c r="AK2211">
        <v>4</v>
      </c>
      <c r="AL2211">
        <v>2</v>
      </c>
      <c r="AM2211">
        <v>0</v>
      </c>
      <c r="AN2211">
        <v>2</v>
      </c>
      <c r="AT2211">
        <v>4</v>
      </c>
      <c r="BC2211">
        <v>0</v>
      </c>
      <c r="BD2211">
        <v>6</v>
      </c>
      <c r="BE2211">
        <v>267</v>
      </c>
      <c r="BF2211">
        <v>267</v>
      </c>
      <c r="BG2211">
        <v>405</v>
      </c>
      <c r="BJ2211">
        <v>1</v>
      </c>
      <c r="BL2211" t="s">
        <v>4608</v>
      </c>
      <c r="BM2211" s="4">
        <v>43283.597928240742</v>
      </c>
      <c r="BN2211" s="4">
        <v>43283.604004629633</v>
      </c>
      <c r="BO2211" s="4">
        <v>43283.604004629633</v>
      </c>
      <c r="BP2211" t="s">
        <v>92</v>
      </c>
      <c r="BQ2211" t="s">
        <v>93</v>
      </c>
      <c r="BR2211" t="s">
        <v>94</v>
      </c>
    </row>
    <row r="2212" spans="1:70" x14ac:dyDescent="0.3">
      <c r="A2212" t="str">
        <f>"201505B0100"</f>
        <v>201505B0100</v>
      </c>
      <c r="B2212" t="s">
        <v>4609</v>
      </c>
      <c r="C2212">
        <v>20</v>
      </c>
      <c r="D2212" t="s">
        <v>88</v>
      </c>
      <c r="E2212">
        <v>316</v>
      </c>
      <c r="F2212" t="s">
        <v>4537</v>
      </c>
      <c r="G2212">
        <v>1505</v>
      </c>
      <c r="H2212">
        <v>1</v>
      </c>
      <c r="I2212" t="s">
        <v>90</v>
      </c>
      <c r="J2212">
        <v>0</v>
      </c>
      <c r="K2212">
        <v>1</v>
      </c>
      <c r="L2212">
        <v>5</v>
      </c>
      <c r="M2212">
        <v>274</v>
      </c>
      <c r="N2212">
        <v>467</v>
      </c>
      <c r="O2212">
        <v>6</v>
      </c>
      <c r="P2212">
        <v>461</v>
      </c>
      <c r="Q2212">
        <v>15</v>
      </c>
      <c r="R2212">
        <v>173</v>
      </c>
      <c r="S2212">
        <v>3</v>
      </c>
      <c r="T2212">
        <v>12</v>
      </c>
      <c r="U2212">
        <v>6</v>
      </c>
      <c r="V2212">
        <v>2</v>
      </c>
      <c r="W2212">
        <v>3</v>
      </c>
      <c r="X2212">
        <v>2</v>
      </c>
      <c r="Y2212">
        <v>205</v>
      </c>
      <c r="Z2212">
        <v>7</v>
      </c>
      <c r="AA2212">
        <v>3</v>
      </c>
      <c r="AB2212">
        <v>0</v>
      </c>
      <c r="AC2212">
        <v>0</v>
      </c>
      <c r="AD2212">
        <v>0</v>
      </c>
      <c r="AE2212">
        <v>1</v>
      </c>
      <c r="AF2212">
        <v>0</v>
      </c>
      <c r="AK2212">
        <v>5</v>
      </c>
      <c r="AL2212">
        <v>1</v>
      </c>
      <c r="AM2212">
        <v>1</v>
      </c>
      <c r="AN2212">
        <v>0</v>
      </c>
      <c r="AT2212">
        <v>7</v>
      </c>
      <c r="BC2212">
        <v>0</v>
      </c>
      <c r="BD2212">
        <v>24</v>
      </c>
      <c r="BE2212">
        <v>467</v>
      </c>
      <c r="BF2212">
        <v>470</v>
      </c>
      <c r="BG2212">
        <v>719</v>
      </c>
      <c r="BJ2212">
        <v>1</v>
      </c>
      <c r="BL2212" t="s">
        <v>4610</v>
      </c>
      <c r="BM2212" s="4">
        <v>43283.313645833332</v>
      </c>
      <c r="BN2212" s="4">
        <v>43283.33803240741</v>
      </c>
      <c r="BO2212" s="4">
        <v>43283.33803240741</v>
      </c>
      <c r="BP2212" t="s">
        <v>92</v>
      </c>
      <c r="BQ2212" t="s">
        <v>93</v>
      </c>
      <c r="BR2212" t="s">
        <v>94</v>
      </c>
    </row>
    <row r="2213" spans="1:70" x14ac:dyDescent="0.3">
      <c r="A2213" t="str">
        <f>"201505C0100"</f>
        <v>201505C0100</v>
      </c>
      <c r="B2213" t="s">
        <v>4611</v>
      </c>
      <c r="C2213">
        <v>20</v>
      </c>
      <c r="D2213" t="s">
        <v>88</v>
      </c>
      <c r="E2213">
        <v>316</v>
      </c>
      <c r="F2213" t="s">
        <v>4537</v>
      </c>
      <c r="G2213">
        <v>1505</v>
      </c>
      <c r="H2213">
        <v>1</v>
      </c>
      <c r="I2213" t="s">
        <v>98</v>
      </c>
      <c r="J2213">
        <v>0</v>
      </c>
      <c r="K2213">
        <v>1</v>
      </c>
      <c r="L2213">
        <v>5</v>
      </c>
      <c r="M2213">
        <v>303</v>
      </c>
      <c r="N2213">
        <v>444</v>
      </c>
      <c r="O2213">
        <v>6</v>
      </c>
      <c r="P2213">
        <v>438</v>
      </c>
      <c r="Q2213">
        <v>6</v>
      </c>
      <c r="R2213">
        <v>181</v>
      </c>
      <c r="S2213">
        <v>2</v>
      </c>
      <c r="T2213">
        <v>15</v>
      </c>
      <c r="U2213">
        <v>9</v>
      </c>
      <c r="V2213">
        <v>6</v>
      </c>
      <c r="W2213">
        <v>1</v>
      </c>
      <c r="X2213">
        <v>1</v>
      </c>
      <c r="Y2213">
        <v>198</v>
      </c>
      <c r="Z2213">
        <v>4</v>
      </c>
      <c r="AA2213">
        <v>0</v>
      </c>
      <c r="AB2213">
        <v>0</v>
      </c>
      <c r="AC2213">
        <v>0</v>
      </c>
      <c r="AD2213">
        <v>1</v>
      </c>
      <c r="AE2213">
        <v>0</v>
      </c>
      <c r="AF2213">
        <v>0</v>
      </c>
      <c r="AK2213">
        <v>3</v>
      </c>
      <c r="AL2213">
        <v>0</v>
      </c>
      <c r="AM2213">
        <v>0</v>
      </c>
      <c r="AN2213">
        <v>2</v>
      </c>
      <c r="AT2213">
        <v>9</v>
      </c>
      <c r="BC2213">
        <v>0</v>
      </c>
      <c r="BD2213">
        <v>0</v>
      </c>
      <c r="BE2213">
        <v>438</v>
      </c>
      <c r="BF2213">
        <v>438</v>
      </c>
      <c r="BG2213">
        <v>719</v>
      </c>
      <c r="BJ2213">
        <v>1</v>
      </c>
      <c r="BL2213" t="s">
        <v>4612</v>
      </c>
      <c r="BM2213" s="4">
        <v>43283.330462962964</v>
      </c>
      <c r="BN2213" s="4">
        <v>43283.348900462966</v>
      </c>
      <c r="BO2213" s="4">
        <v>43283.348900462966</v>
      </c>
      <c r="BP2213" t="s">
        <v>92</v>
      </c>
      <c r="BQ2213" t="s">
        <v>93</v>
      </c>
      <c r="BR2213" t="s">
        <v>94</v>
      </c>
    </row>
    <row r="2214" spans="1:70" x14ac:dyDescent="0.3">
      <c r="A2214" t="str">
        <f>"201505C0200"</f>
        <v>201505C0200</v>
      </c>
      <c r="B2214" t="s">
        <v>4613</v>
      </c>
      <c r="C2214">
        <v>20</v>
      </c>
      <c r="D2214" t="s">
        <v>88</v>
      </c>
      <c r="E2214">
        <v>316</v>
      </c>
      <c r="F2214" t="s">
        <v>4537</v>
      </c>
      <c r="G2214">
        <v>1505</v>
      </c>
      <c r="H2214">
        <v>2</v>
      </c>
      <c r="I2214" t="s">
        <v>98</v>
      </c>
      <c r="J2214">
        <v>0</v>
      </c>
      <c r="K2214">
        <v>1</v>
      </c>
      <c r="L2214">
        <v>5</v>
      </c>
      <c r="M2214">
        <v>280</v>
      </c>
      <c r="N2214">
        <v>461</v>
      </c>
      <c r="O2214">
        <v>7</v>
      </c>
      <c r="P2214">
        <v>461</v>
      </c>
      <c r="Q2214">
        <v>5</v>
      </c>
      <c r="R2214">
        <v>194</v>
      </c>
      <c r="S2214">
        <v>4</v>
      </c>
      <c r="T2214">
        <v>6</v>
      </c>
      <c r="U2214">
        <v>10</v>
      </c>
      <c r="V2214">
        <v>2</v>
      </c>
      <c r="W2214">
        <v>2</v>
      </c>
      <c r="X2214">
        <v>2</v>
      </c>
      <c r="Y2214">
        <v>196</v>
      </c>
      <c r="Z2214">
        <v>6</v>
      </c>
      <c r="AA2214">
        <v>6</v>
      </c>
      <c r="AB2214">
        <v>3</v>
      </c>
      <c r="AC2214">
        <v>0</v>
      </c>
      <c r="AD2214">
        <v>0</v>
      </c>
      <c r="AE2214">
        <v>0</v>
      </c>
      <c r="AF2214">
        <v>0</v>
      </c>
      <c r="AK2214">
        <v>4</v>
      </c>
      <c r="AL2214">
        <v>0</v>
      </c>
      <c r="AM2214">
        <v>0</v>
      </c>
      <c r="AN2214">
        <v>0</v>
      </c>
      <c r="AT2214">
        <v>8</v>
      </c>
      <c r="BC2214">
        <v>1</v>
      </c>
      <c r="BD2214">
        <v>12</v>
      </c>
      <c r="BE2214">
        <v>461</v>
      </c>
      <c r="BF2214">
        <v>461</v>
      </c>
      <c r="BG2214">
        <v>719</v>
      </c>
      <c r="BJ2214">
        <v>1</v>
      </c>
      <c r="BL2214" t="s">
        <v>4614</v>
      </c>
      <c r="BM2214" s="4">
        <v>43283.597453703704</v>
      </c>
      <c r="BN2214" s="4">
        <v>43283.603773148148</v>
      </c>
      <c r="BO2214" s="4">
        <v>43283.603773148148</v>
      </c>
      <c r="BP2214" t="s">
        <v>92</v>
      </c>
      <c r="BQ2214" t="s">
        <v>93</v>
      </c>
      <c r="BR2214" t="s">
        <v>94</v>
      </c>
    </row>
    <row r="2215" spans="1:70" x14ac:dyDescent="0.3">
      <c r="A2215" t="str">
        <f>"201505C0300"</f>
        <v>201505C0300</v>
      </c>
      <c r="B2215" t="s">
        <v>4615</v>
      </c>
      <c r="C2215">
        <v>20</v>
      </c>
      <c r="D2215" t="s">
        <v>88</v>
      </c>
      <c r="E2215">
        <v>316</v>
      </c>
      <c r="F2215" t="s">
        <v>4537</v>
      </c>
      <c r="G2215">
        <v>1505</v>
      </c>
      <c r="H2215">
        <v>3</v>
      </c>
      <c r="I2215" t="s">
        <v>98</v>
      </c>
      <c r="J2215">
        <v>0</v>
      </c>
      <c r="K2215">
        <v>1</v>
      </c>
      <c r="L2215">
        <v>5</v>
      </c>
      <c r="M2215">
        <v>304</v>
      </c>
      <c r="N2215">
        <v>437</v>
      </c>
      <c r="O2215">
        <v>9</v>
      </c>
      <c r="P2215">
        <v>436</v>
      </c>
      <c r="Q2215">
        <v>3</v>
      </c>
      <c r="R2215">
        <v>180</v>
      </c>
      <c r="S2215">
        <v>7</v>
      </c>
      <c r="T2215">
        <v>12</v>
      </c>
      <c r="U2215">
        <v>11</v>
      </c>
      <c r="V2215">
        <v>6</v>
      </c>
      <c r="W2215">
        <v>0</v>
      </c>
      <c r="X2215">
        <v>4</v>
      </c>
      <c r="Y2215">
        <v>186</v>
      </c>
      <c r="Z2215">
        <v>5</v>
      </c>
      <c r="AA2215">
        <v>0</v>
      </c>
      <c r="AB2215">
        <v>1</v>
      </c>
      <c r="AC2215">
        <v>0</v>
      </c>
      <c r="AD2215">
        <v>0</v>
      </c>
      <c r="AE2215">
        <v>0</v>
      </c>
      <c r="AF2215">
        <v>0</v>
      </c>
      <c r="AK2215">
        <v>5</v>
      </c>
      <c r="AL2215">
        <v>0</v>
      </c>
      <c r="AM2215">
        <v>0</v>
      </c>
      <c r="AN2215">
        <v>0</v>
      </c>
      <c r="AT2215">
        <v>4</v>
      </c>
      <c r="BC2215">
        <v>0</v>
      </c>
      <c r="BD2215">
        <v>13</v>
      </c>
      <c r="BE2215">
        <v>436</v>
      </c>
      <c r="BF2215">
        <v>437</v>
      </c>
      <c r="BG2215">
        <v>719</v>
      </c>
      <c r="BJ2215">
        <v>1</v>
      </c>
      <c r="BL2215" t="s">
        <v>4616</v>
      </c>
      <c r="BM2215" s="4">
        <v>43283.343275462961</v>
      </c>
      <c r="BN2215" s="4">
        <v>43283.356944444444</v>
      </c>
      <c r="BO2215" s="4">
        <v>43283.356944444444</v>
      </c>
      <c r="BP2215" t="s">
        <v>92</v>
      </c>
      <c r="BQ2215" t="s">
        <v>93</v>
      </c>
      <c r="BR2215" t="s">
        <v>94</v>
      </c>
    </row>
    <row r="2216" spans="1:70" x14ac:dyDescent="0.3">
      <c r="A2216" t="str">
        <f>"201505C0400"</f>
        <v>201505C0400</v>
      </c>
      <c r="B2216" t="s">
        <v>4617</v>
      </c>
      <c r="C2216">
        <v>20</v>
      </c>
      <c r="D2216" t="s">
        <v>88</v>
      </c>
      <c r="E2216">
        <v>316</v>
      </c>
      <c r="F2216" t="s">
        <v>4537</v>
      </c>
      <c r="G2216">
        <v>1505</v>
      </c>
      <c r="H2216">
        <v>4</v>
      </c>
      <c r="I2216" t="s">
        <v>98</v>
      </c>
      <c r="J2216">
        <v>0</v>
      </c>
      <c r="K2216">
        <v>1</v>
      </c>
      <c r="L2216">
        <v>5</v>
      </c>
      <c r="M2216" t="s">
        <v>105</v>
      </c>
      <c r="N2216">
        <v>474</v>
      </c>
      <c r="O2216">
        <v>7</v>
      </c>
      <c r="P2216">
        <v>474</v>
      </c>
      <c r="Q2216">
        <v>4</v>
      </c>
      <c r="R2216">
        <v>169</v>
      </c>
      <c r="S2216">
        <v>6</v>
      </c>
      <c r="T2216">
        <v>11</v>
      </c>
      <c r="U2216">
        <v>14</v>
      </c>
      <c r="V2216">
        <v>3</v>
      </c>
      <c r="W2216">
        <v>1</v>
      </c>
      <c r="X2216">
        <v>4</v>
      </c>
      <c r="Y2216">
        <v>215</v>
      </c>
      <c r="Z2216">
        <v>0</v>
      </c>
      <c r="AA2216">
        <v>0</v>
      </c>
      <c r="AB2216">
        <v>0</v>
      </c>
      <c r="AC2216">
        <v>0</v>
      </c>
      <c r="AD2216">
        <v>0</v>
      </c>
      <c r="AE2216">
        <v>0</v>
      </c>
      <c r="AF2216">
        <v>0</v>
      </c>
      <c r="AK2216">
        <v>13</v>
      </c>
      <c r="AL2216">
        <v>0</v>
      </c>
      <c r="AM2216">
        <v>0</v>
      </c>
      <c r="AN2216">
        <v>0</v>
      </c>
      <c r="AT2216">
        <v>2</v>
      </c>
      <c r="BC2216">
        <v>0</v>
      </c>
      <c r="BD2216">
        <v>14</v>
      </c>
      <c r="BE2216">
        <v>474</v>
      </c>
      <c r="BF2216">
        <v>456</v>
      </c>
      <c r="BG2216">
        <v>719</v>
      </c>
      <c r="BJ2216">
        <v>1</v>
      </c>
      <c r="BL2216" t="s">
        <v>4618</v>
      </c>
      <c r="BM2216" s="4">
        <v>43283.329791666663</v>
      </c>
      <c r="BN2216" s="4">
        <v>43283.347754629627</v>
      </c>
      <c r="BO2216" s="4">
        <v>43283.347754629627</v>
      </c>
      <c r="BP2216" t="s">
        <v>92</v>
      </c>
      <c r="BQ2216" t="s">
        <v>93</v>
      </c>
      <c r="BR2216" t="s">
        <v>94</v>
      </c>
    </row>
    <row r="2217" spans="1:70" x14ac:dyDescent="0.3">
      <c r="A2217" t="str">
        <f>"201506B0100"</f>
        <v>201506B0100</v>
      </c>
      <c r="B2217" t="s">
        <v>4619</v>
      </c>
      <c r="C2217">
        <v>20</v>
      </c>
      <c r="D2217" t="s">
        <v>88</v>
      </c>
      <c r="E2217">
        <v>316</v>
      </c>
      <c r="F2217" t="s">
        <v>4537</v>
      </c>
      <c r="G2217">
        <v>1506</v>
      </c>
      <c r="H2217">
        <v>1</v>
      </c>
      <c r="I2217" t="s">
        <v>90</v>
      </c>
      <c r="J2217">
        <v>0</v>
      </c>
      <c r="K2217">
        <v>1</v>
      </c>
      <c r="L2217">
        <v>5</v>
      </c>
      <c r="M2217">
        <v>296</v>
      </c>
      <c r="N2217">
        <v>730</v>
      </c>
      <c r="O2217" t="s">
        <v>105</v>
      </c>
      <c r="P2217">
        <v>296</v>
      </c>
      <c r="Q2217">
        <v>7</v>
      </c>
      <c r="R2217">
        <v>182</v>
      </c>
      <c r="S2217">
        <v>4</v>
      </c>
      <c r="T2217">
        <v>7</v>
      </c>
      <c r="U2217">
        <v>12</v>
      </c>
      <c r="V2217">
        <v>5</v>
      </c>
      <c r="W2217">
        <v>3</v>
      </c>
      <c r="X2217">
        <v>3</v>
      </c>
      <c r="Y2217">
        <v>184</v>
      </c>
      <c r="Z2217">
        <v>3</v>
      </c>
      <c r="AA2217">
        <v>4</v>
      </c>
      <c r="AB2217">
        <v>3</v>
      </c>
      <c r="AC2217" t="s">
        <v>105</v>
      </c>
      <c r="AD2217" t="s">
        <v>105</v>
      </c>
      <c r="AE2217" t="s">
        <v>105</v>
      </c>
      <c r="AF2217" t="s">
        <v>105</v>
      </c>
      <c r="AK2217">
        <v>2</v>
      </c>
      <c r="AL2217" t="s">
        <v>105</v>
      </c>
      <c r="AM2217" t="s">
        <v>105</v>
      </c>
      <c r="AN2217" t="s">
        <v>105</v>
      </c>
      <c r="AT2217">
        <v>10</v>
      </c>
      <c r="BC2217" t="s">
        <v>105</v>
      </c>
      <c r="BD2217">
        <v>5</v>
      </c>
      <c r="BE2217">
        <v>434</v>
      </c>
      <c r="BF2217">
        <v>434</v>
      </c>
      <c r="BG2217">
        <v>709</v>
      </c>
      <c r="BI2217" t="s">
        <v>106</v>
      </c>
      <c r="BJ2217">
        <v>1</v>
      </c>
      <c r="BL2217" t="s">
        <v>4620</v>
      </c>
      <c r="BM2217" s="4">
        <v>43283.322233796294</v>
      </c>
      <c r="BN2217" s="4">
        <v>43283.342812499999</v>
      </c>
      <c r="BO2217" s="4">
        <v>43283.342812499999</v>
      </c>
      <c r="BP2217" t="s">
        <v>92</v>
      </c>
      <c r="BQ2217" t="s">
        <v>93</v>
      </c>
      <c r="BR2217" t="s">
        <v>94</v>
      </c>
    </row>
    <row r="2218" spans="1:70" x14ac:dyDescent="0.3">
      <c r="A2218" t="str">
        <f>"201506C0100"</f>
        <v>201506C0100</v>
      </c>
      <c r="B2218" t="s">
        <v>4621</v>
      </c>
      <c r="C2218">
        <v>20</v>
      </c>
      <c r="D2218" t="s">
        <v>88</v>
      </c>
      <c r="E2218">
        <v>316</v>
      </c>
      <c r="F2218" t="s">
        <v>4537</v>
      </c>
      <c r="G2218">
        <v>1506</v>
      </c>
      <c r="H2218">
        <v>1</v>
      </c>
      <c r="I2218" t="s">
        <v>98</v>
      </c>
      <c r="J2218">
        <v>0</v>
      </c>
      <c r="K2218">
        <v>1</v>
      </c>
      <c r="L2218">
        <v>5</v>
      </c>
      <c r="M2218">
        <v>278</v>
      </c>
      <c r="N2218">
        <v>453</v>
      </c>
      <c r="O2218">
        <v>5</v>
      </c>
      <c r="P2218">
        <v>453</v>
      </c>
      <c r="Q2218">
        <v>3</v>
      </c>
      <c r="R2218">
        <v>204</v>
      </c>
      <c r="S2218">
        <v>1</v>
      </c>
      <c r="T2218">
        <v>13</v>
      </c>
      <c r="U2218">
        <v>10</v>
      </c>
      <c r="V2218">
        <v>3</v>
      </c>
      <c r="W2218">
        <v>2</v>
      </c>
      <c r="X2218">
        <v>1</v>
      </c>
      <c r="Y2218">
        <v>173</v>
      </c>
      <c r="Z2218">
        <v>8</v>
      </c>
      <c r="AA2218">
        <v>6</v>
      </c>
      <c r="AB2218">
        <v>2</v>
      </c>
      <c r="AC2218">
        <v>0</v>
      </c>
      <c r="AD2218">
        <v>1</v>
      </c>
      <c r="AE2218">
        <v>0</v>
      </c>
      <c r="AF2218">
        <v>0</v>
      </c>
      <c r="AK2218">
        <v>6</v>
      </c>
      <c r="AL2218">
        <v>2</v>
      </c>
      <c r="AM2218">
        <v>0</v>
      </c>
      <c r="AN2218">
        <v>1</v>
      </c>
      <c r="AT2218">
        <v>7</v>
      </c>
      <c r="BC2218">
        <v>0</v>
      </c>
      <c r="BD2218">
        <v>10</v>
      </c>
      <c r="BE2218">
        <v>453</v>
      </c>
      <c r="BF2218">
        <v>453</v>
      </c>
      <c r="BG2218">
        <v>709</v>
      </c>
      <c r="BJ2218">
        <v>1</v>
      </c>
      <c r="BL2218" t="s">
        <v>4622</v>
      </c>
      <c r="BM2218" s="4">
        <v>43283.321446759262</v>
      </c>
      <c r="BN2218" s="4">
        <v>43283.343460648146</v>
      </c>
      <c r="BO2218" s="4">
        <v>43283.343460648146</v>
      </c>
      <c r="BP2218" t="s">
        <v>92</v>
      </c>
      <c r="BQ2218" t="s">
        <v>93</v>
      </c>
      <c r="BR2218" t="s">
        <v>94</v>
      </c>
    </row>
    <row r="2219" spans="1:70" x14ac:dyDescent="0.3">
      <c r="A2219" t="str">
        <f>"201506C0200"</f>
        <v>201506C0200</v>
      </c>
      <c r="B2219" t="s">
        <v>4623</v>
      </c>
      <c r="C2219">
        <v>20</v>
      </c>
      <c r="D2219" t="s">
        <v>88</v>
      </c>
      <c r="E2219">
        <v>316</v>
      </c>
      <c r="F2219" t="s">
        <v>4537</v>
      </c>
      <c r="G2219">
        <v>1506</v>
      </c>
      <c r="H2219">
        <v>2</v>
      </c>
      <c r="I2219" t="s">
        <v>98</v>
      </c>
      <c r="J2219">
        <v>0</v>
      </c>
      <c r="K2219">
        <v>1</v>
      </c>
      <c r="L2219">
        <v>5</v>
      </c>
      <c r="M2219">
        <v>256</v>
      </c>
      <c r="N2219">
        <v>475</v>
      </c>
      <c r="O2219">
        <v>0</v>
      </c>
      <c r="P2219" t="s">
        <v>105</v>
      </c>
      <c r="Q2219">
        <v>9</v>
      </c>
      <c r="R2219">
        <v>206</v>
      </c>
      <c r="S2219">
        <v>9</v>
      </c>
      <c r="T2219">
        <v>9</v>
      </c>
      <c r="U2219">
        <v>13</v>
      </c>
      <c r="V2219">
        <v>3</v>
      </c>
      <c r="W2219">
        <v>2</v>
      </c>
      <c r="X2219">
        <v>3</v>
      </c>
      <c r="Y2219">
        <v>174</v>
      </c>
      <c r="Z2219">
        <v>6</v>
      </c>
      <c r="AA2219">
        <v>2</v>
      </c>
      <c r="AB2219">
        <v>1</v>
      </c>
      <c r="AC2219">
        <v>0</v>
      </c>
      <c r="AD2219">
        <v>0</v>
      </c>
      <c r="AE2219">
        <v>0</v>
      </c>
      <c r="AF2219">
        <v>0</v>
      </c>
      <c r="AK2219">
        <v>6</v>
      </c>
      <c r="AL2219">
        <v>1</v>
      </c>
      <c r="AM2219">
        <v>0</v>
      </c>
      <c r="AN2219">
        <v>1</v>
      </c>
      <c r="AT2219">
        <v>12</v>
      </c>
      <c r="BC2219">
        <v>0</v>
      </c>
      <c r="BD2219">
        <v>18</v>
      </c>
      <c r="BE2219">
        <v>475</v>
      </c>
      <c r="BF2219">
        <v>475</v>
      </c>
      <c r="BG2219">
        <v>709</v>
      </c>
      <c r="BJ2219">
        <v>1</v>
      </c>
      <c r="BL2219" t="s">
        <v>4624</v>
      </c>
      <c r="BM2219" s="4">
        <v>43283.322847222225</v>
      </c>
      <c r="BN2219" s="4">
        <v>43283.342673611114</v>
      </c>
      <c r="BO2219" s="4">
        <v>43283.342673611114</v>
      </c>
      <c r="BP2219" t="s">
        <v>92</v>
      </c>
      <c r="BQ2219" t="s">
        <v>93</v>
      </c>
      <c r="BR2219" t="s">
        <v>94</v>
      </c>
    </row>
    <row r="2220" spans="1:70" x14ac:dyDescent="0.3">
      <c r="A2220" t="str">
        <f>"201506S0100"</f>
        <v>201506S0100</v>
      </c>
      <c r="B2220" t="s">
        <v>4625</v>
      </c>
      <c r="C2220">
        <v>20</v>
      </c>
      <c r="D2220" t="s">
        <v>88</v>
      </c>
      <c r="E2220">
        <v>316</v>
      </c>
      <c r="F2220" t="s">
        <v>4537</v>
      </c>
      <c r="G2220">
        <v>1506</v>
      </c>
      <c r="H2220">
        <v>1</v>
      </c>
      <c r="I2220" t="s">
        <v>113</v>
      </c>
      <c r="J2220">
        <v>0</v>
      </c>
      <c r="K2220">
        <v>1</v>
      </c>
      <c r="L2220">
        <v>6</v>
      </c>
      <c r="M2220" t="s">
        <v>105</v>
      </c>
      <c r="N2220">
        <v>17</v>
      </c>
      <c r="O2220">
        <v>0</v>
      </c>
      <c r="P2220">
        <v>17</v>
      </c>
      <c r="Q2220">
        <v>0</v>
      </c>
      <c r="R2220">
        <v>7</v>
      </c>
      <c r="S2220">
        <v>0</v>
      </c>
      <c r="T2220">
        <v>1</v>
      </c>
      <c r="U2220">
        <v>0</v>
      </c>
      <c r="V2220">
        <v>0</v>
      </c>
      <c r="W2220">
        <v>0</v>
      </c>
      <c r="X2220">
        <v>0</v>
      </c>
      <c r="Y2220">
        <v>6</v>
      </c>
      <c r="Z2220">
        <v>1</v>
      </c>
      <c r="AA2220">
        <v>0</v>
      </c>
      <c r="AB2220">
        <v>0</v>
      </c>
      <c r="AC2220">
        <v>0</v>
      </c>
      <c r="AD2220">
        <v>0</v>
      </c>
      <c r="AE2220">
        <v>0</v>
      </c>
      <c r="AF2220">
        <v>0</v>
      </c>
      <c r="AK2220">
        <v>1</v>
      </c>
      <c r="AL2220">
        <v>0</v>
      </c>
      <c r="AM2220">
        <v>0</v>
      </c>
      <c r="AN2220">
        <v>0</v>
      </c>
      <c r="AT2220">
        <v>0</v>
      </c>
      <c r="BC2220">
        <v>0</v>
      </c>
      <c r="BD2220">
        <v>1</v>
      </c>
      <c r="BE2220">
        <v>17</v>
      </c>
      <c r="BF2220">
        <v>17</v>
      </c>
      <c r="BG2220">
        <v>0</v>
      </c>
      <c r="BJ2220">
        <v>1</v>
      </c>
      <c r="BL2220" t="s">
        <v>4626</v>
      </c>
      <c r="BM2220" s="4">
        <v>43283.33116898148</v>
      </c>
      <c r="BN2220" s="4">
        <v>43283.351388888892</v>
      </c>
      <c r="BO2220" s="4">
        <v>43283.351388888892</v>
      </c>
      <c r="BP2220" t="s">
        <v>92</v>
      </c>
      <c r="BQ2220" t="s">
        <v>93</v>
      </c>
      <c r="BR2220" t="s">
        <v>94</v>
      </c>
    </row>
    <row r="2221" spans="1:70" x14ac:dyDescent="0.3">
      <c r="A2221" t="str">
        <f>"201507B0100"</f>
        <v>201507B0100</v>
      </c>
      <c r="B2221" t="s">
        <v>4627</v>
      </c>
      <c r="C2221">
        <v>20</v>
      </c>
      <c r="D2221" t="s">
        <v>88</v>
      </c>
      <c r="E2221">
        <v>316</v>
      </c>
      <c r="F2221" t="s">
        <v>4537</v>
      </c>
      <c r="G2221">
        <v>1507</v>
      </c>
      <c r="H2221">
        <v>1</v>
      </c>
      <c r="I2221" t="s">
        <v>90</v>
      </c>
      <c r="J2221">
        <v>0</v>
      </c>
      <c r="K2221">
        <v>1</v>
      </c>
      <c r="L2221">
        <v>5</v>
      </c>
      <c r="M2221" t="s">
        <v>105</v>
      </c>
      <c r="N2221">
        <v>499</v>
      </c>
      <c r="O2221">
        <v>2</v>
      </c>
      <c r="P2221">
        <v>0</v>
      </c>
      <c r="Q2221">
        <v>7</v>
      </c>
      <c r="R2221">
        <v>240</v>
      </c>
      <c r="S2221">
        <v>3</v>
      </c>
      <c r="T2221">
        <v>14</v>
      </c>
      <c r="U2221">
        <v>19</v>
      </c>
      <c r="V2221">
        <v>6</v>
      </c>
      <c r="W2221">
        <v>1</v>
      </c>
      <c r="X2221">
        <v>2</v>
      </c>
      <c r="Y2221">
        <v>180</v>
      </c>
      <c r="Z2221">
        <v>2</v>
      </c>
      <c r="AA2221" t="s">
        <v>105</v>
      </c>
      <c r="AB2221" t="s">
        <v>105</v>
      </c>
      <c r="AC2221">
        <v>0</v>
      </c>
      <c r="AD2221">
        <v>1</v>
      </c>
      <c r="AE2221">
        <v>0</v>
      </c>
      <c r="AF2221">
        <v>0</v>
      </c>
      <c r="AK2221">
        <v>4</v>
      </c>
      <c r="AL2221">
        <v>2</v>
      </c>
      <c r="AM2221">
        <v>0</v>
      </c>
      <c r="AN2221">
        <v>2</v>
      </c>
      <c r="AT2221">
        <v>2</v>
      </c>
      <c r="BC2221" t="s">
        <v>105</v>
      </c>
      <c r="BD2221">
        <v>13</v>
      </c>
      <c r="BE2221">
        <v>500</v>
      </c>
      <c r="BF2221">
        <v>498</v>
      </c>
      <c r="BG2221">
        <v>742</v>
      </c>
      <c r="BI2221" t="s">
        <v>106</v>
      </c>
      <c r="BJ2221">
        <v>1</v>
      </c>
      <c r="BL2221" t="s">
        <v>4628</v>
      </c>
      <c r="BM2221" s="4">
        <v>43283.617974537039</v>
      </c>
      <c r="BN2221" s="4">
        <v>43283.625914351855</v>
      </c>
      <c r="BO2221" s="4">
        <v>43283.625914351855</v>
      </c>
      <c r="BP2221" t="s">
        <v>92</v>
      </c>
      <c r="BQ2221" t="s">
        <v>93</v>
      </c>
      <c r="BR2221" t="s">
        <v>94</v>
      </c>
    </row>
    <row r="2222" spans="1:70" x14ac:dyDescent="0.3">
      <c r="A2222" t="str">
        <f>"201507C0100"</f>
        <v>201507C0100</v>
      </c>
      <c r="B2222" t="s">
        <v>4629</v>
      </c>
      <c r="C2222">
        <v>20</v>
      </c>
      <c r="D2222" t="s">
        <v>88</v>
      </c>
      <c r="E2222">
        <v>316</v>
      </c>
      <c r="F2222" t="s">
        <v>4537</v>
      </c>
      <c r="G2222">
        <v>1507</v>
      </c>
      <c r="H2222">
        <v>1</v>
      </c>
      <c r="I2222" t="s">
        <v>98</v>
      </c>
      <c r="J2222">
        <v>0</v>
      </c>
      <c r="K2222">
        <v>1</v>
      </c>
      <c r="L2222">
        <v>5</v>
      </c>
      <c r="M2222">
        <v>303</v>
      </c>
      <c r="N2222" t="s">
        <v>105</v>
      </c>
      <c r="O2222" t="s">
        <v>105</v>
      </c>
      <c r="P2222" t="s">
        <v>105</v>
      </c>
      <c r="Q2222">
        <v>6</v>
      </c>
      <c r="R2222">
        <v>186</v>
      </c>
      <c r="S2222">
        <v>4</v>
      </c>
      <c r="T2222">
        <v>10</v>
      </c>
      <c r="U2222">
        <v>13</v>
      </c>
      <c r="V2222">
        <v>1</v>
      </c>
      <c r="W2222">
        <v>1</v>
      </c>
      <c r="X2222">
        <v>0</v>
      </c>
      <c r="Y2222">
        <v>213</v>
      </c>
      <c r="Z2222">
        <v>0</v>
      </c>
      <c r="AA2222">
        <v>2</v>
      </c>
      <c r="AB2222">
        <v>2</v>
      </c>
      <c r="AC2222">
        <v>0</v>
      </c>
      <c r="AD2222">
        <v>0</v>
      </c>
      <c r="AE2222">
        <v>0</v>
      </c>
      <c r="AF2222">
        <v>0</v>
      </c>
      <c r="AK2222">
        <v>3</v>
      </c>
      <c r="AL2222">
        <v>2</v>
      </c>
      <c r="AM2222">
        <v>0</v>
      </c>
      <c r="AN2222">
        <v>1</v>
      </c>
      <c r="AT2222">
        <v>5</v>
      </c>
      <c r="BC2222" t="s">
        <v>105</v>
      </c>
      <c r="BD2222">
        <v>11</v>
      </c>
      <c r="BE2222">
        <v>461</v>
      </c>
      <c r="BF2222">
        <v>460</v>
      </c>
      <c r="BG2222">
        <v>742</v>
      </c>
      <c r="BI2222" t="s">
        <v>106</v>
      </c>
      <c r="BJ2222">
        <v>1</v>
      </c>
      <c r="BL2222" t="s">
        <v>4630</v>
      </c>
      <c r="BM2222" s="4">
        <v>43283.327164351853</v>
      </c>
      <c r="BN2222" s="4">
        <v>43283.349953703706</v>
      </c>
      <c r="BO2222" s="4">
        <v>43283.349953703706</v>
      </c>
      <c r="BP2222" t="s">
        <v>92</v>
      </c>
      <c r="BQ2222" t="s">
        <v>93</v>
      </c>
      <c r="BR2222" t="s">
        <v>94</v>
      </c>
    </row>
    <row r="2223" spans="1:70" x14ac:dyDescent="0.3">
      <c r="A2223" t="str">
        <f>"201508B0100"</f>
        <v>201508B0100</v>
      </c>
      <c r="B2223" t="s">
        <v>4631</v>
      </c>
      <c r="C2223">
        <v>20</v>
      </c>
      <c r="D2223" t="s">
        <v>88</v>
      </c>
      <c r="E2223">
        <v>316</v>
      </c>
      <c r="F2223" t="s">
        <v>4537</v>
      </c>
      <c r="G2223">
        <v>1508</v>
      </c>
      <c r="H2223">
        <v>1</v>
      </c>
      <c r="I2223" t="s">
        <v>90</v>
      </c>
      <c r="J2223">
        <v>0</v>
      </c>
      <c r="K2223">
        <v>2</v>
      </c>
      <c r="L2223">
        <v>5</v>
      </c>
      <c r="M2223">
        <v>88</v>
      </c>
      <c r="N2223">
        <v>329</v>
      </c>
      <c r="O2223">
        <v>1</v>
      </c>
      <c r="P2223">
        <v>329</v>
      </c>
      <c r="Q2223">
        <v>8</v>
      </c>
      <c r="R2223">
        <v>131</v>
      </c>
      <c r="S2223">
        <v>3</v>
      </c>
      <c r="T2223">
        <v>26</v>
      </c>
      <c r="U2223">
        <v>10</v>
      </c>
      <c r="V2223">
        <v>4</v>
      </c>
      <c r="W2223">
        <v>1</v>
      </c>
      <c r="X2223">
        <v>0</v>
      </c>
      <c r="Y2223">
        <v>126</v>
      </c>
      <c r="Z2223">
        <v>3</v>
      </c>
      <c r="AA2223">
        <v>0</v>
      </c>
      <c r="AB2223">
        <v>0</v>
      </c>
      <c r="AC2223">
        <v>0</v>
      </c>
      <c r="AD2223">
        <v>0</v>
      </c>
      <c r="AE2223">
        <v>0</v>
      </c>
      <c r="AF2223">
        <v>0</v>
      </c>
      <c r="AK2223">
        <v>1</v>
      </c>
      <c r="AL2223">
        <v>3</v>
      </c>
      <c r="AM2223">
        <v>0</v>
      </c>
      <c r="AN2223">
        <v>1</v>
      </c>
      <c r="AT2223">
        <v>5</v>
      </c>
      <c r="BC2223">
        <v>0</v>
      </c>
      <c r="BD2223">
        <v>8</v>
      </c>
      <c r="BE2223">
        <v>329</v>
      </c>
      <c r="BF2223">
        <v>330</v>
      </c>
      <c r="BG2223">
        <v>396</v>
      </c>
      <c r="BJ2223">
        <v>1</v>
      </c>
      <c r="BL2223" t="s">
        <v>4632</v>
      </c>
      <c r="BM2223" s="4">
        <v>43283.336053240739</v>
      </c>
      <c r="BN2223" s="4">
        <v>43283.352847222224</v>
      </c>
      <c r="BO2223" s="4">
        <v>43283.352847222224</v>
      </c>
      <c r="BP2223" t="s">
        <v>92</v>
      </c>
      <c r="BQ2223" t="s">
        <v>93</v>
      </c>
      <c r="BR2223" t="s">
        <v>94</v>
      </c>
    </row>
    <row r="2224" spans="1:70" x14ac:dyDescent="0.3">
      <c r="A2224" t="str">
        <f>"201508C0100"</f>
        <v>201508C0100</v>
      </c>
      <c r="B2224" t="s">
        <v>4633</v>
      </c>
      <c r="C2224">
        <v>20</v>
      </c>
      <c r="D2224" t="s">
        <v>88</v>
      </c>
      <c r="E2224">
        <v>316</v>
      </c>
      <c r="F2224" t="s">
        <v>4537</v>
      </c>
      <c r="G2224">
        <v>1508</v>
      </c>
      <c r="H2224">
        <v>1</v>
      </c>
      <c r="I2224" t="s">
        <v>98</v>
      </c>
      <c r="J2224">
        <v>0</v>
      </c>
      <c r="K2224">
        <v>2</v>
      </c>
      <c r="L2224">
        <v>5</v>
      </c>
      <c r="M2224">
        <v>103</v>
      </c>
      <c r="N2224">
        <v>314</v>
      </c>
      <c r="O2224">
        <v>0</v>
      </c>
      <c r="P2224">
        <v>314</v>
      </c>
      <c r="Q2224">
        <v>5</v>
      </c>
      <c r="R2224" t="s">
        <v>127</v>
      </c>
      <c r="S2224">
        <v>2</v>
      </c>
      <c r="T2224">
        <v>28</v>
      </c>
      <c r="U2224">
        <v>4</v>
      </c>
      <c r="V2224">
        <v>3</v>
      </c>
      <c r="W2224">
        <v>3</v>
      </c>
      <c r="X2224">
        <v>1</v>
      </c>
      <c r="Y2224">
        <v>91</v>
      </c>
      <c r="Z2224">
        <v>2</v>
      </c>
      <c r="AA2224">
        <v>1</v>
      </c>
      <c r="AB2224">
        <v>0</v>
      </c>
      <c r="AC2224">
        <v>0</v>
      </c>
      <c r="AD2224">
        <v>4</v>
      </c>
      <c r="AE2224">
        <v>0</v>
      </c>
      <c r="AF2224">
        <v>0</v>
      </c>
      <c r="AK2224">
        <v>0</v>
      </c>
      <c r="AL2224">
        <v>1</v>
      </c>
      <c r="AM2224">
        <v>0</v>
      </c>
      <c r="AN2224">
        <v>0</v>
      </c>
      <c r="AT2224">
        <v>0</v>
      </c>
      <c r="BC2224">
        <v>0</v>
      </c>
      <c r="BD2224">
        <v>7</v>
      </c>
      <c r="BE2224">
        <v>314</v>
      </c>
      <c r="BF2224">
        <v>152</v>
      </c>
      <c r="BG2224">
        <v>395</v>
      </c>
      <c r="BI2224" t="s">
        <v>106</v>
      </c>
      <c r="BJ2224">
        <v>1</v>
      </c>
      <c r="BL2224" t="s">
        <v>4634</v>
      </c>
      <c r="BM2224" s="4">
        <v>43283.316990740743</v>
      </c>
      <c r="BN2224" s="4">
        <v>43283.360486111109</v>
      </c>
      <c r="BO2224" s="4">
        <v>43283.360486111109</v>
      </c>
      <c r="BP2224" t="s">
        <v>92</v>
      </c>
      <c r="BQ2224" t="s">
        <v>93</v>
      </c>
      <c r="BR2224" t="s">
        <v>94</v>
      </c>
    </row>
    <row r="2225" spans="1:70" x14ac:dyDescent="0.3">
      <c r="A2225" t="str">
        <f>"201509B0100"</f>
        <v>201509B0100</v>
      </c>
      <c r="B2225" t="s">
        <v>4635</v>
      </c>
      <c r="C2225">
        <v>20</v>
      </c>
      <c r="D2225" t="s">
        <v>88</v>
      </c>
      <c r="E2225">
        <v>316</v>
      </c>
      <c r="F2225" t="s">
        <v>4537</v>
      </c>
      <c r="G2225">
        <v>1509</v>
      </c>
      <c r="H2225">
        <v>1</v>
      </c>
      <c r="I2225" t="s">
        <v>90</v>
      </c>
      <c r="J2225">
        <v>0</v>
      </c>
      <c r="K2225">
        <v>2</v>
      </c>
      <c r="L2225">
        <v>5</v>
      </c>
      <c r="M2225">
        <v>321</v>
      </c>
      <c r="N2225">
        <v>410</v>
      </c>
      <c r="O2225">
        <v>2</v>
      </c>
      <c r="P2225">
        <v>410</v>
      </c>
      <c r="Q2225">
        <v>10</v>
      </c>
      <c r="R2225">
        <v>156</v>
      </c>
      <c r="S2225">
        <v>3</v>
      </c>
      <c r="T2225">
        <v>4</v>
      </c>
      <c r="U2225">
        <v>16</v>
      </c>
      <c r="V2225">
        <v>9</v>
      </c>
      <c r="W2225">
        <v>3</v>
      </c>
      <c r="X2225">
        <v>4</v>
      </c>
      <c r="Y2225">
        <v>169</v>
      </c>
      <c r="Z2225">
        <v>7</v>
      </c>
      <c r="AA2225">
        <v>2</v>
      </c>
      <c r="AB2225">
        <v>1</v>
      </c>
      <c r="AC2225">
        <v>0</v>
      </c>
      <c r="AD2225">
        <v>0</v>
      </c>
      <c r="AE2225">
        <v>0</v>
      </c>
      <c r="AF2225">
        <v>0</v>
      </c>
      <c r="AK2225">
        <v>4</v>
      </c>
      <c r="AL2225">
        <v>1</v>
      </c>
      <c r="AM2225">
        <v>1</v>
      </c>
      <c r="AN2225">
        <v>1</v>
      </c>
      <c r="AT2225">
        <v>5</v>
      </c>
      <c r="BC2225">
        <v>0</v>
      </c>
      <c r="BD2225">
        <v>14</v>
      </c>
      <c r="BE2225">
        <v>410</v>
      </c>
      <c r="BF2225">
        <v>410</v>
      </c>
      <c r="BG2225">
        <v>706</v>
      </c>
      <c r="BJ2225">
        <v>1</v>
      </c>
      <c r="BL2225" t="s">
        <v>4636</v>
      </c>
      <c r="BM2225" s="4">
        <v>43283.312002314815</v>
      </c>
      <c r="BN2225" s="4">
        <v>43283.336296296293</v>
      </c>
      <c r="BO2225" s="4">
        <v>43283.336296296293</v>
      </c>
      <c r="BP2225" t="s">
        <v>92</v>
      </c>
      <c r="BQ2225" t="s">
        <v>93</v>
      </c>
      <c r="BR2225" t="s">
        <v>94</v>
      </c>
    </row>
    <row r="2226" spans="1:70" x14ac:dyDescent="0.3">
      <c r="A2226" t="str">
        <f>"201509C0100"</f>
        <v>201509C0100</v>
      </c>
      <c r="B2226" t="s">
        <v>4637</v>
      </c>
      <c r="C2226">
        <v>20</v>
      </c>
      <c r="D2226" t="s">
        <v>88</v>
      </c>
      <c r="E2226">
        <v>316</v>
      </c>
      <c r="F2226" t="s">
        <v>4537</v>
      </c>
      <c r="G2226">
        <v>1509</v>
      </c>
      <c r="H2226">
        <v>1</v>
      </c>
      <c r="I2226" t="s">
        <v>98</v>
      </c>
      <c r="J2226">
        <v>0</v>
      </c>
      <c r="K2226">
        <v>2</v>
      </c>
      <c r="L2226">
        <v>5</v>
      </c>
      <c r="M2226" t="s">
        <v>105</v>
      </c>
      <c r="N2226" t="s">
        <v>105</v>
      </c>
      <c r="O2226" t="s">
        <v>105</v>
      </c>
      <c r="P2226">
        <v>421</v>
      </c>
      <c r="Q2226">
        <v>7</v>
      </c>
      <c r="R2226">
        <v>159</v>
      </c>
      <c r="S2226">
        <v>8</v>
      </c>
      <c r="T2226">
        <v>10</v>
      </c>
      <c r="U2226">
        <v>20</v>
      </c>
      <c r="V2226">
        <v>2</v>
      </c>
      <c r="W2226">
        <v>1</v>
      </c>
      <c r="X2226">
        <v>173</v>
      </c>
      <c r="Y2226">
        <v>3</v>
      </c>
      <c r="Z2226">
        <v>1</v>
      </c>
      <c r="AA2226">
        <v>0</v>
      </c>
      <c r="AB2226">
        <v>0</v>
      </c>
      <c r="AC2226">
        <v>0</v>
      </c>
      <c r="AD2226">
        <v>0</v>
      </c>
      <c r="AE2226">
        <v>6</v>
      </c>
      <c r="AF2226">
        <v>0</v>
      </c>
      <c r="AK2226">
        <v>0</v>
      </c>
      <c r="AL2226">
        <v>5</v>
      </c>
      <c r="AM2226">
        <v>3</v>
      </c>
      <c r="AN2226">
        <v>0</v>
      </c>
      <c r="AT2226">
        <v>1</v>
      </c>
      <c r="BC2226">
        <v>0</v>
      </c>
      <c r="BD2226">
        <v>18</v>
      </c>
      <c r="BE2226">
        <v>421</v>
      </c>
      <c r="BF2226">
        <v>417</v>
      </c>
      <c r="BG2226">
        <v>706</v>
      </c>
      <c r="BJ2226">
        <v>1</v>
      </c>
      <c r="BL2226" t="s">
        <v>4638</v>
      </c>
      <c r="BM2226" s="4">
        <v>43283.319780092592</v>
      </c>
      <c r="BN2226" s="4">
        <v>43283.339560185188</v>
      </c>
      <c r="BO2226" s="4">
        <v>43283.339560185188</v>
      </c>
      <c r="BP2226" t="s">
        <v>92</v>
      </c>
      <c r="BQ2226" t="s">
        <v>93</v>
      </c>
      <c r="BR2226" t="s">
        <v>94</v>
      </c>
    </row>
    <row r="2227" spans="1:70" x14ac:dyDescent="0.3">
      <c r="A2227" t="str">
        <f>"201509C0200"</f>
        <v>201509C0200</v>
      </c>
      <c r="B2227" t="s">
        <v>4639</v>
      </c>
      <c r="C2227">
        <v>20</v>
      </c>
      <c r="D2227" t="s">
        <v>88</v>
      </c>
      <c r="E2227">
        <v>316</v>
      </c>
      <c r="F2227" t="s">
        <v>4537</v>
      </c>
      <c r="G2227">
        <v>1509</v>
      </c>
      <c r="H2227">
        <v>2</v>
      </c>
      <c r="I2227" t="s">
        <v>98</v>
      </c>
      <c r="J2227">
        <v>0</v>
      </c>
      <c r="K2227">
        <v>2</v>
      </c>
      <c r="L2227">
        <v>5</v>
      </c>
      <c r="M2227">
        <v>312</v>
      </c>
      <c r="N2227">
        <v>415</v>
      </c>
      <c r="O2227">
        <v>3</v>
      </c>
      <c r="P2227" t="s">
        <v>105</v>
      </c>
      <c r="Q2227">
        <v>6</v>
      </c>
      <c r="R2227">
        <v>176</v>
      </c>
      <c r="S2227">
        <v>2</v>
      </c>
      <c r="T2227">
        <v>4</v>
      </c>
      <c r="U2227">
        <v>12</v>
      </c>
      <c r="V2227">
        <v>1</v>
      </c>
      <c r="W2227">
        <v>1</v>
      </c>
      <c r="X2227">
        <v>0</v>
      </c>
      <c r="Y2227">
        <v>176</v>
      </c>
      <c r="Z2227">
        <v>1</v>
      </c>
      <c r="AA2227">
        <v>1</v>
      </c>
      <c r="AB2227">
        <v>0</v>
      </c>
      <c r="AC2227">
        <v>0</v>
      </c>
      <c r="AD2227">
        <v>0</v>
      </c>
      <c r="AE2227">
        <v>1</v>
      </c>
      <c r="AF2227">
        <v>0</v>
      </c>
      <c r="AK2227">
        <v>10</v>
      </c>
      <c r="AL2227">
        <v>1</v>
      </c>
      <c r="AM2227">
        <v>0</v>
      </c>
      <c r="AN2227">
        <v>1</v>
      </c>
      <c r="AT2227">
        <v>5</v>
      </c>
      <c r="BC2227">
        <v>0</v>
      </c>
      <c r="BD2227">
        <v>17</v>
      </c>
      <c r="BE2227">
        <v>415</v>
      </c>
      <c r="BF2227">
        <v>415</v>
      </c>
      <c r="BG2227">
        <v>705</v>
      </c>
      <c r="BJ2227">
        <v>1</v>
      </c>
      <c r="BL2227" t="s">
        <v>4640</v>
      </c>
      <c r="BM2227" s="4">
        <v>43283.34652777778</v>
      </c>
      <c r="BN2227" s="4">
        <v>43283.359166666669</v>
      </c>
      <c r="BO2227" s="4">
        <v>43283.359166666669</v>
      </c>
      <c r="BP2227" t="s">
        <v>92</v>
      </c>
      <c r="BQ2227" t="s">
        <v>93</v>
      </c>
      <c r="BR2227" t="s">
        <v>94</v>
      </c>
    </row>
    <row r="2228" spans="1:70" x14ac:dyDescent="0.3">
      <c r="A2228" t="str">
        <f>"201510B0100"</f>
        <v>201510B0100</v>
      </c>
      <c r="B2228" t="s">
        <v>4641</v>
      </c>
      <c r="C2228">
        <v>20</v>
      </c>
      <c r="D2228" t="s">
        <v>88</v>
      </c>
      <c r="E2228">
        <v>316</v>
      </c>
      <c r="F2228" t="s">
        <v>4537</v>
      </c>
      <c r="G2228">
        <v>1510</v>
      </c>
      <c r="H2228">
        <v>1</v>
      </c>
      <c r="I2228" t="s">
        <v>90</v>
      </c>
      <c r="J2228">
        <v>0</v>
      </c>
      <c r="K2228">
        <v>1</v>
      </c>
      <c r="L2228">
        <v>5</v>
      </c>
      <c r="M2228">
        <v>237</v>
      </c>
      <c r="N2228">
        <v>482</v>
      </c>
      <c r="O2228">
        <v>5</v>
      </c>
      <c r="P2228">
        <v>482</v>
      </c>
      <c r="Q2228">
        <v>2</v>
      </c>
      <c r="R2228">
        <v>154</v>
      </c>
      <c r="S2228">
        <v>6</v>
      </c>
      <c r="T2228">
        <v>3</v>
      </c>
      <c r="U2228">
        <v>18</v>
      </c>
      <c r="V2228">
        <v>2</v>
      </c>
      <c r="W2228">
        <v>0</v>
      </c>
      <c r="X2228">
        <v>2</v>
      </c>
      <c r="Y2228">
        <v>256</v>
      </c>
      <c r="Z2228">
        <v>11</v>
      </c>
      <c r="AA2228">
        <v>1</v>
      </c>
      <c r="AB2228">
        <v>6</v>
      </c>
      <c r="AC2228">
        <v>0</v>
      </c>
      <c r="AD2228">
        <v>0</v>
      </c>
      <c r="AE2228">
        <v>0</v>
      </c>
      <c r="AF2228">
        <v>0</v>
      </c>
      <c r="AK2228">
        <v>7</v>
      </c>
      <c r="AL2228">
        <v>7</v>
      </c>
      <c r="AM2228">
        <v>0</v>
      </c>
      <c r="AN2228">
        <v>0</v>
      </c>
      <c r="AT2228" t="s">
        <v>105</v>
      </c>
      <c r="BC2228" t="s">
        <v>105</v>
      </c>
      <c r="BD2228">
        <v>4</v>
      </c>
      <c r="BE2228">
        <v>482</v>
      </c>
      <c r="BF2228">
        <v>479</v>
      </c>
      <c r="BG2228">
        <v>697</v>
      </c>
      <c r="BI2228" t="s">
        <v>106</v>
      </c>
      <c r="BJ2228">
        <v>1</v>
      </c>
      <c r="BL2228" t="s">
        <v>4642</v>
      </c>
      <c r="BM2228" s="4">
        <v>43283.340775462966</v>
      </c>
      <c r="BN2228" s="4">
        <v>43283.356365740743</v>
      </c>
      <c r="BO2228" s="4">
        <v>43283.356365740743</v>
      </c>
      <c r="BP2228" t="s">
        <v>92</v>
      </c>
      <c r="BQ2228" t="s">
        <v>93</v>
      </c>
      <c r="BR2228" t="s">
        <v>94</v>
      </c>
    </row>
    <row r="2229" spans="1:70" x14ac:dyDescent="0.3">
      <c r="A2229" t="str">
        <f>"201510C0100"</f>
        <v>201510C0100</v>
      </c>
      <c r="B2229" t="s">
        <v>4643</v>
      </c>
      <c r="C2229">
        <v>20</v>
      </c>
      <c r="D2229" t="s">
        <v>88</v>
      </c>
      <c r="E2229">
        <v>316</v>
      </c>
      <c r="F2229" t="s">
        <v>4537</v>
      </c>
      <c r="G2229">
        <v>1510</v>
      </c>
      <c r="H2229">
        <v>1</v>
      </c>
      <c r="I2229" t="s">
        <v>98</v>
      </c>
      <c r="J2229">
        <v>0</v>
      </c>
      <c r="K2229">
        <v>1</v>
      </c>
      <c r="L2229">
        <v>5</v>
      </c>
      <c r="M2229">
        <v>266</v>
      </c>
      <c r="N2229">
        <v>454</v>
      </c>
      <c r="O2229">
        <v>6</v>
      </c>
      <c r="P2229">
        <v>454</v>
      </c>
      <c r="Q2229">
        <v>9</v>
      </c>
      <c r="R2229">
        <v>159</v>
      </c>
      <c r="S2229">
        <v>3</v>
      </c>
      <c r="T2229">
        <v>4</v>
      </c>
      <c r="U2229">
        <v>9</v>
      </c>
      <c r="V2229">
        <v>4</v>
      </c>
      <c r="W2229">
        <v>3</v>
      </c>
      <c r="X2229">
        <v>5</v>
      </c>
      <c r="Y2229">
        <v>231</v>
      </c>
      <c r="Z2229">
        <v>4</v>
      </c>
      <c r="AA2229">
        <v>1</v>
      </c>
      <c r="AB2229">
        <v>1</v>
      </c>
      <c r="AC2229">
        <v>0</v>
      </c>
      <c r="AD2229">
        <v>0</v>
      </c>
      <c r="AE2229">
        <v>0</v>
      </c>
      <c r="AF2229">
        <v>0</v>
      </c>
      <c r="AK2229">
        <v>6</v>
      </c>
      <c r="AL2229">
        <v>4</v>
      </c>
      <c r="AM2229">
        <v>0</v>
      </c>
      <c r="AN2229">
        <v>1</v>
      </c>
      <c r="AT2229">
        <v>4</v>
      </c>
      <c r="BC2229">
        <v>0</v>
      </c>
      <c r="BD2229">
        <v>6</v>
      </c>
      <c r="BE2229">
        <v>454</v>
      </c>
      <c r="BF2229">
        <v>454</v>
      </c>
      <c r="BG2229">
        <v>697</v>
      </c>
      <c r="BJ2229">
        <v>1</v>
      </c>
      <c r="BL2229" t="s">
        <v>4644</v>
      </c>
      <c r="BM2229" s="4">
        <v>43283.316342592596</v>
      </c>
      <c r="BN2229" s="4">
        <v>43283.337881944448</v>
      </c>
      <c r="BO2229" s="4">
        <v>43283.337881944448</v>
      </c>
      <c r="BP2229" t="s">
        <v>92</v>
      </c>
      <c r="BQ2229" t="s">
        <v>93</v>
      </c>
      <c r="BR2229" t="s">
        <v>94</v>
      </c>
    </row>
    <row r="2230" spans="1:70" x14ac:dyDescent="0.3">
      <c r="A2230" t="str">
        <f>"201510C0200"</f>
        <v>201510C0200</v>
      </c>
      <c r="B2230" t="s">
        <v>4645</v>
      </c>
      <c r="C2230">
        <v>20</v>
      </c>
      <c r="D2230" t="s">
        <v>88</v>
      </c>
      <c r="E2230">
        <v>316</v>
      </c>
      <c r="F2230" t="s">
        <v>4537</v>
      </c>
      <c r="G2230">
        <v>1510</v>
      </c>
      <c r="H2230">
        <v>2</v>
      </c>
      <c r="I2230" t="s">
        <v>98</v>
      </c>
      <c r="J2230">
        <v>0</v>
      </c>
      <c r="K2230">
        <v>1</v>
      </c>
      <c r="L2230">
        <v>5</v>
      </c>
      <c r="M2230">
        <v>252</v>
      </c>
      <c r="N2230">
        <v>468</v>
      </c>
      <c r="O2230">
        <v>7</v>
      </c>
      <c r="P2230">
        <v>466</v>
      </c>
      <c r="Q2230">
        <v>11</v>
      </c>
      <c r="R2230">
        <v>156</v>
      </c>
      <c r="S2230">
        <v>3</v>
      </c>
      <c r="T2230">
        <v>6</v>
      </c>
      <c r="U2230">
        <v>12</v>
      </c>
      <c r="V2230">
        <v>4</v>
      </c>
      <c r="W2230">
        <v>2</v>
      </c>
      <c r="X2230">
        <v>2</v>
      </c>
      <c r="Y2230">
        <v>239</v>
      </c>
      <c r="Z2230">
        <v>9</v>
      </c>
      <c r="AA2230">
        <v>5</v>
      </c>
      <c r="AB2230">
        <v>0</v>
      </c>
      <c r="AC2230">
        <v>0</v>
      </c>
      <c r="AD2230">
        <v>0</v>
      </c>
      <c r="AE2230">
        <v>0</v>
      </c>
      <c r="AF2230">
        <v>0</v>
      </c>
      <c r="AK2230">
        <v>4</v>
      </c>
      <c r="AL2230">
        <v>1</v>
      </c>
      <c r="AM2230">
        <v>0</v>
      </c>
      <c r="AN2230">
        <v>0</v>
      </c>
      <c r="AT2230">
        <v>7</v>
      </c>
      <c r="BC2230">
        <v>1</v>
      </c>
      <c r="BD2230">
        <v>4</v>
      </c>
      <c r="BE2230">
        <v>466</v>
      </c>
      <c r="BF2230">
        <v>466</v>
      </c>
      <c r="BG2230">
        <v>697</v>
      </c>
      <c r="BJ2230">
        <v>1</v>
      </c>
      <c r="BL2230" t="s">
        <v>4646</v>
      </c>
      <c r="BM2230" s="4">
        <v>43283.320844907408</v>
      </c>
      <c r="BN2230" s="4">
        <v>43283.341782407406</v>
      </c>
      <c r="BO2230" s="4">
        <v>43283.341782407406</v>
      </c>
      <c r="BP2230" t="s">
        <v>92</v>
      </c>
      <c r="BQ2230" t="s">
        <v>93</v>
      </c>
      <c r="BR2230" t="s">
        <v>94</v>
      </c>
    </row>
    <row r="2231" spans="1:70" x14ac:dyDescent="0.3">
      <c r="A2231" t="str">
        <f>"201510C0300"</f>
        <v>201510C0300</v>
      </c>
      <c r="B2231" t="s">
        <v>4647</v>
      </c>
      <c r="C2231">
        <v>20</v>
      </c>
      <c r="D2231" t="s">
        <v>88</v>
      </c>
      <c r="E2231">
        <v>316</v>
      </c>
      <c r="F2231" t="s">
        <v>4537</v>
      </c>
      <c r="G2231">
        <v>1510</v>
      </c>
      <c r="H2231">
        <v>3</v>
      </c>
      <c r="I2231" t="s">
        <v>98</v>
      </c>
      <c r="J2231">
        <v>0</v>
      </c>
      <c r="K2231">
        <v>1</v>
      </c>
      <c r="L2231">
        <v>5</v>
      </c>
      <c r="M2231">
        <v>273</v>
      </c>
      <c r="N2231">
        <v>446</v>
      </c>
      <c r="O2231">
        <v>3</v>
      </c>
      <c r="P2231">
        <v>446</v>
      </c>
      <c r="Q2231">
        <v>9</v>
      </c>
      <c r="R2231">
        <v>161</v>
      </c>
      <c r="S2231">
        <v>5</v>
      </c>
      <c r="T2231">
        <v>7</v>
      </c>
      <c r="U2231">
        <v>8</v>
      </c>
      <c r="V2231">
        <v>1</v>
      </c>
      <c r="W2231">
        <v>1</v>
      </c>
      <c r="X2231">
        <v>3</v>
      </c>
      <c r="Y2231">
        <v>216</v>
      </c>
      <c r="Z2231">
        <v>15</v>
      </c>
      <c r="AA2231">
        <v>2</v>
      </c>
      <c r="AB2231">
        <v>2</v>
      </c>
      <c r="AC2231">
        <v>0</v>
      </c>
      <c r="AD2231">
        <v>1</v>
      </c>
      <c r="AE2231">
        <v>0</v>
      </c>
      <c r="AF2231">
        <v>0</v>
      </c>
      <c r="AK2231">
        <v>3</v>
      </c>
      <c r="AL2231">
        <v>0</v>
      </c>
      <c r="AM2231">
        <v>0</v>
      </c>
      <c r="AN2231">
        <v>3</v>
      </c>
      <c r="AT2231">
        <v>5</v>
      </c>
      <c r="BC2231">
        <v>0</v>
      </c>
      <c r="BD2231">
        <v>4</v>
      </c>
      <c r="BE2231">
        <v>446</v>
      </c>
      <c r="BF2231">
        <v>446</v>
      </c>
      <c r="BG2231">
        <v>697</v>
      </c>
      <c r="BJ2231">
        <v>1</v>
      </c>
      <c r="BL2231" t="s">
        <v>4648</v>
      </c>
      <c r="BM2231" s="4">
        <v>43283.340266203704</v>
      </c>
      <c r="BN2231" s="4">
        <v>43283.356689814813</v>
      </c>
      <c r="BO2231" s="4">
        <v>43283.356689814813</v>
      </c>
      <c r="BP2231" t="s">
        <v>92</v>
      </c>
      <c r="BQ2231" t="s">
        <v>93</v>
      </c>
      <c r="BR2231" t="s">
        <v>94</v>
      </c>
    </row>
    <row r="2232" spans="1:70" x14ac:dyDescent="0.3">
      <c r="A2232" t="str">
        <f>"201516B0100"</f>
        <v>201516B0100</v>
      </c>
      <c r="B2232" t="s">
        <v>4649</v>
      </c>
      <c r="C2232">
        <v>20</v>
      </c>
      <c r="D2232" t="s">
        <v>88</v>
      </c>
      <c r="E2232">
        <v>322</v>
      </c>
      <c r="F2232" t="s">
        <v>4650</v>
      </c>
      <c r="G2232">
        <v>1516</v>
      </c>
      <c r="H2232">
        <v>1</v>
      </c>
      <c r="I2232" t="s">
        <v>90</v>
      </c>
      <c r="J2232">
        <v>0</v>
      </c>
      <c r="K2232">
        <v>2</v>
      </c>
      <c r="L2232">
        <v>5</v>
      </c>
      <c r="M2232">
        <v>225</v>
      </c>
      <c r="N2232">
        <v>474</v>
      </c>
      <c r="O2232">
        <v>5</v>
      </c>
      <c r="P2232">
        <v>474</v>
      </c>
      <c r="Q2232">
        <v>6</v>
      </c>
      <c r="R2232">
        <v>97</v>
      </c>
      <c r="S2232">
        <v>91</v>
      </c>
      <c r="T2232">
        <v>42</v>
      </c>
      <c r="U2232">
        <v>19</v>
      </c>
      <c r="V2232">
        <v>2</v>
      </c>
      <c r="W2232">
        <v>7</v>
      </c>
      <c r="X2232">
        <v>5</v>
      </c>
      <c r="Y2232">
        <v>151</v>
      </c>
      <c r="Z2232">
        <v>5</v>
      </c>
      <c r="AA2232">
        <v>1</v>
      </c>
      <c r="AB2232">
        <v>8</v>
      </c>
      <c r="AC2232">
        <v>2</v>
      </c>
      <c r="AD2232">
        <v>1</v>
      </c>
      <c r="AE2232">
        <v>0</v>
      </c>
      <c r="AF2232">
        <v>0</v>
      </c>
      <c r="AG2232">
        <v>4</v>
      </c>
      <c r="AH2232">
        <v>2</v>
      </c>
      <c r="AI2232">
        <v>0</v>
      </c>
      <c r="AJ2232">
        <v>0</v>
      </c>
      <c r="AK2232">
        <v>8</v>
      </c>
      <c r="AL2232">
        <v>1</v>
      </c>
      <c r="AM2232">
        <v>2</v>
      </c>
      <c r="AN2232">
        <v>2</v>
      </c>
      <c r="BC2232" t="s">
        <v>105</v>
      </c>
      <c r="BD2232">
        <v>18</v>
      </c>
      <c r="BE2232">
        <v>474</v>
      </c>
      <c r="BF2232">
        <v>474</v>
      </c>
      <c r="BG2232">
        <v>677</v>
      </c>
      <c r="BI2232" t="s">
        <v>106</v>
      </c>
      <c r="BJ2232">
        <v>1</v>
      </c>
      <c r="BL2232" t="s">
        <v>4651</v>
      </c>
      <c r="BM2232" s="4">
        <v>43283.320138888892</v>
      </c>
      <c r="BN2232" s="4">
        <v>43283.34752314815</v>
      </c>
      <c r="BO2232" s="4">
        <v>43283.34752314815</v>
      </c>
      <c r="BP2232" t="s">
        <v>92</v>
      </c>
      <c r="BQ2232" t="s">
        <v>93</v>
      </c>
      <c r="BR2232" t="s">
        <v>94</v>
      </c>
    </row>
    <row r="2233" spans="1:70" x14ac:dyDescent="0.3">
      <c r="A2233" t="str">
        <f>"201516C0100"</f>
        <v>201516C0100</v>
      </c>
      <c r="B2233" t="s">
        <v>4652</v>
      </c>
      <c r="C2233">
        <v>20</v>
      </c>
      <c r="D2233" t="s">
        <v>88</v>
      </c>
      <c r="E2233">
        <v>322</v>
      </c>
      <c r="F2233" t="s">
        <v>4650</v>
      </c>
      <c r="G2233">
        <v>1516</v>
      </c>
      <c r="H2233">
        <v>1</v>
      </c>
      <c r="I2233" t="s">
        <v>98</v>
      </c>
      <c r="J2233">
        <v>0</v>
      </c>
      <c r="K2233">
        <v>2</v>
      </c>
      <c r="L2233">
        <v>5</v>
      </c>
      <c r="M2233">
        <v>247</v>
      </c>
      <c r="N2233">
        <v>451</v>
      </c>
      <c r="O2233">
        <v>8</v>
      </c>
      <c r="P2233">
        <v>451</v>
      </c>
      <c r="Q2233">
        <v>5</v>
      </c>
      <c r="R2233">
        <v>114</v>
      </c>
      <c r="S2233">
        <v>84</v>
      </c>
      <c r="T2233">
        <v>25</v>
      </c>
      <c r="U2233">
        <v>16</v>
      </c>
      <c r="V2233">
        <v>1</v>
      </c>
      <c r="W2233">
        <v>3</v>
      </c>
      <c r="X2233">
        <v>4</v>
      </c>
      <c r="Y2233">
        <v>145</v>
      </c>
      <c r="Z2233">
        <v>3</v>
      </c>
      <c r="AA2233">
        <v>5</v>
      </c>
      <c r="AB2233">
        <v>3</v>
      </c>
      <c r="AC2233">
        <v>2</v>
      </c>
      <c r="AD2233">
        <v>3</v>
      </c>
      <c r="AE2233">
        <v>0</v>
      </c>
      <c r="AF2233">
        <v>0</v>
      </c>
      <c r="AG2233">
        <v>3</v>
      </c>
      <c r="AH2233">
        <v>4</v>
      </c>
      <c r="AI2233">
        <v>0</v>
      </c>
      <c r="AJ2233">
        <v>0</v>
      </c>
      <c r="AK2233">
        <v>6</v>
      </c>
      <c r="AL2233">
        <v>1</v>
      </c>
      <c r="AM2233">
        <v>0</v>
      </c>
      <c r="AN2233">
        <v>0</v>
      </c>
      <c r="BC2233">
        <v>0</v>
      </c>
      <c r="BD2233">
        <v>25</v>
      </c>
      <c r="BE2233">
        <v>452</v>
      </c>
      <c r="BF2233">
        <v>452</v>
      </c>
      <c r="BG2233">
        <v>677</v>
      </c>
      <c r="BJ2233">
        <v>1</v>
      </c>
      <c r="BL2233" t="s">
        <v>4653</v>
      </c>
      <c r="BM2233" s="4">
        <v>43283.320833333331</v>
      </c>
      <c r="BN2233" s="4">
        <v>43283.343287037038</v>
      </c>
      <c r="BO2233" s="4">
        <v>43283.343287037038</v>
      </c>
      <c r="BP2233" t="s">
        <v>92</v>
      </c>
      <c r="BQ2233" t="s">
        <v>93</v>
      </c>
      <c r="BR2233" t="s">
        <v>94</v>
      </c>
    </row>
    <row r="2234" spans="1:70" x14ac:dyDescent="0.3">
      <c r="A2234" t="str">
        <f>"201516C0200"</f>
        <v>201516C0200</v>
      </c>
      <c r="B2234" t="s">
        <v>4654</v>
      </c>
      <c r="C2234">
        <v>20</v>
      </c>
      <c r="D2234" t="s">
        <v>88</v>
      </c>
      <c r="E2234">
        <v>322</v>
      </c>
      <c r="F2234" t="s">
        <v>4650</v>
      </c>
      <c r="G2234">
        <v>1516</v>
      </c>
      <c r="H2234">
        <v>2</v>
      </c>
      <c r="I2234" t="s">
        <v>98</v>
      </c>
      <c r="J2234">
        <v>0</v>
      </c>
      <c r="K2234">
        <v>2</v>
      </c>
      <c r="L2234">
        <v>5</v>
      </c>
      <c r="M2234">
        <v>227</v>
      </c>
      <c r="N2234">
        <v>475</v>
      </c>
      <c r="O2234">
        <v>12</v>
      </c>
      <c r="P2234">
        <v>474</v>
      </c>
      <c r="Q2234">
        <v>7</v>
      </c>
      <c r="R2234">
        <v>115</v>
      </c>
      <c r="S2234">
        <v>84</v>
      </c>
      <c r="T2234">
        <v>41</v>
      </c>
      <c r="U2234">
        <v>21</v>
      </c>
      <c r="V2234">
        <v>2</v>
      </c>
      <c r="W2234">
        <v>10</v>
      </c>
      <c r="X2234">
        <v>4</v>
      </c>
      <c r="Y2234">
        <v>139</v>
      </c>
      <c r="Z2234">
        <v>6</v>
      </c>
      <c r="AA2234">
        <v>10</v>
      </c>
      <c r="AB2234">
        <v>3</v>
      </c>
      <c r="AC2234">
        <v>1</v>
      </c>
      <c r="AD2234">
        <v>1</v>
      </c>
      <c r="AE2234">
        <v>0</v>
      </c>
      <c r="AF2234">
        <v>0</v>
      </c>
      <c r="AG2234">
        <v>4</v>
      </c>
      <c r="AH2234">
        <v>3</v>
      </c>
      <c r="AI2234">
        <v>0</v>
      </c>
      <c r="AJ2234">
        <v>0</v>
      </c>
      <c r="AK2234">
        <v>6</v>
      </c>
      <c r="AL2234">
        <v>0</v>
      </c>
      <c r="AM2234">
        <v>0</v>
      </c>
      <c r="AN2234">
        <v>1</v>
      </c>
      <c r="BC2234" t="s">
        <v>105</v>
      </c>
      <c r="BD2234">
        <v>16</v>
      </c>
      <c r="BE2234">
        <v>474</v>
      </c>
      <c r="BF2234">
        <v>474</v>
      </c>
      <c r="BG2234">
        <v>677</v>
      </c>
      <c r="BI2234" t="s">
        <v>106</v>
      </c>
      <c r="BJ2234">
        <v>1</v>
      </c>
      <c r="BL2234" t="s">
        <v>4655</v>
      </c>
      <c r="BM2234" s="4">
        <v>43283.320138888892</v>
      </c>
      <c r="BN2234" s="4">
        <v>43283.346921296295</v>
      </c>
      <c r="BO2234" s="4">
        <v>43283.346921296295</v>
      </c>
      <c r="BP2234" t="s">
        <v>92</v>
      </c>
      <c r="BQ2234" t="s">
        <v>93</v>
      </c>
      <c r="BR2234" t="s">
        <v>94</v>
      </c>
    </row>
    <row r="2235" spans="1:70" x14ac:dyDescent="0.3">
      <c r="A2235" t="str">
        <f>"201517B0100"</f>
        <v>201517B0100</v>
      </c>
      <c r="B2235" t="s">
        <v>4656</v>
      </c>
      <c r="C2235">
        <v>20</v>
      </c>
      <c r="D2235" t="s">
        <v>88</v>
      </c>
      <c r="E2235">
        <v>322</v>
      </c>
      <c r="F2235" t="s">
        <v>4650</v>
      </c>
      <c r="G2235">
        <v>1517</v>
      </c>
      <c r="H2235">
        <v>1</v>
      </c>
      <c r="I2235" t="s">
        <v>90</v>
      </c>
      <c r="J2235">
        <v>0</v>
      </c>
      <c r="K2235">
        <v>2</v>
      </c>
      <c r="L2235">
        <v>5</v>
      </c>
      <c r="M2235">
        <v>236</v>
      </c>
      <c r="N2235">
        <v>458</v>
      </c>
      <c r="O2235">
        <v>5</v>
      </c>
      <c r="P2235" t="s">
        <v>127</v>
      </c>
      <c r="Q2235">
        <v>8</v>
      </c>
      <c r="R2235">
        <v>78</v>
      </c>
      <c r="S2235">
        <v>151</v>
      </c>
      <c r="T2235">
        <v>22</v>
      </c>
      <c r="U2235">
        <v>21</v>
      </c>
      <c r="V2235">
        <v>2</v>
      </c>
      <c r="W2235">
        <v>5</v>
      </c>
      <c r="X2235">
        <v>5</v>
      </c>
      <c r="Y2235">
        <v>121</v>
      </c>
      <c r="Z2235">
        <v>6</v>
      </c>
      <c r="AA2235">
        <v>0</v>
      </c>
      <c r="AB2235">
        <v>4</v>
      </c>
      <c r="AC2235">
        <v>5</v>
      </c>
      <c r="AD2235">
        <v>1</v>
      </c>
      <c r="AE2235" t="s">
        <v>105</v>
      </c>
      <c r="AF2235" t="s">
        <v>105</v>
      </c>
      <c r="AG2235">
        <v>5</v>
      </c>
      <c r="AH2235">
        <v>1</v>
      </c>
      <c r="AI2235" t="s">
        <v>105</v>
      </c>
      <c r="AJ2235" t="s">
        <v>105</v>
      </c>
      <c r="AK2235">
        <v>2</v>
      </c>
      <c r="AL2235">
        <v>3</v>
      </c>
      <c r="AM2235" t="s">
        <v>105</v>
      </c>
      <c r="AN2235" t="s">
        <v>105</v>
      </c>
      <c r="BC2235" t="s">
        <v>105</v>
      </c>
      <c r="BD2235" t="s">
        <v>127</v>
      </c>
      <c r="BE2235">
        <v>458</v>
      </c>
      <c r="BF2235">
        <v>440</v>
      </c>
      <c r="BG2235">
        <v>672</v>
      </c>
      <c r="BI2235" t="s">
        <v>106</v>
      </c>
      <c r="BJ2235">
        <v>1</v>
      </c>
      <c r="BL2235" t="s">
        <v>4657</v>
      </c>
      <c r="BM2235" s="4">
        <v>43283.349305555559</v>
      </c>
      <c r="BN2235" s="4">
        <v>43283.3827662037</v>
      </c>
      <c r="BO2235" s="4">
        <v>43283.3827662037</v>
      </c>
      <c r="BP2235" t="s">
        <v>92</v>
      </c>
      <c r="BQ2235" t="s">
        <v>93</v>
      </c>
      <c r="BR2235" t="s">
        <v>94</v>
      </c>
    </row>
    <row r="2236" spans="1:70" x14ac:dyDescent="0.3">
      <c r="A2236" t="str">
        <f>"201517C0100"</f>
        <v>201517C0100</v>
      </c>
      <c r="B2236" t="s">
        <v>4658</v>
      </c>
      <c r="C2236">
        <v>20</v>
      </c>
      <c r="D2236" t="s">
        <v>88</v>
      </c>
      <c r="E2236">
        <v>322</v>
      </c>
      <c r="F2236" t="s">
        <v>4650</v>
      </c>
      <c r="G2236">
        <v>1517</v>
      </c>
      <c r="H2236">
        <v>1</v>
      </c>
      <c r="I2236" t="s">
        <v>98</v>
      </c>
      <c r="J2236">
        <v>0</v>
      </c>
      <c r="K2236">
        <v>2</v>
      </c>
      <c r="L2236">
        <v>5</v>
      </c>
      <c r="M2236">
        <v>263</v>
      </c>
      <c r="N2236">
        <v>860</v>
      </c>
      <c r="O2236">
        <v>430</v>
      </c>
      <c r="P2236">
        <v>430</v>
      </c>
      <c r="Q2236">
        <v>8</v>
      </c>
      <c r="R2236">
        <v>101</v>
      </c>
      <c r="S2236">
        <v>108</v>
      </c>
      <c r="T2236">
        <v>35</v>
      </c>
      <c r="U2236">
        <v>18</v>
      </c>
      <c r="V2236">
        <v>2</v>
      </c>
      <c r="W2236">
        <v>6</v>
      </c>
      <c r="X2236">
        <v>3</v>
      </c>
      <c r="Y2236">
        <v>10</v>
      </c>
      <c r="Z2236">
        <v>2</v>
      </c>
      <c r="AA2236">
        <v>2</v>
      </c>
      <c r="AB2236">
        <v>4</v>
      </c>
      <c r="AC2236">
        <v>0</v>
      </c>
      <c r="AD2236">
        <v>3</v>
      </c>
      <c r="AE2236">
        <v>0</v>
      </c>
      <c r="AF2236">
        <v>1</v>
      </c>
      <c r="AG2236">
        <v>2</v>
      </c>
      <c r="AH2236">
        <v>1</v>
      </c>
      <c r="AI2236">
        <v>1</v>
      </c>
      <c r="AJ2236">
        <v>0</v>
      </c>
      <c r="AK2236">
        <v>3</v>
      </c>
      <c r="AL2236">
        <v>1</v>
      </c>
      <c r="AM2236">
        <v>0</v>
      </c>
      <c r="AN2236">
        <v>2</v>
      </c>
      <c r="BC2236">
        <v>0</v>
      </c>
      <c r="BD2236">
        <v>14</v>
      </c>
      <c r="BE2236">
        <v>427</v>
      </c>
      <c r="BF2236">
        <v>327</v>
      </c>
      <c r="BG2236">
        <v>671</v>
      </c>
      <c r="BJ2236">
        <v>1</v>
      </c>
      <c r="BL2236" t="s">
        <v>4659</v>
      </c>
      <c r="BM2236" s="4">
        <v>43283.347222222219</v>
      </c>
      <c r="BN2236" s="4">
        <v>43283.37122685185</v>
      </c>
      <c r="BO2236" s="4">
        <v>43283.37122685185</v>
      </c>
      <c r="BP2236" t="s">
        <v>92</v>
      </c>
      <c r="BQ2236" t="s">
        <v>93</v>
      </c>
      <c r="BR2236" t="s">
        <v>94</v>
      </c>
    </row>
    <row r="2237" spans="1:70" x14ac:dyDescent="0.3">
      <c r="A2237" t="str">
        <f>"201518B0100"</f>
        <v>201518B0100</v>
      </c>
      <c r="B2237" t="s">
        <v>4660</v>
      </c>
      <c r="C2237">
        <v>20</v>
      </c>
      <c r="D2237" t="s">
        <v>88</v>
      </c>
      <c r="E2237">
        <v>322</v>
      </c>
      <c r="F2237" t="s">
        <v>4650</v>
      </c>
      <c r="G2237">
        <v>1518</v>
      </c>
      <c r="H2237">
        <v>1</v>
      </c>
      <c r="I2237" t="s">
        <v>90</v>
      </c>
      <c r="J2237">
        <v>0</v>
      </c>
      <c r="K2237">
        <v>2</v>
      </c>
      <c r="L2237">
        <v>5</v>
      </c>
      <c r="M2237">
        <v>288</v>
      </c>
      <c r="N2237">
        <v>458</v>
      </c>
      <c r="O2237">
        <v>6</v>
      </c>
      <c r="P2237">
        <v>461</v>
      </c>
      <c r="Q2237">
        <v>3</v>
      </c>
      <c r="R2237">
        <v>109</v>
      </c>
      <c r="S2237">
        <v>117</v>
      </c>
      <c r="T2237">
        <v>54</v>
      </c>
      <c r="U2237">
        <v>25</v>
      </c>
      <c r="V2237">
        <v>3</v>
      </c>
      <c r="W2237">
        <v>5</v>
      </c>
      <c r="X2237">
        <v>5</v>
      </c>
      <c r="Y2237">
        <v>93</v>
      </c>
      <c r="Z2237">
        <v>4</v>
      </c>
      <c r="AA2237">
        <v>3</v>
      </c>
      <c r="AB2237">
        <v>6</v>
      </c>
      <c r="AC2237">
        <v>2</v>
      </c>
      <c r="AD2237">
        <v>1</v>
      </c>
      <c r="AE2237">
        <v>0</v>
      </c>
      <c r="AF2237">
        <v>2</v>
      </c>
      <c r="AG2237">
        <v>4</v>
      </c>
      <c r="AH2237">
        <v>1</v>
      </c>
      <c r="AI2237">
        <v>1</v>
      </c>
      <c r="AJ2237">
        <v>1</v>
      </c>
      <c r="AK2237">
        <v>3</v>
      </c>
      <c r="AL2237">
        <v>0</v>
      </c>
      <c r="AM2237">
        <v>0</v>
      </c>
      <c r="AN2237">
        <v>0</v>
      </c>
      <c r="BC2237">
        <v>0</v>
      </c>
      <c r="BD2237">
        <v>16</v>
      </c>
      <c r="BE2237">
        <v>458</v>
      </c>
      <c r="BF2237">
        <v>458</v>
      </c>
      <c r="BG2237">
        <v>726</v>
      </c>
      <c r="BJ2237">
        <v>1</v>
      </c>
      <c r="BL2237" t="s">
        <v>4661</v>
      </c>
      <c r="BM2237" s="4">
        <v>43283.343055555553</v>
      </c>
      <c r="BN2237" s="4">
        <v>43283.364756944444</v>
      </c>
      <c r="BO2237" s="4">
        <v>43283.364756944444</v>
      </c>
      <c r="BP2237" t="s">
        <v>92</v>
      </c>
      <c r="BQ2237" t="s">
        <v>93</v>
      </c>
      <c r="BR2237" t="s">
        <v>94</v>
      </c>
    </row>
    <row r="2238" spans="1:70" x14ac:dyDescent="0.3">
      <c r="A2238" t="str">
        <f>"201518C0100"</f>
        <v>201518C0100</v>
      </c>
      <c r="B2238" t="s">
        <v>4662</v>
      </c>
      <c r="C2238">
        <v>20</v>
      </c>
      <c r="D2238" t="s">
        <v>88</v>
      </c>
      <c r="E2238">
        <v>322</v>
      </c>
      <c r="F2238" t="s">
        <v>4650</v>
      </c>
      <c r="G2238">
        <v>1518</v>
      </c>
      <c r="H2238">
        <v>1</v>
      </c>
      <c r="I2238" t="s">
        <v>98</v>
      </c>
      <c r="J2238">
        <v>0</v>
      </c>
      <c r="K2238">
        <v>2</v>
      </c>
      <c r="L2238">
        <v>5</v>
      </c>
      <c r="M2238">
        <v>283</v>
      </c>
      <c r="N2238">
        <v>464</v>
      </c>
      <c r="O2238">
        <v>2</v>
      </c>
      <c r="P2238">
        <v>463</v>
      </c>
      <c r="Q2238">
        <v>5</v>
      </c>
      <c r="R2238">
        <v>121</v>
      </c>
      <c r="S2238">
        <v>107</v>
      </c>
      <c r="T2238">
        <v>44</v>
      </c>
      <c r="U2238">
        <v>11</v>
      </c>
      <c r="V2238">
        <v>0</v>
      </c>
      <c r="W2238">
        <v>3</v>
      </c>
      <c r="X2238">
        <v>4</v>
      </c>
      <c r="Y2238">
        <v>104</v>
      </c>
      <c r="Z2238">
        <v>5</v>
      </c>
      <c r="AA2238">
        <v>0</v>
      </c>
      <c r="AB2238">
        <v>11</v>
      </c>
      <c r="AC2238">
        <v>1</v>
      </c>
      <c r="AD2238">
        <v>3</v>
      </c>
      <c r="AE2238">
        <v>0</v>
      </c>
      <c r="AF2238">
        <v>0</v>
      </c>
      <c r="AG2238">
        <v>3</v>
      </c>
      <c r="AH2238">
        <v>9</v>
      </c>
      <c r="AI2238">
        <v>1</v>
      </c>
      <c r="AJ2238">
        <v>0</v>
      </c>
      <c r="AK2238">
        <v>5</v>
      </c>
      <c r="AL2238">
        <v>3</v>
      </c>
      <c r="AM2238">
        <v>0</v>
      </c>
      <c r="AN2238">
        <v>3</v>
      </c>
      <c r="BC2238">
        <v>0</v>
      </c>
      <c r="BD2238">
        <v>20</v>
      </c>
      <c r="BE2238">
        <v>463</v>
      </c>
      <c r="BF2238">
        <v>463</v>
      </c>
      <c r="BG2238">
        <v>726</v>
      </c>
      <c r="BJ2238">
        <v>1</v>
      </c>
      <c r="BL2238" t="s">
        <v>4663</v>
      </c>
      <c r="BM2238" s="4">
        <v>43283.34375</v>
      </c>
      <c r="BN2238" s="4">
        <v>43283.360960648148</v>
      </c>
      <c r="BO2238" s="4">
        <v>43283.360960648148</v>
      </c>
      <c r="BP2238" t="s">
        <v>92</v>
      </c>
      <c r="BQ2238" t="s">
        <v>93</v>
      </c>
      <c r="BR2238" t="s">
        <v>94</v>
      </c>
    </row>
    <row r="2239" spans="1:70" x14ac:dyDescent="0.3">
      <c r="A2239" t="str">
        <f>"201518C0200"</f>
        <v>201518C0200</v>
      </c>
      <c r="B2239" t="s">
        <v>4664</v>
      </c>
      <c r="C2239">
        <v>20</v>
      </c>
      <c r="D2239" t="s">
        <v>88</v>
      </c>
      <c r="E2239">
        <v>322</v>
      </c>
      <c r="F2239" t="s">
        <v>4650</v>
      </c>
      <c r="G2239">
        <v>1518</v>
      </c>
      <c r="H2239">
        <v>2</v>
      </c>
      <c r="I2239" t="s">
        <v>98</v>
      </c>
      <c r="J2239">
        <v>0</v>
      </c>
      <c r="K2239">
        <v>2</v>
      </c>
      <c r="L2239">
        <v>5</v>
      </c>
      <c r="M2239">
        <v>281</v>
      </c>
      <c r="N2239">
        <v>467</v>
      </c>
      <c r="O2239">
        <v>5</v>
      </c>
      <c r="P2239">
        <v>468</v>
      </c>
      <c r="Q2239">
        <v>3</v>
      </c>
      <c r="R2239">
        <v>107</v>
      </c>
      <c r="S2239">
        <v>113</v>
      </c>
      <c r="T2239">
        <v>46</v>
      </c>
      <c r="U2239">
        <v>24</v>
      </c>
      <c r="V2239">
        <v>2</v>
      </c>
      <c r="W2239">
        <v>1</v>
      </c>
      <c r="X2239">
        <v>4</v>
      </c>
      <c r="Y2239">
        <v>117</v>
      </c>
      <c r="Z2239">
        <v>4</v>
      </c>
      <c r="AA2239">
        <v>6</v>
      </c>
      <c r="AB2239">
        <v>10</v>
      </c>
      <c r="AC2239">
        <v>2</v>
      </c>
      <c r="AD2239">
        <v>1</v>
      </c>
      <c r="AE2239">
        <v>0</v>
      </c>
      <c r="AF2239">
        <v>0</v>
      </c>
      <c r="AG2239">
        <v>3</v>
      </c>
      <c r="AH2239">
        <v>1</v>
      </c>
      <c r="AI2239">
        <v>0</v>
      </c>
      <c r="AJ2239">
        <v>0</v>
      </c>
      <c r="AK2239">
        <v>7</v>
      </c>
      <c r="AL2239">
        <v>1</v>
      </c>
      <c r="AM2239">
        <v>0</v>
      </c>
      <c r="AN2239">
        <v>1</v>
      </c>
      <c r="BC2239">
        <v>0</v>
      </c>
      <c r="BD2239">
        <v>15</v>
      </c>
      <c r="BE2239">
        <v>468</v>
      </c>
      <c r="BF2239">
        <v>468</v>
      </c>
      <c r="BG2239">
        <v>726</v>
      </c>
      <c r="BJ2239">
        <v>1</v>
      </c>
      <c r="BL2239" t="s">
        <v>4665</v>
      </c>
      <c r="BM2239" s="4">
        <v>43283.35</v>
      </c>
      <c r="BN2239" s="4">
        <v>43283.370034722226</v>
      </c>
      <c r="BO2239" s="4">
        <v>43283.370034722226</v>
      </c>
      <c r="BP2239" t="s">
        <v>92</v>
      </c>
      <c r="BQ2239" t="s">
        <v>93</v>
      </c>
      <c r="BR2239" t="s">
        <v>94</v>
      </c>
    </row>
    <row r="2240" spans="1:70" x14ac:dyDescent="0.3">
      <c r="A2240" t="str">
        <f>"201518C0300"</f>
        <v>201518C0300</v>
      </c>
      <c r="B2240" t="s">
        <v>4666</v>
      </c>
      <c r="C2240">
        <v>20</v>
      </c>
      <c r="D2240" t="s">
        <v>88</v>
      </c>
      <c r="E2240">
        <v>322</v>
      </c>
      <c r="F2240" t="s">
        <v>4650</v>
      </c>
      <c r="G2240">
        <v>1518</v>
      </c>
      <c r="H2240">
        <v>3</v>
      </c>
      <c r="I2240" t="s">
        <v>98</v>
      </c>
      <c r="J2240">
        <v>0</v>
      </c>
      <c r="K2240">
        <v>2</v>
      </c>
      <c r="L2240">
        <v>5</v>
      </c>
      <c r="BG2240">
        <v>726</v>
      </c>
      <c r="BI2240" t="s">
        <v>365</v>
      </c>
      <c r="BJ2240">
        <v>0</v>
      </c>
      <c r="BL2240" t="s">
        <v>4667</v>
      </c>
      <c r="BM2240" s="4">
        <v>43283.625694444447</v>
      </c>
      <c r="BN2240" s="4">
        <v>43283.629733796297</v>
      </c>
      <c r="BO2240" s="4">
        <v>43283.629733796297</v>
      </c>
      <c r="BP2240" t="s">
        <v>92</v>
      </c>
      <c r="BQ2240" t="s">
        <v>93</v>
      </c>
      <c r="BR2240" t="s">
        <v>94</v>
      </c>
    </row>
    <row r="2241" spans="1:70" x14ac:dyDescent="0.3">
      <c r="A2241" t="str">
        <f>"201518S0100"</f>
        <v>201518S0100</v>
      </c>
      <c r="B2241" t="s">
        <v>4668</v>
      </c>
      <c r="C2241">
        <v>20</v>
      </c>
      <c r="D2241" t="s">
        <v>88</v>
      </c>
      <c r="E2241">
        <v>322</v>
      </c>
      <c r="F2241" t="s">
        <v>4650</v>
      </c>
      <c r="G2241">
        <v>1518</v>
      </c>
      <c r="H2241">
        <v>1</v>
      </c>
      <c r="I2241" t="s">
        <v>113</v>
      </c>
      <c r="J2241">
        <v>0</v>
      </c>
      <c r="K2241">
        <v>2</v>
      </c>
      <c r="L2241">
        <v>6</v>
      </c>
      <c r="BG2241">
        <v>0</v>
      </c>
      <c r="BI2241" t="s">
        <v>365</v>
      </c>
      <c r="BJ2241">
        <v>0</v>
      </c>
      <c r="BL2241" t="s">
        <v>4669</v>
      </c>
      <c r="BM2241" s="4">
        <v>43283.625694444447</v>
      </c>
      <c r="BN2241" s="4">
        <v>43283.63045138889</v>
      </c>
      <c r="BO2241" s="4">
        <v>43283.63045138889</v>
      </c>
      <c r="BP2241" t="s">
        <v>92</v>
      </c>
      <c r="BQ2241" t="s">
        <v>93</v>
      </c>
      <c r="BR2241" t="s">
        <v>94</v>
      </c>
    </row>
    <row r="2242" spans="1:70" x14ac:dyDescent="0.3">
      <c r="A2242" t="str">
        <f>"201519B0100"</f>
        <v>201519B0100</v>
      </c>
      <c r="B2242" t="s">
        <v>4670</v>
      </c>
      <c r="C2242">
        <v>20</v>
      </c>
      <c r="D2242" t="s">
        <v>88</v>
      </c>
      <c r="E2242">
        <v>322</v>
      </c>
      <c r="F2242" t="s">
        <v>4650</v>
      </c>
      <c r="G2242">
        <v>1519</v>
      </c>
      <c r="H2242">
        <v>1</v>
      </c>
      <c r="I2242" t="s">
        <v>90</v>
      </c>
      <c r="J2242">
        <v>0</v>
      </c>
      <c r="K2242">
        <v>2</v>
      </c>
      <c r="L2242">
        <v>5</v>
      </c>
      <c r="BG2242">
        <v>713</v>
      </c>
      <c r="BI2242" t="s">
        <v>365</v>
      </c>
      <c r="BJ2242">
        <v>0</v>
      </c>
      <c r="BL2242" t="s">
        <v>4671</v>
      </c>
      <c r="BM2242" s="4">
        <v>43283.625694444447</v>
      </c>
      <c r="BN2242" s="4">
        <v>43283.630624999998</v>
      </c>
      <c r="BO2242" s="4">
        <v>43283.630624999998</v>
      </c>
      <c r="BP2242" t="s">
        <v>92</v>
      </c>
      <c r="BQ2242" t="s">
        <v>93</v>
      </c>
      <c r="BR2242" t="s">
        <v>94</v>
      </c>
    </row>
    <row r="2243" spans="1:70" x14ac:dyDescent="0.3">
      <c r="A2243" t="str">
        <f>"201519C0100"</f>
        <v>201519C0100</v>
      </c>
      <c r="B2243" t="s">
        <v>4672</v>
      </c>
      <c r="C2243">
        <v>20</v>
      </c>
      <c r="D2243" t="s">
        <v>88</v>
      </c>
      <c r="E2243">
        <v>322</v>
      </c>
      <c r="F2243" t="s">
        <v>4650</v>
      </c>
      <c r="G2243">
        <v>1519</v>
      </c>
      <c r="H2243">
        <v>1</v>
      </c>
      <c r="I2243" t="s">
        <v>98</v>
      </c>
      <c r="J2243">
        <v>0</v>
      </c>
      <c r="K2243">
        <v>2</v>
      </c>
      <c r="L2243">
        <v>5</v>
      </c>
      <c r="BG2243">
        <v>713</v>
      </c>
      <c r="BI2243" t="s">
        <v>365</v>
      </c>
      <c r="BJ2243">
        <v>0</v>
      </c>
      <c r="BL2243" t="s">
        <v>4673</v>
      </c>
      <c r="BM2243" s="4">
        <v>43283.625694444447</v>
      </c>
      <c r="BN2243" s="4">
        <v>43283.631145833337</v>
      </c>
      <c r="BO2243" s="4">
        <v>43283.631145833337</v>
      </c>
      <c r="BP2243" t="s">
        <v>92</v>
      </c>
      <c r="BQ2243" t="s">
        <v>93</v>
      </c>
      <c r="BR2243" t="s">
        <v>94</v>
      </c>
    </row>
    <row r="2244" spans="1:70" x14ac:dyDescent="0.3">
      <c r="A2244" t="str">
        <f>"201519C0200"</f>
        <v>201519C0200</v>
      </c>
      <c r="B2244" t="s">
        <v>4674</v>
      </c>
      <c r="C2244">
        <v>20</v>
      </c>
      <c r="D2244" t="s">
        <v>88</v>
      </c>
      <c r="E2244">
        <v>322</v>
      </c>
      <c r="F2244" t="s">
        <v>4650</v>
      </c>
      <c r="G2244">
        <v>1519</v>
      </c>
      <c r="H2244">
        <v>2</v>
      </c>
      <c r="I2244" t="s">
        <v>98</v>
      </c>
      <c r="J2244">
        <v>0</v>
      </c>
      <c r="K2244">
        <v>2</v>
      </c>
      <c r="L2244">
        <v>5</v>
      </c>
      <c r="BG2244">
        <v>713</v>
      </c>
      <c r="BI2244" t="s">
        <v>365</v>
      </c>
      <c r="BJ2244">
        <v>0</v>
      </c>
      <c r="BL2244" t="s">
        <v>4675</v>
      </c>
      <c r="BM2244" s="4">
        <v>43283.625694444447</v>
      </c>
      <c r="BN2244" s="4">
        <v>43283.632037037038</v>
      </c>
      <c r="BO2244" s="4">
        <v>43283.632037037038</v>
      </c>
      <c r="BP2244" t="s">
        <v>92</v>
      </c>
      <c r="BQ2244" t="s">
        <v>93</v>
      </c>
      <c r="BR2244" t="s">
        <v>94</v>
      </c>
    </row>
    <row r="2245" spans="1:70" x14ac:dyDescent="0.3">
      <c r="A2245" t="str">
        <f>"201519C0300"</f>
        <v>201519C0300</v>
      </c>
      <c r="B2245" t="s">
        <v>4676</v>
      </c>
      <c r="C2245">
        <v>20</v>
      </c>
      <c r="D2245" t="s">
        <v>88</v>
      </c>
      <c r="E2245">
        <v>322</v>
      </c>
      <c r="F2245" t="s">
        <v>4650</v>
      </c>
      <c r="G2245">
        <v>1519</v>
      </c>
      <c r="H2245">
        <v>3</v>
      </c>
      <c r="I2245" t="s">
        <v>98</v>
      </c>
      <c r="J2245">
        <v>0</v>
      </c>
      <c r="K2245">
        <v>2</v>
      </c>
      <c r="L2245">
        <v>5</v>
      </c>
      <c r="M2245">
        <v>254</v>
      </c>
      <c r="N2245">
        <v>481</v>
      </c>
      <c r="O2245">
        <v>3</v>
      </c>
      <c r="P2245">
        <v>481</v>
      </c>
      <c r="Q2245">
        <v>5</v>
      </c>
      <c r="R2245">
        <v>139</v>
      </c>
      <c r="S2245">
        <v>100</v>
      </c>
      <c r="T2245">
        <v>51</v>
      </c>
      <c r="U2245">
        <v>21</v>
      </c>
      <c r="V2245">
        <v>2</v>
      </c>
      <c r="W2245">
        <v>15</v>
      </c>
      <c r="X2245">
        <v>8</v>
      </c>
      <c r="Y2245">
        <v>92</v>
      </c>
      <c r="Z2245">
        <v>9</v>
      </c>
      <c r="AA2245">
        <v>1</v>
      </c>
      <c r="AB2245">
        <v>4</v>
      </c>
      <c r="AC2245">
        <v>1</v>
      </c>
      <c r="AD2245">
        <v>0</v>
      </c>
      <c r="AE2245">
        <v>0</v>
      </c>
      <c r="AF2245">
        <v>0</v>
      </c>
      <c r="AG2245">
        <v>8</v>
      </c>
      <c r="AH2245">
        <v>3</v>
      </c>
      <c r="AI2245">
        <v>0</v>
      </c>
      <c r="AJ2245">
        <v>0</v>
      </c>
      <c r="AK2245">
        <v>5</v>
      </c>
      <c r="AL2245">
        <v>0</v>
      </c>
      <c r="AM2245">
        <v>1</v>
      </c>
      <c r="AN2245">
        <v>0</v>
      </c>
      <c r="BC2245" t="s">
        <v>105</v>
      </c>
      <c r="BD2245">
        <v>16</v>
      </c>
      <c r="BE2245">
        <v>481</v>
      </c>
      <c r="BF2245">
        <v>481</v>
      </c>
      <c r="BG2245">
        <v>713</v>
      </c>
      <c r="BI2245" t="s">
        <v>106</v>
      </c>
      <c r="BJ2245">
        <v>1</v>
      </c>
      <c r="BL2245" t="s">
        <v>4677</v>
      </c>
      <c r="BM2245" s="4">
        <v>43283.350694444445</v>
      </c>
      <c r="BN2245" s="4">
        <v>43283.374351851853</v>
      </c>
      <c r="BO2245" s="4">
        <v>43283.374351851853</v>
      </c>
      <c r="BP2245" t="s">
        <v>92</v>
      </c>
      <c r="BQ2245" t="s">
        <v>93</v>
      </c>
      <c r="BR2245" t="s">
        <v>94</v>
      </c>
    </row>
    <row r="2246" spans="1:70" x14ac:dyDescent="0.3">
      <c r="A2246" t="str">
        <f>"201519C0400"</f>
        <v>201519C0400</v>
      </c>
      <c r="B2246" t="s">
        <v>4678</v>
      </c>
      <c r="C2246">
        <v>20</v>
      </c>
      <c r="D2246" t="s">
        <v>88</v>
      </c>
      <c r="E2246">
        <v>322</v>
      </c>
      <c r="F2246" t="s">
        <v>4650</v>
      </c>
      <c r="G2246">
        <v>1519</v>
      </c>
      <c r="H2246">
        <v>4</v>
      </c>
      <c r="I2246" t="s">
        <v>98</v>
      </c>
      <c r="J2246">
        <v>0</v>
      </c>
      <c r="K2246">
        <v>2</v>
      </c>
      <c r="L2246">
        <v>5</v>
      </c>
      <c r="M2246">
        <v>232</v>
      </c>
      <c r="N2246">
        <v>506</v>
      </c>
      <c r="O2246">
        <v>3</v>
      </c>
      <c r="P2246" t="s">
        <v>105</v>
      </c>
      <c r="Q2246">
        <v>6</v>
      </c>
      <c r="R2246">
        <v>113</v>
      </c>
      <c r="S2246">
        <v>109</v>
      </c>
      <c r="T2246">
        <v>64</v>
      </c>
      <c r="U2246">
        <v>19</v>
      </c>
      <c r="V2246">
        <v>4</v>
      </c>
      <c r="W2246">
        <v>18</v>
      </c>
      <c r="X2246">
        <v>2</v>
      </c>
      <c r="Y2246">
        <v>113</v>
      </c>
      <c r="Z2246">
        <v>4</v>
      </c>
      <c r="AA2246">
        <v>2</v>
      </c>
      <c r="AB2246">
        <v>5</v>
      </c>
      <c r="AC2246">
        <v>0</v>
      </c>
      <c r="AD2246">
        <v>1</v>
      </c>
      <c r="AE2246">
        <v>0</v>
      </c>
      <c r="AF2246">
        <v>0</v>
      </c>
      <c r="AG2246">
        <v>7</v>
      </c>
      <c r="AH2246">
        <v>9</v>
      </c>
      <c r="AI2246">
        <v>2</v>
      </c>
      <c r="AJ2246">
        <v>0</v>
      </c>
      <c r="AK2246">
        <v>2</v>
      </c>
      <c r="AL2246">
        <v>2</v>
      </c>
      <c r="AM2246">
        <v>1</v>
      </c>
      <c r="AN2246">
        <v>0</v>
      </c>
      <c r="BC2246" t="s">
        <v>105</v>
      </c>
      <c r="BD2246">
        <v>20</v>
      </c>
      <c r="BE2246" t="s">
        <v>105</v>
      </c>
      <c r="BF2246">
        <v>503</v>
      </c>
      <c r="BG2246">
        <v>713</v>
      </c>
      <c r="BI2246" t="s">
        <v>106</v>
      </c>
      <c r="BJ2246">
        <v>1</v>
      </c>
      <c r="BL2246" t="s">
        <v>4679</v>
      </c>
      <c r="BM2246" s="4">
        <v>43283.351388888892</v>
      </c>
      <c r="BN2246" s="4">
        <v>43283.368518518517</v>
      </c>
      <c r="BO2246" s="4">
        <v>43283.368518518517</v>
      </c>
      <c r="BP2246" t="s">
        <v>92</v>
      </c>
      <c r="BQ2246" t="s">
        <v>93</v>
      </c>
      <c r="BR2246" t="s">
        <v>94</v>
      </c>
    </row>
    <row r="2247" spans="1:70" x14ac:dyDescent="0.3">
      <c r="A2247" t="str">
        <f>"201519E0100"</f>
        <v>201519E0100</v>
      </c>
      <c r="B2247" s="2" t="s">
        <v>4680</v>
      </c>
      <c r="C2247">
        <v>20</v>
      </c>
      <c r="D2247" t="s">
        <v>88</v>
      </c>
      <c r="E2247">
        <v>322</v>
      </c>
      <c r="F2247" t="s">
        <v>4650</v>
      </c>
      <c r="G2247">
        <v>1519</v>
      </c>
      <c r="H2247">
        <v>1</v>
      </c>
      <c r="I2247" t="s">
        <v>156</v>
      </c>
      <c r="J2247">
        <v>0</v>
      </c>
      <c r="K2247">
        <v>2</v>
      </c>
      <c r="L2247">
        <v>5</v>
      </c>
      <c r="M2247">
        <v>158</v>
      </c>
      <c r="N2247">
        <v>291</v>
      </c>
      <c r="O2247">
        <v>2</v>
      </c>
      <c r="P2247">
        <v>291</v>
      </c>
      <c r="Q2247">
        <v>2</v>
      </c>
      <c r="R2247">
        <v>55</v>
      </c>
      <c r="S2247">
        <v>34</v>
      </c>
      <c r="T2247">
        <v>6</v>
      </c>
      <c r="U2247">
        <v>17</v>
      </c>
      <c r="V2247">
        <v>4</v>
      </c>
      <c r="W2247">
        <v>5</v>
      </c>
      <c r="X2247">
        <v>4</v>
      </c>
      <c r="Y2247">
        <v>117</v>
      </c>
      <c r="Z2247">
        <v>5</v>
      </c>
      <c r="AA2247">
        <v>0</v>
      </c>
      <c r="AB2247">
        <v>5</v>
      </c>
      <c r="AC2247">
        <v>0</v>
      </c>
      <c r="AD2247">
        <v>0</v>
      </c>
      <c r="AE2247">
        <v>0</v>
      </c>
      <c r="AF2247">
        <v>0</v>
      </c>
      <c r="AG2247">
        <v>1</v>
      </c>
      <c r="AH2247">
        <v>1</v>
      </c>
      <c r="AI2247">
        <v>1</v>
      </c>
      <c r="AJ2247">
        <v>0</v>
      </c>
      <c r="AK2247">
        <v>9</v>
      </c>
      <c r="AL2247">
        <v>2</v>
      </c>
      <c r="AM2247">
        <v>0</v>
      </c>
      <c r="AN2247">
        <v>1</v>
      </c>
      <c r="BC2247">
        <v>0</v>
      </c>
      <c r="BD2247">
        <v>18</v>
      </c>
      <c r="BE2247">
        <v>290</v>
      </c>
      <c r="BF2247">
        <v>287</v>
      </c>
      <c r="BG2247">
        <v>427</v>
      </c>
      <c r="BJ2247">
        <v>1</v>
      </c>
      <c r="BL2247" t="s">
        <v>4681</v>
      </c>
      <c r="BM2247" s="4">
        <v>43283.338194444441</v>
      </c>
      <c r="BN2247" s="4">
        <v>43283.36278935185</v>
      </c>
      <c r="BO2247" s="4">
        <v>43283.36278935185</v>
      </c>
      <c r="BP2247" t="s">
        <v>92</v>
      </c>
      <c r="BQ2247" t="s">
        <v>93</v>
      </c>
      <c r="BR2247" t="s">
        <v>94</v>
      </c>
    </row>
    <row r="2248" spans="1:70" x14ac:dyDescent="0.3">
      <c r="A2248" t="str">
        <f>"201520B0100"</f>
        <v>201520B0100</v>
      </c>
      <c r="B2248" t="s">
        <v>4682</v>
      </c>
      <c r="C2248">
        <v>20</v>
      </c>
      <c r="D2248" t="s">
        <v>88</v>
      </c>
      <c r="E2248">
        <v>322</v>
      </c>
      <c r="F2248" t="s">
        <v>4650</v>
      </c>
      <c r="G2248">
        <v>1520</v>
      </c>
      <c r="H2248">
        <v>1</v>
      </c>
      <c r="I2248" t="s">
        <v>90</v>
      </c>
      <c r="J2248">
        <v>0</v>
      </c>
      <c r="K2248">
        <v>2</v>
      </c>
      <c r="L2248">
        <v>5</v>
      </c>
      <c r="M2248">
        <v>162</v>
      </c>
      <c r="N2248">
        <v>384</v>
      </c>
      <c r="O2248">
        <v>4</v>
      </c>
      <c r="P2248">
        <v>384</v>
      </c>
      <c r="Q2248">
        <v>3</v>
      </c>
      <c r="R2248">
        <v>87</v>
      </c>
      <c r="S2248">
        <v>116</v>
      </c>
      <c r="T2248">
        <v>28</v>
      </c>
      <c r="U2248">
        <v>4</v>
      </c>
      <c r="V2248">
        <v>2</v>
      </c>
      <c r="W2248">
        <v>10</v>
      </c>
      <c r="X2248">
        <v>3</v>
      </c>
      <c r="Y2248">
        <v>97</v>
      </c>
      <c r="Z2248">
        <v>8</v>
      </c>
      <c r="AA2248">
        <v>4</v>
      </c>
      <c r="AB2248">
        <v>3</v>
      </c>
      <c r="AC2248">
        <v>7</v>
      </c>
      <c r="AD2248">
        <v>0</v>
      </c>
      <c r="AE2248">
        <v>0</v>
      </c>
      <c r="AF2248">
        <v>0</v>
      </c>
      <c r="AG2248">
        <v>3</v>
      </c>
      <c r="AH2248">
        <v>2</v>
      </c>
      <c r="AI2248">
        <v>0</v>
      </c>
      <c r="AJ2248">
        <v>0</v>
      </c>
      <c r="AK2248">
        <v>3</v>
      </c>
      <c r="AL2248">
        <v>0</v>
      </c>
      <c r="AM2248">
        <v>0</v>
      </c>
      <c r="AN2248">
        <v>2</v>
      </c>
      <c r="BC2248">
        <v>0</v>
      </c>
      <c r="BD2248">
        <v>8</v>
      </c>
      <c r="BE2248">
        <v>384</v>
      </c>
      <c r="BF2248">
        <v>390</v>
      </c>
      <c r="BG2248">
        <v>524</v>
      </c>
      <c r="BJ2248">
        <v>1</v>
      </c>
      <c r="BL2248" t="s">
        <v>4683</v>
      </c>
      <c r="BM2248" s="4">
        <v>43283.326388888891</v>
      </c>
      <c r="BN2248" s="4">
        <v>43283.3512962963</v>
      </c>
      <c r="BO2248" s="4">
        <v>43283.3512962963</v>
      </c>
      <c r="BP2248" t="s">
        <v>92</v>
      </c>
      <c r="BQ2248" t="s">
        <v>93</v>
      </c>
      <c r="BR2248" t="s">
        <v>94</v>
      </c>
    </row>
    <row r="2249" spans="1:70" x14ac:dyDescent="0.3">
      <c r="A2249" t="str">
        <f>"201520C0100"</f>
        <v>201520C0100</v>
      </c>
      <c r="B2249" t="s">
        <v>4684</v>
      </c>
      <c r="C2249">
        <v>20</v>
      </c>
      <c r="D2249" t="s">
        <v>88</v>
      </c>
      <c r="E2249">
        <v>322</v>
      </c>
      <c r="F2249" t="s">
        <v>4650</v>
      </c>
      <c r="G2249">
        <v>1520</v>
      </c>
      <c r="H2249">
        <v>1</v>
      </c>
      <c r="I2249" t="s">
        <v>98</v>
      </c>
      <c r="J2249">
        <v>0</v>
      </c>
      <c r="K2249">
        <v>2</v>
      </c>
      <c r="L2249">
        <v>5</v>
      </c>
      <c r="M2249">
        <v>193</v>
      </c>
      <c r="N2249">
        <v>353</v>
      </c>
      <c r="O2249">
        <v>2</v>
      </c>
      <c r="P2249">
        <v>353</v>
      </c>
      <c r="Q2249">
        <v>4</v>
      </c>
      <c r="R2249">
        <v>81</v>
      </c>
      <c r="S2249">
        <v>101</v>
      </c>
      <c r="T2249">
        <v>23</v>
      </c>
      <c r="U2249">
        <v>10</v>
      </c>
      <c r="V2249">
        <v>2</v>
      </c>
      <c r="W2249">
        <v>10</v>
      </c>
      <c r="X2249">
        <v>3</v>
      </c>
      <c r="Y2249">
        <v>73</v>
      </c>
      <c r="Z2249">
        <v>8</v>
      </c>
      <c r="AA2249">
        <v>1</v>
      </c>
      <c r="AB2249">
        <v>8</v>
      </c>
      <c r="AC2249">
        <v>2</v>
      </c>
      <c r="AD2249">
        <v>2</v>
      </c>
      <c r="AE2249">
        <v>0</v>
      </c>
      <c r="AF2249">
        <v>1</v>
      </c>
      <c r="AG2249">
        <v>6</v>
      </c>
      <c r="AH2249">
        <v>2</v>
      </c>
      <c r="AI2249">
        <v>0</v>
      </c>
      <c r="AJ2249">
        <v>0</v>
      </c>
      <c r="AK2249">
        <v>1</v>
      </c>
      <c r="AL2249">
        <v>0</v>
      </c>
      <c r="AM2249">
        <v>0</v>
      </c>
      <c r="AN2249">
        <v>1</v>
      </c>
      <c r="BC2249">
        <v>0</v>
      </c>
      <c r="BD2249">
        <v>14</v>
      </c>
      <c r="BE2249">
        <v>353</v>
      </c>
      <c r="BF2249">
        <v>353</v>
      </c>
      <c r="BG2249">
        <v>524</v>
      </c>
      <c r="BJ2249">
        <v>1</v>
      </c>
      <c r="BL2249" t="s">
        <v>4685</v>
      </c>
      <c r="BM2249" s="4">
        <v>43283.325694444444</v>
      </c>
      <c r="BN2249" s="4">
        <v>43283.349606481483</v>
      </c>
      <c r="BO2249" s="4">
        <v>43283.349606481483</v>
      </c>
      <c r="BP2249" t="s">
        <v>92</v>
      </c>
      <c r="BQ2249" t="s">
        <v>93</v>
      </c>
      <c r="BR2249" t="s">
        <v>94</v>
      </c>
    </row>
    <row r="2250" spans="1:70" x14ac:dyDescent="0.3">
      <c r="A2250" t="str">
        <f>"201520C0200"</f>
        <v>201520C0200</v>
      </c>
      <c r="B2250" t="s">
        <v>4686</v>
      </c>
      <c r="C2250">
        <v>20</v>
      </c>
      <c r="D2250" t="s">
        <v>88</v>
      </c>
      <c r="E2250">
        <v>322</v>
      </c>
      <c r="F2250" t="s">
        <v>4650</v>
      </c>
      <c r="G2250">
        <v>1520</v>
      </c>
      <c r="H2250">
        <v>2</v>
      </c>
      <c r="I2250" t="s">
        <v>98</v>
      </c>
      <c r="J2250">
        <v>0</v>
      </c>
      <c r="K2250">
        <v>2</v>
      </c>
      <c r="L2250">
        <v>5</v>
      </c>
      <c r="M2250">
        <v>151</v>
      </c>
      <c r="N2250">
        <v>394</v>
      </c>
      <c r="O2250">
        <v>4</v>
      </c>
      <c r="P2250">
        <v>394</v>
      </c>
      <c r="Q2250">
        <v>1</v>
      </c>
      <c r="R2250">
        <v>101</v>
      </c>
      <c r="S2250">
        <v>109</v>
      </c>
      <c r="T2250">
        <v>36</v>
      </c>
      <c r="U2250">
        <v>9</v>
      </c>
      <c r="V2250">
        <v>0</v>
      </c>
      <c r="W2250">
        <v>11</v>
      </c>
      <c r="X2250">
        <v>2</v>
      </c>
      <c r="Y2250">
        <v>88</v>
      </c>
      <c r="Z2250">
        <v>5</v>
      </c>
      <c r="AA2250">
        <v>1</v>
      </c>
      <c r="AB2250">
        <v>5</v>
      </c>
      <c r="AC2250">
        <v>1</v>
      </c>
      <c r="AD2250">
        <v>1</v>
      </c>
      <c r="AE2250">
        <v>0</v>
      </c>
      <c r="AF2250">
        <v>0</v>
      </c>
      <c r="AG2250">
        <v>4</v>
      </c>
      <c r="AH2250">
        <v>1</v>
      </c>
      <c r="AI2250">
        <v>1</v>
      </c>
      <c r="AJ2250">
        <v>0</v>
      </c>
      <c r="AK2250">
        <v>2</v>
      </c>
      <c r="AL2250">
        <v>1</v>
      </c>
      <c r="AM2250">
        <v>0</v>
      </c>
      <c r="AN2250">
        <v>2</v>
      </c>
      <c r="BC2250">
        <v>0</v>
      </c>
      <c r="BD2250">
        <v>13</v>
      </c>
      <c r="BE2250">
        <v>394</v>
      </c>
      <c r="BF2250">
        <v>394</v>
      </c>
      <c r="BG2250">
        <v>523</v>
      </c>
      <c r="BJ2250">
        <v>1</v>
      </c>
      <c r="BL2250" t="s">
        <v>4687</v>
      </c>
      <c r="BM2250" s="4">
        <v>43283.324999999997</v>
      </c>
      <c r="BN2250" s="4">
        <v>43283.347453703704</v>
      </c>
      <c r="BO2250" s="4">
        <v>43283.347453703704</v>
      </c>
      <c r="BP2250" t="s">
        <v>92</v>
      </c>
      <c r="BQ2250" t="s">
        <v>93</v>
      </c>
      <c r="BR2250" t="s">
        <v>94</v>
      </c>
    </row>
    <row r="2251" spans="1:70" x14ac:dyDescent="0.3">
      <c r="A2251" t="str">
        <f>"201521B0100"</f>
        <v>201521B0100</v>
      </c>
      <c r="B2251" t="s">
        <v>4688</v>
      </c>
      <c r="C2251">
        <v>20</v>
      </c>
      <c r="D2251" t="s">
        <v>88</v>
      </c>
      <c r="E2251">
        <v>322</v>
      </c>
      <c r="F2251" t="s">
        <v>4650</v>
      </c>
      <c r="G2251">
        <v>1521</v>
      </c>
      <c r="H2251">
        <v>1</v>
      </c>
      <c r="I2251" t="s">
        <v>90</v>
      </c>
      <c r="J2251">
        <v>0</v>
      </c>
      <c r="K2251">
        <v>2</v>
      </c>
      <c r="L2251">
        <v>5</v>
      </c>
      <c r="BG2251">
        <v>381</v>
      </c>
      <c r="BI2251" t="s">
        <v>365</v>
      </c>
      <c r="BJ2251">
        <v>0</v>
      </c>
      <c r="BL2251" t="s">
        <v>4689</v>
      </c>
      <c r="BM2251" s="4">
        <v>43283.625694444447</v>
      </c>
      <c r="BN2251" s="4">
        <v>43283.6325</v>
      </c>
      <c r="BO2251" s="4">
        <v>43283.6325</v>
      </c>
      <c r="BP2251" t="s">
        <v>92</v>
      </c>
      <c r="BQ2251" t="s">
        <v>93</v>
      </c>
      <c r="BR2251" t="s">
        <v>94</v>
      </c>
    </row>
    <row r="2252" spans="1:70" x14ac:dyDescent="0.3">
      <c r="A2252" t="str">
        <f>"201521E0100"</f>
        <v>201521E0100</v>
      </c>
      <c r="B2252" s="2" t="s">
        <v>4690</v>
      </c>
      <c r="C2252">
        <v>20</v>
      </c>
      <c r="D2252" t="s">
        <v>88</v>
      </c>
      <c r="E2252">
        <v>322</v>
      </c>
      <c r="F2252" t="s">
        <v>4650</v>
      </c>
      <c r="G2252">
        <v>1521</v>
      </c>
      <c r="H2252">
        <v>1</v>
      </c>
      <c r="I2252" t="s">
        <v>156</v>
      </c>
      <c r="J2252">
        <v>0</v>
      </c>
      <c r="K2252">
        <v>2</v>
      </c>
      <c r="L2252">
        <v>5</v>
      </c>
      <c r="BG2252">
        <v>519</v>
      </c>
      <c r="BI2252" t="s">
        <v>365</v>
      </c>
      <c r="BJ2252">
        <v>0</v>
      </c>
      <c r="BL2252" t="s">
        <v>4691</v>
      </c>
      <c r="BM2252" s="4">
        <v>43283.625694444447</v>
      </c>
      <c r="BN2252" s="4">
        <v>43283.632870370369</v>
      </c>
      <c r="BO2252" s="4">
        <v>43283.632870370369</v>
      </c>
      <c r="BP2252" t="s">
        <v>92</v>
      </c>
      <c r="BQ2252" t="s">
        <v>93</v>
      </c>
      <c r="BR2252" t="s">
        <v>94</v>
      </c>
    </row>
    <row r="2253" spans="1:70" x14ac:dyDescent="0.3">
      <c r="A2253" t="str">
        <f>"201522B0100"</f>
        <v>201522B0100</v>
      </c>
      <c r="B2253" t="s">
        <v>4692</v>
      </c>
      <c r="C2253">
        <v>20</v>
      </c>
      <c r="D2253" t="s">
        <v>88</v>
      </c>
      <c r="E2253">
        <v>322</v>
      </c>
      <c r="F2253" t="s">
        <v>4650</v>
      </c>
      <c r="G2253">
        <v>1522</v>
      </c>
      <c r="H2253">
        <v>1</v>
      </c>
      <c r="I2253" t="s">
        <v>90</v>
      </c>
      <c r="J2253">
        <v>0</v>
      </c>
      <c r="K2253">
        <v>2</v>
      </c>
      <c r="L2253">
        <v>5</v>
      </c>
      <c r="M2253">
        <v>197</v>
      </c>
      <c r="N2253">
        <v>480</v>
      </c>
      <c r="O2253">
        <v>8</v>
      </c>
      <c r="P2253">
        <v>480</v>
      </c>
      <c r="Q2253">
        <v>1</v>
      </c>
      <c r="R2253">
        <v>106</v>
      </c>
      <c r="S2253">
        <v>97</v>
      </c>
      <c r="T2253">
        <v>37</v>
      </c>
      <c r="U2253">
        <v>20</v>
      </c>
      <c r="V2253">
        <v>1</v>
      </c>
      <c r="W2253">
        <v>6</v>
      </c>
      <c r="X2253">
        <v>10</v>
      </c>
      <c r="Y2253">
        <v>151</v>
      </c>
      <c r="Z2253">
        <v>9</v>
      </c>
      <c r="AA2253">
        <v>3</v>
      </c>
      <c r="AB2253">
        <v>3</v>
      </c>
      <c r="AC2253">
        <v>1</v>
      </c>
      <c r="AD2253">
        <v>1</v>
      </c>
      <c r="AE2253">
        <v>0</v>
      </c>
      <c r="AF2253">
        <v>1</v>
      </c>
      <c r="AG2253">
        <v>6</v>
      </c>
      <c r="AH2253">
        <v>6</v>
      </c>
      <c r="AI2253">
        <v>1</v>
      </c>
      <c r="AJ2253">
        <v>0</v>
      </c>
      <c r="AK2253">
        <v>7</v>
      </c>
      <c r="AL2253">
        <v>0</v>
      </c>
      <c r="AM2253">
        <v>0</v>
      </c>
      <c r="AN2253">
        <v>0</v>
      </c>
      <c r="BC2253">
        <v>0</v>
      </c>
      <c r="BD2253">
        <v>13</v>
      </c>
      <c r="BE2253">
        <v>480</v>
      </c>
      <c r="BF2253">
        <v>480</v>
      </c>
      <c r="BG2253">
        <v>655</v>
      </c>
      <c r="BJ2253">
        <v>1</v>
      </c>
      <c r="BL2253" t="s">
        <v>4693</v>
      </c>
      <c r="BM2253" s="4">
        <v>43283.323611111111</v>
      </c>
      <c r="BN2253" s="4">
        <v>43283.344363425924</v>
      </c>
      <c r="BO2253" s="4">
        <v>43283.344363425924</v>
      </c>
      <c r="BP2253" t="s">
        <v>92</v>
      </c>
      <c r="BQ2253" t="s">
        <v>93</v>
      </c>
      <c r="BR2253" t="s">
        <v>94</v>
      </c>
    </row>
    <row r="2254" spans="1:70" x14ac:dyDescent="0.3">
      <c r="A2254" t="str">
        <f>"201522C0100"</f>
        <v>201522C0100</v>
      </c>
      <c r="B2254" t="s">
        <v>4694</v>
      </c>
      <c r="C2254">
        <v>20</v>
      </c>
      <c r="D2254" t="s">
        <v>88</v>
      </c>
      <c r="E2254">
        <v>322</v>
      </c>
      <c r="F2254" t="s">
        <v>4650</v>
      </c>
      <c r="G2254">
        <v>1522</v>
      </c>
      <c r="H2254">
        <v>1</v>
      </c>
      <c r="I2254" t="s">
        <v>98</v>
      </c>
      <c r="J2254">
        <v>0</v>
      </c>
      <c r="K2254">
        <v>2</v>
      </c>
      <c r="L2254">
        <v>5</v>
      </c>
      <c r="M2254">
        <v>241</v>
      </c>
      <c r="N2254">
        <v>436</v>
      </c>
      <c r="O2254">
        <v>6</v>
      </c>
      <c r="P2254">
        <v>436</v>
      </c>
      <c r="Q2254">
        <v>3</v>
      </c>
      <c r="R2254">
        <v>109</v>
      </c>
      <c r="S2254">
        <v>87</v>
      </c>
      <c r="T2254">
        <v>24</v>
      </c>
      <c r="U2254">
        <v>24</v>
      </c>
      <c r="V2254">
        <v>0</v>
      </c>
      <c r="W2254">
        <v>9</v>
      </c>
      <c r="X2254">
        <v>5</v>
      </c>
      <c r="Y2254">
        <v>123</v>
      </c>
      <c r="Z2254">
        <v>5</v>
      </c>
      <c r="AA2254">
        <v>2</v>
      </c>
      <c r="AB2254">
        <v>7</v>
      </c>
      <c r="AC2254">
        <v>0</v>
      </c>
      <c r="AD2254">
        <v>0</v>
      </c>
      <c r="AE2254">
        <v>0</v>
      </c>
      <c r="AF2254">
        <v>1</v>
      </c>
      <c r="AG2254">
        <v>2</v>
      </c>
      <c r="AH2254">
        <v>0</v>
      </c>
      <c r="AI2254">
        <v>1</v>
      </c>
      <c r="AJ2254">
        <v>0</v>
      </c>
      <c r="AK2254">
        <v>5</v>
      </c>
      <c r="AL2254">
        <v>2</v>
      </c>
      <c r="AM2254">
        <v>1</v>
      </c>
      <c r="AN2254">
        <v>1</v>
      </c>
      <c r="BC2254">
        <v>0</v>
      </c>
      <c r="BD2254">
        <v>25</v>
      </c>
      <c r="BE2254">
        <v>436</v>
      </c>
      <c r="BF2254">
        <v>436</v>
      </c>
      <c r="BG2254">
        <v>655</v>
      </c>
      <c r="BJ2254">
        <v>1</v>
      </c>
      <c r="BL2254" t="s">
        <v>4695</v>
      </c>
      <c r="BM2254" s="4">
        <v>43283.320833333331</v>
      </c>
      <c r="BN2254" s="4">
        <v>43283.345023148147</v>
      </c>
      <c r="BO2254" s="4">
        <v>43283.345023148147</v>
      </c>
      <c r="BP2254" t="s">
        <v>92</v>
      </c>
      <c r="BQ2254" t="s">
        <v>93</v>
      </c>
      <c r="BR2254" t="s">
        <v>94</v>
      </c>
    </row>
    <row r="2255" spans="1:70" x14ac:dyDescent="0.3">
      <c r="A2255" t="str">
        <f>"201522C0200"</f>
        <v>201522C0200</v>
      </c>
      <c r="B2255" t="s">
        <v>4696</v>
      </c>
      <c r="C2255">
        <v>20</v>
      </c>
      <c r="D2255" t="s">
        <v>88</v>
      </c>
      <c r="E2255">
        <v>322</v>
      </c>
      <c r="F2255" t="s">
        <v>4650</v>
      </c>
      <c r="G2255">
        <v>1522</v>
      </c>
      <c r="H2255">
        <v>2</v>
      </c>
      <c r="I2255" t="s">
        <v>98</v>
      </c>
      <c r="J2255">
        <v>0</v>
      </c>
      <c r="K2255">
        <v>2</v>
      </c>
      <c r="L2255">
        <v>5</v>
      </c>
      <c r="M2255">
        <v>256</v>
      </c>
      <c r="N2255">
        <v>420</v>
      </c>
      <c r="O2255">
        <v>3</v>
      </c>
      <c r="P2255">
        <v>420</v>
      </c>
      <c r="Q2255">
        <v>6</v>
      </c>
      <c r="R2255">
        <v>107</v>
      </c>
      <c r="S2255">
        <v>78</v>
      </c>
      <c r="T2255">
        <v>18</v>
      </c>
      <c r="U2255">
        <v>34</v>
      </c>
      <c r="V2255">
        <v>3</v>
      </c>
      <c r="W2255">
        <v>6</v>
      </c>
      <c r="X2255">
        <v>5</v>
      </c>
      <c r="Y2255">
        <v>109</v>
      </c>
      <c r="Z2255">
        <v>8</v>
      </c>
      <c r="AA2255">
        <v>0</v>
      </c>
      <c r="AB2255">
        <v>1</v>
      </c>
      <c r="AC2255">
        <v>2</v>
      </c>
      <c r="AD2255">
        <v>0</v>
      </c>
      <c r="AE2255">
        <v>0</v>
      </c>
      <c r="AF2255">
        <v>0</v>
      </c>
      <c r="AG2255">
        <v>3</v>
      </c>
      <c r="AH2255">
        <v>3</v>
      </c>
      <c r="AI2255">
        <v>0</v>
      </c>
      <c r="AJ2255">
        <v>0</v>
      </c>
      <c r="AK2255">
        <v>8</v>
      </c>
      <c r="AL2255">
        <v>5</v>
      </c>
      <c r="AM2255">
        <v>0</v>
      </c>
      <c r="AN2255">
        <v>3</v>
      </c>
      <c r="BC2255">
        <v>0</v>
      </c>
      <c r="BD2255">
        <v>15</v>
      </c>
      <c r="BE2255">
        <v>420</v>
      </c>
      <c r="BF2255">
        <v>414</v>
      </c>
      <c r="BG2255">
        <v>654</v>
      </c>
      <c r="BJ2255">
        <v>1</v>
      </c>
      <c r="BL2255" t="s">
        <v>4697</v>
      </c>
      <c r="BM2255" s="4">
        <v>43283.324305555558</v>
      </c>
      <c r="BN2255" s="4">
        <v>43283.346909722219</v>
      </c>
      <c r="BO2255" s="4">
        <v>43283.346909722219</v>
      </c>
      <c r="BP2255" t="s">
        <v>92</v>
      </c>
      <c r="BQ2255" t="s">
        <v>93</v>
      </c>
      <c r="BR2255" t="s">
        <v>94</v>
      </c>
    </row>
    <row r="2256" spans="1:70" x14ac:dyDescent="0.3">
      <c r="A2256" t="str">
        <f>"201522C0300"</f>
        <v>201522C0300</v>
      </c>
      <c r="B2256" t="s">
        <v>4698</v>
      </c>
      <c r="C2256">
        <v>20</v>
      </c>
      <c r="D2256" t="s">
        <v>88</v>
      </c>
      <c r="E2256">
        <v>322</v>
      </c>
      <c r="F2256" t="s">
        <v>4650</v>
      </c>
      <c r="G2256">
        <v>1522</v>
      </c>
      <c r="H2256">
        <v>3</v>
      </c>
      <c r="I2256" t="s">
        <v>98</v>
      </c>
      <c r="J2256">
        <v>0</v>
      </c>
      <c r="K2256">
        <v>2</v>
      </c>
      <c r="L2256">
        <v>5</v>
      </c>
      <c r="M2256">
        <v>223</v>
      </c>
      <c r="N2256">
        <v>453</v>
      </c>
      <c r="O2256">
        <v>7</v>
      </c>
      <c r="P2256">
        <v>453</v>
      </c>
      <c r="Q2256">
        <v>3</v>
      </c>
      <c r="R2256">
        <v>134</v>
      </c>
      <c r="S2256">
        <v>96</v>
      </c>
      <c r="T2256">
        <v>22</v>
      </c>
      <c r="U2256">
        <v>11</v>
      </c>
      <c r="V2256">
        <v>2</v>
      </c>
      <c r="W2256">
        <v>3</v>
      </c>
      <c r="X2256">
        <v>6</v>
      </c>
      <c r="Y2256">
        <v>127</v>
      </c>
      <c r="Z2256">
        <v>2</v>
      </c>
      <c r="AA2256">
        <v>4</v>
      </c>
      <c r="AB2256">
        <v>1</v>
      </c>
      <c r="AC2256">
        <v>3</v>
      </c>
      <c r="AD2256">
        <v>0</v>
      </c>
      <c r="AE2256">
        <v>0</v>
      </c>
      <c r="AF2256">
        <v>3</v>
      </c>
      <c r="AG2256">
        <v>5</v>
      </c>
      <c r="AH2256">
        <v>4</v>
      </c>
      <c r="AI2256">
        <v>1</v>
      </c>
      <c r="AJ2256">
        <v>0</v>
      </c>
      <c r="AK2256">
        <v>6</v>
      </c>
      <c r="AL2256">
        <v>1</v>
      </c>
      <c r="AM2256">
        <v>0</v>
      </c>
      <c r="AN2256">
        <v>0</v>
      </c>
      <c r="BC2256" t="s">
        <v>105</v>
      </c>
      <c r="BD2256">
        <v>19</v>
      </c>
      <c r="BE2256">
        <v>453</v>
      </c>
      <c r="BF2256">
        <v>453</v>
      </c>
      <c r="BG2256">
        <v>654</v>
      </c>
      <c r="BI2256" t="s">
        <v>106</v>
      </c>
      <c r="BJ2256">
        <v>1</v>
      </c>
      <c r="BL2256" t="s">
        <v>4699</v>
      </c>
      <c r="BM2256" s="4">
        <v>43283.324305555558</v>
      </c>
      <c r="BN2256" s="4">
        <v>43283.347974537035</v>
      </c>
      <c r="BO2256" s="4">
        <v>43283.347974537035</v>
      </c>
      <c r="BP2256" t="s">
        <v>92</v>
      </c>
      <c r="BQ2256" t="s">
        <v>93</v>
      </c>
      <c r="BR2256" t="s">
        <v>94</v>
      </c>
    </row>
    <row r="2257" spans="1:70" x14ac:dyDescent="0.3">
      <c r="A2257" t="str">
        <f>"201523B0100"</f>
        <v>201523B0100</v>
      </c>
      <c r="B2257" t="s">
        <v>4700</v>
      </c>
      <c r="C2257">
        <v>20</v>
      </c>
      <c r="D2257" t="s">
        <v>88</v>
      </c>
      <c r="E2257">
        <v>322</v>
      </c>
      <c r="F2257" t="s">
        <v>4650</v>
      </c>
      <c r="G2257">
        <v>1523</v>
      </c>
      <c r="H2257">
        <v>1</v>
      </c>
      <c r="I2257" t="s">
        <v>90</v>
      </c>
      <c r="J2257">
        <v>0</v>
      </c>
      <c r="K2257">
        <v>2</v>
      </c>
      <c r="L2257">
        <v>5</v>
      </c>
      <c r="M2257">
        <v>168</v>
      </c>
      <c r="N2257">
        <v>305</v>
      </c>
      <c r="O2257">
        <v>3</v>
      </c>
      <c r="P2257">
        <v>305</v>
      </c>
      <c r="Q2257">
        <v>1</v>
      </c>
      <c r="R2257">
        <v>146</v>
      </c>
      <c r="S2257">
        <v>7</v>
      </c>
      <c r="T2257">
        <v>112</v>
      </c>
      <c r="U2257">
        <v>4</v>
      </c>
      <c r="V2257">
        <v>1</v>
      </c>
      <c r="W2257">
        <v>1</v>
      </c>
      <c r="X2257">
        <v>3</v>
      </c>
      <c r="Y2257">
        <v>19</v>
      </c>
      <c r="Z2257">
        <v>1</v>
      </c>
      <c r="AA2257">
        <v>0</v>
      </c>
      <c r="AB2257">
        <v>1</v>
      </c>
      <c r="AC2257">
        <v>0</v>
      </c>
      <c r="AD2257">
        <v>0</v>
      </c>
      <c r="AE2257">
        <v>0</v>
      </c>
      <c r="AF2257">
        <v>0</v>
      </c>
      <c r="AG2257">
        <v>0</v>
      </c>
      <c r="AH2257">
        <v>2</v>
      </c>
      <c r="AI2257">
        <v>0</v>
      </c>
      <c r="AJ2257">
        <v>0</v>
      </c>
      <c r="AK2257">
        <v>0</v>
      </c>
      <c r="AL2257">
        <v>0</v>
      </c>
      <c r="AM2257">
        <v>0</v>
      </c>
      <c r="AN2257">
        <v>0</v>
      </c>
      <c r="BC2257">
        <v>0</v>
      </c>
      <c r="BD2257">
        <v>7</v>
      </c>
      <c r="BE2257">
        <v>305</v>
      </c>
      <c r="BF2257">
        <v>305</v>
      </c>
      <c r="BG2257">
        <v>451</v>
      </c>
      <c r="BJ2257">
        <v>1</v>
      </c>
      <c r="BL2257" t="s">
        <v>4701</v>
      </c>
      <c r="BM2257" s="4">
        <v>43283.344444444447</v>
      </c>
      <c r="BN2257" s="4">
        <v>43283.368773148148</v>
      </c>
      <c r="BO2257" s="4">
        <v>43283.368773148148</v>
      </c>
      <c r="BP2257" t="s">
        <v>92</v>
      </c>
      <c r="BQ2257" t="s">
        <v>93</v>
      </c>
      <c r="BR2257" t="s">
        <v>94</v>
      </c>
    </row>
    <row r="2258" spans="1:70" x14ac:dyDescent="0.3">
      <c r="A2258" t="str">
        <f>"201523C0100"</f>
        <v>201523C0100</v>
      </c>
      <c r="B2258" t="s">
        <v>4702</v>
      </c>
      <c r="C2258">
        <v>20</v>
      </c>
      <c r="D2258" t="s">
        <v>88</v>
      </c>
      <c r="E2258">
        <v>322</v>
      </c>
      <c r="F2258" t="s">
        <v>4650</v>
      </c>
      <c r="G2258">
        <v>1523</v>
      </c>
      <c r="H2258">
        <v>1</v>
      </c>
      <c r="I2258" t="s">
        <v>98</v>
      </c>
      <c r="J2258">
        <v>0</v>
      </c>
      <c r="K2258">
        <v>2</v>
      </c>
      <c r="L2258">
        <v>5</v>
      </c>
      <c r="M2258">
        <v>151</v>
      </c>
      <c r="N2258">
        <v>322</v>
      </c>
      <c r="O2258">
        <v>2</v>
      </c>
      <c r="P2258">
        <v>322</v>
      </c>
      <c r="Q2258">
        <v>4</v>
      </c>
      <c r="R2258">
        <v>153</v>
      </c>
      <c r="S2258">
        <v>9</v>
      </c>
      <c r="T2258">
        <v>110</v>
      </c>
      <c r="U2258">
        <v>5</v>
      </c>
      <c r="V2258">
        <v>2</v>
      </c>
      <c r="W2258">
        <v>2</v>
      </c>
      <c r="X2258">
        <v>2</v>
      </c>
      <c r="Y2258">
        <v>15</v>
      </c>
      <c r="Z2258">
        <v>2</v>
      </c>
      <c r="AA2258" t="s">
        <v>105</v>
      </c>
      <c r="AB2258">
        <v>1</v>
      </c>
      <c r="AC2258" t="s">
        <v>105</v>
      </c>
      <c r="AD2258" t="s">
        <v>105</v>
      </c>
      <c r="AE2258" t="s">
        <v>105</v>
      </c>
      <c r="AF2258" t="s">
        <v>105</v>
      </c>
      <c r="AG2258" t="s">
        <v>105</v>
      </c>
      <c r="AH2258">
        <v>2</v>
      </c>
      <c r="AI2258" t="s">
        <v>105</v>
      </c>
      <c r="AJ2258" t="s">
        <v>105</v>
      </c>
      <c r="AK2258">
        <v>1</v>
      </c>
      <c r="AL2258" t="s">
        <v>105</v>
      </c>
      <c r="AM2258" t="s">
        <v>105</v>
      </c>
      <c r="AN2258" t="s">
        <v>105</v>
      </c>
      <c r="BC2258" t="s">
        <v>105</v>
      </c>
      <c r="BD2258">
        <v>14</v>
      </c>
      <c r="BE2258">
        <v>322</v>
      </c>
      <c r="BF2258">
        <v>322</v>
      </c>
      <c r="BG2258">
        <v>451</v>
      </c>
      <c r="BI2258" t="s">
        <v>106</v>
      </c>
      <c r="BJ2258">
        <v>1</v>
      </c>
      <c r="BL2258" t="s">
        <v>4703</v>
      </c>
      <c r="BM2258" s="4">
        <v>43283.332638888889</v>
      </c>
      <c r="BN2258" s="4">
        <v>43283.362326388888</v>
      </c>
      <c r="BO2258" s="4">
        <v>43283.362326388888</v>
      </c>
      <c r="BP2258" t="s">
        <v>92</v>
      </c>
      <c r="BQ2258" t="s">
        <v>93</v>
      </c>
      <c r="BR2258" t="s">
        <v>94</v>
      </c>
    </row>
    <row r="2259" spans="1:70" x14ac:dyDescent="0.3">
      <c r="A2259" t="str">
        <f>"201524B0100"</f>
        <v>201524B0100</v>
      </c>
      <c r="B2259" t="s">
        <v>4704</v>
      </c>
      <c r="C2259">
        <v>20</v>
      </c>
      <c r="D2259" t="s">
        <v>88</v>
      </c>
      <c r="E2259">
        <v>322</v>
      </c>
      <c r="F2259" t="s">
        <v>4650</v>
      </c>
      <c r="G2259">
        <v>1524</v>
      </c>
      <c r="H2259">
        <v>1</v>
      </c>
      <c r="I2259" t="s">
        <v>90</v>
      </c>
      <c r="J2259">
        <v>0</v>
      </c>
      <c r="K2259">
        <v>2</v>
      </c>
      <c r="L2259">
        <v>5</v>
      </c>
      <c r="M2259">
        <v>177</v>
      </c>
      <c r="N2259">
        <v>284</v>
      </c>
      <c r="O2259">
        <v>0</v>
      </c>
      <c r="P2259">
        <v>0</v>
      </c>
      <c r="Q2259">
        <v>12</v>
      </c>
      <c r="R2259">
        <v>68</v>
      </c>
      <c r="S2259">
        <v>21</v>
      </c>
      <c r="T2259">
        <v>8</v>
      </c>
      <c r="U2259">
        <v>12</v>
      </c>
      <c r="V2259">
        <v>3</v>
      </c>
      <c r="W2259">
        <v>2</v>
      </c>
      <c r="X2259">
        <v>5</v>
      </c>
      <c r="Y2259">
        <v>110</v>
      </c>
      <c r="Z2259">
        <v>8</v>
      </c>
      <c r="AA2259" t="s">
        <v>105</v>
      </c>
      <c r="AB2259">
        <v>7</v>
      </c>
      <c r="AC2259" t="s">
        <v>105</v>
      </c>
      <c r="AD2259">
        <v>1</v>
      </c>
      <c r="AE2259" t="s">
        <v>105</v>
      </c>
      <c r="AF2259" t="s">
        <v>105</v>
      </c>
      <c r="AG2259">
        <v>2</v>
      </c>
      <c r="AH2259">
        <v>1</v>
      </c>
      <c r="AI2259" t="s">
        <v>105</v>
      </c>
      <c r="AJ2259" t="s">
        <v>105</v>
      </c>
      <c r="AK2259" t="s">
        <v>105</v>
      </c>
      <c r="AL2259">
        <v>7</v>
      </c>
      <c r="AM2259" t="s">
        <v>105</v>
      </c>
      <c r="AN2259" t="s">
        <v>105</v>
      </c>
      <c r="BC2259" t="s">
        <v>105</v>
      </c>
      <c r="BD2259">
        <v>16</v>
      </c>
      <c r="BE2259">
        <v>283</v>
      </c>
      <c r="BF2259">
        <v>283</v>
      </c>
      <c r="BG2259">
        <v>438</v>
      </c>
      <c r="BI2259" t="s">
        <v>106</v>
      </c>
      <c r="BJ2259">
        <v>1</v>
      </c>
      <c r="BL2259" t="s">
        <v>4705</v>
      </c>
      <c r="BM2259" s="4">
        <v>43283.34652777778</v>
      </c>
      <c r="BN2259" s="4">
        <v>43283.365277777775</v>
      </c>
      <c r="BO2259" s="4">
        <v>43283.365277777775</v>
      </c>
      <c r="BP2259" t="s">
        <v>92</v>
      </c>
      <c r="BQ2259" t="s">
        <v>93</v>
      </c>
      <c r="BR2259" t="s">
        <v>94</v>
      </c>
    </row>
    <row r="2260" spans="1:70" x14ac:dyDescent="0.3">
      <c r="A2260" t="str">
        <f>"201525B0100"</f>
        <v>201525B0100</v>
      </c>
      <c r="B2260" t="s">
        <v>4706</v>
      </c>
      <c r="C2260">
        <v>20</v>
      </c>
      <c r="D2260" t="s">
        <v>88</v>
      </c>
      <c r="E2260">
        <v>322</v>
      </c>
      <c r="F2260" t="s">
        <v>4650</v>
      </c>
      <c r="G2260">
        <v>1525</v>
      </c>
      <c r="H2260">
        <v>1</v>
      </c>
      <c r="I2260" t="s">
        <v>90</v>
      </c>
      <c r="J2260">
        <v>0</v>
      </c>
      <c r="K2260">
        <v>2</v>
      </c>
      <c r="L2260">
        <v>5</v>
      </c>
      <c r="M2260">
        <v>202</v>
      </c>
      <c r="N2260">
        <v>400</v>
      </c>
      <c r="O2260">
        <v>3</v>
      </c>
      <c r="P2260">
        <v>399</v>
      </c>
      <c r="Q2260">
        <v>2</v>
      </c>
      <c r="R2260">
        <v>101</v>
      </c>
      <c r="S2260">
        <v>38</v>
      </c>
      <c r="T2260">
        <v>46</v>
      </c>
      <c r="U2260">
        <v>55</v>
      </c>
      <c r="V2260">
        <v>4</v>
      </c>
      <c r="W2260">
        <v>4</v>
      </c>
      <c r="X2260">
        <v>2</v>
      </c>
      <c r="Y2260">
        <v>93</v>
      </c>
      <c r="Z2260">
        <v>4</v>
      </c>
      <c r="AA2260">
        <v>0</v>
      </c>
      <c r="AB2260" t="s">
        <v>105</v>
      </c>
      <c r="AC2260">
        <v>1</v>
      </c>
      <c r="AD2260">
        <v>0</v>
      </c>
      <c r="AE2260">
        <v>0</v>
      </c>
      <c r="AF2260">
        <v>1</v>
      </c>
      <c r="AG2260">
        <v>8</v>
      </c>
      <c r="AH2260">
        <v>3</v>
      </c>
      <c r="AI2260">
        <v>2</v>
      </c>
      <c r="AJ2260">
        <v>1</v>
      </c>
      <c r="AK2260">
        <v>5</v>
      </c>
      <c r="AL2260">
        <v>1</v>
      </c>
      <c r="AM2260">
        <v>0</v>
      </c>
      <c r="AN2260">
        <v>0</v>
      </c>
      <c r="BC2260" t="s">
        <v>105</v>
      </c>
      <c r="BD2260">
        <v>28</v>
      </c>
      <c r="BE2260">
        <v>399</v>
      </c>
      <c r="BF2260">
        <v>399</v>
      </c>
      <c r="BG2260">
        <v>580</v>
      </c>
      <c r="BI2260" t="s">
        <v>106</v>
      </c>
      <c r="BJ2260">
        <v>1</v>
      </c>
      <c r="BL2260" t="s">
        <v>4707</v>
      </c>
      <c r="BM2260" s="4">
        <v>43283.541666666664</v>
      </c>
      <c r="BN2260" s="4">
        <v>43283.549537037034</v>
      </c>
      <c r="BO2260" s="4">
        <v>43283.549537037034</v>
      </c>
      <c r="BP2260" t="s">
        <v>92</v>
      </c>
      <c r="BQ2260" t="s">
        <v>93</v>
      </c>
      <c r="BR2260" t="s">
        <v>94</v>
      </c>
    </row>
    <row r="2261" spans="1:70" x14ac:dyDescent="0.3">
      <c r="A2261" t="str">
        <f>"201525C0100"</f>
        <v>201525C0100</v>
      </c>
      <c r="B2261" t="s">
        <v>4708</v>
      </c>
      <c r="C2261">
        <v>20</v>
      </c>
      <c r="D2261" t="s">
        <v>88</v>
      </c>
      <c r="E2261">
        <v>322</v>
      </c>
      <c r="F2261" t="s">
        <v>4650</v>
      </c>
      <c r="G2261">
        <v>1525</v>
      </c>
      <c r="H2261">
        <v>1</v>
      </c>
      <c r="I2261" t="s">
        <v>98</v>
      </c>
      <c r="J2261">
        <v>0</v>
      </c>
      <c r="K2261">
        <v>2</v>
      </c>
      <c r="L2261">
        <v>5</v>
      </c>
      <c r="BG2261">
        <v>580</v>
      </c>
      <c r="BI2261" t="s">
        <v>365</v>
      </c>
      <c r="BJ2261">
        <v>0</v>
      </c>
      <c r="BL2261" t="s">
        <v>4709</v>
      </c>
      <c r="BM2261" s="4">
        <v>43283.625694444447</v>
      </c>
      <c r="BN2261" s="4">
        <v>43283.632233796299</v>
      </c>
      <c r="BO2261" s="4">
        <v>43283.632233796299</v>
      </c>
      <c r="BP2261" t="s">
        <v>92</v>
      </c>
      <c r="BQ2261" t="s">
        <v>93</v>
      </c>
      <c r="BR2261" t="s">
        <v>94</v>
      </c>
    </row>
    <row r="2262" spans="1:70" x14ac:dyDescent="0.3">
      <c r="A2262" t="str">
        <f>"201527B0100"</f>
        <v>201527B0100</v>
      </c>
      <c r="B2262" t="s">
        <v>4710</v>
      </c>
      <c r="C2262">
        <v>20</v>
      </c>
      <c r="D2262" t="s">
        <v>88</v>
      </c>
      <c r="E2262">
        <v>322</v>
      </c>
      <c r="F2262" t="s">
        <v>4650</v>
      </c>
      <c r="G2262">
        <v>1527</v>
      </c>
      <c r="H2262">
        <v>1</v>
      </c>
      <c r="I2262" t="s">
        <v>90</v>
      </c>
      <c r="J2262">
        <v>0</v>
      </c>
      <c r="K2262">
        <v>2</v>
      </c>
      <c r="L2262">
        <v>5</v>
      </c>
      <c r="M2262">
        <v>272</v>
      </c>
      <c r="N2262">
        <v>473</v>
      </c>
      <c r="O2262">
        <v>3</v>
      </c>
      <c r="P2262">
        <v>473</v>
      </c>
      <c r="Q2262">
        <v>18</v>
      </c>
      <c r="R2262">
        <v>105</v>
      </c>
      <c r="S2262">
        <v>105</v>
      </c>
      <c r="T2262">
        <v>28</v>
      </c>
      <c r="U2262">
        <v>25</v>
      </c>
      <c r="V2262">
        <v>4</v>
      </c>
      <c r="W2262">
        <v>4</v>
      </c>
      <c r="X2262">
        <v>5</v>
      </c>
      <c r="Y2262">
        <v>125</v>
      </c>
      <c r="Z2262">
        <v>8</v>
      </c>
      <c r="AA2262">
        <v>0</v>
      </c>
      <c r="AB2262">
        <v>1</v>
      </c>
      <c r="AC2262">
        <v>0</v>
      </c>
      <c r="AD2262">
        <v>2</v>
      </c>
      <c r="AE2262">
        <v>0</v>
      </c>
      <c r="AF2262">
        <v>0</v>
      </c>
      <c r="AG2262">
        <v>2</v>
      </c>
      <c r="AH2262">
        <v>2</v>
      </c>
      <c r="AI2262">
        <v>1</v>
      </c>
      <c r="AJ2262">
        <v>0</v>
      </c>
      <c r="AK2262">
        <v>5</v>
      </c>
      <c r="AL2262">
        <v>4</v>
      </c>
      <c r="AM2262">
        <v>0</v>
      </c>
      <c r="AN2262">
        <v>3</v>
      </c>
      <c r="BC2262">
        <v>0</v>
      </c>
      <c r="BD2262">
        <v>26</v>
      </c>
      <c r="BE2262">
        <v>473</v>
      </c>
      <c r="BF2262">
        <v>473</v>
      </c>
      <c r="BG2262">
        <v>723</v>
      </c>
      <c r="BJ2262">
        <v>1</v>
      </c>
      <c r="BL2262" t="s">
        <v>4711</v>
      </c>
      <c r="BM2262" s="4">
        <v>43283.540972222225</v>
      </c>
      <c r="BN2262" s="4">
        <v>43283.549074074072</v>
      </c>
      <c r="BO2262" s="4">
        <v>43283.549074074072</v>
      </c>
      <c r="BP2262" t="s">
        <v>92</v>
      </c>
      <c r="BQ2262" t="s">
        <v>93</v>
      </c>
      <c r="BR2262" t="s">
        <v>94</v>
      </c>
    </row>
    <row r="2263" spans="1:70" x14ac:dyDescent="0.3">
      <c r="A2263" t="str">
        <f>"201527C0100"</f>
        <v>201527C0100</v>
      </c>
      <c r="B2263" t="s">
        <v>4712</v>
      </c>
      <c r="C2263">
        <v>20</v>
      </c>
      <c r="D2263" t="s">
        <v>88</v>
      </c>
      <c r="E2263">
        <v>322</v>
      </c>
      <c r="F2263" t="s">
        <v>4650</v>
      </c>
      <c r="G2263">
        <v>1527</v>
      </c>
      <c r="H2263">
        <v>1</v>
      </c>
      <c r="I2263" t="s">
        <v>98</v>
      </c>
      <c r="J2263">
        <v>0</v>
      </c>
      <c r="K2263">
        <v>2</v>
      </c>
      <c r="L2263">
        <v>5</v>
      </c>
      <c r="M2263">
        <v>302</v>
      </c>
      <c r="N2263">
        <v>443</v>
      </c>
      <c r="O2263">
        <v>2</v>
      </c>
      <c r="P2263">
        <v>443</v>
      </c>
      <c r="Q2263">
        <v>10</v>
      </c>
      <c r="R2263">
        <v>89</v>
      </c>
      <c r="S2263">
        <v>100</v>
      </c>
      <c r="T2263">
        <v>26</v>
      </c>
      <c r="U2263">
        <v>37</v>
      </c>
      <c r="V2263">
        <v>5</v>
      </c>
      <c r="W2263">
        <v>9</v>
      </c>
      <c r="X2263">
        <v>3</v>
      </c>
      <c r="Y2263">
        <v>107</v>
      </c>
      <c r="Z2263">
        <v>11</v>
      </c>
      <c r="AA2263">
        <v>0</v>
      </c>
      <c r="AB2263">
        <v>1</v>
      </c>
      <c r="AC2263">
        <v>1</v>
      </c>
      <c r="AD2263">
        <v>3</v>
      </c>
      <c r="AE2263">
        <v>0</v>
      </c>
      <c r="AF2263">
        <v>0</v>
      </c>
      <c r="AG2263">
        <v>0</v>
      </c>
      <c r="AH2263">
        <v>6</v>
      </c>
      <c r="AI2263">
        <v>0</v>
      </c>
      <c r="AJ2263">
        <v>1</v>
      </c>
      <c r="AK2263">
        <v>8</v>
      </c>
      <c r="AL2263">
        <v>1</v>
      </c>
      <c r="AM2263">
        <v>2</v>
      </c>
      <c r="AN2263">
        <v>0</v>
      </c>
      <c r="BC2263">
        <v>0</v>
      </c>
      <c r="BD2263">
        <v>23</v>
      </c>
      <c r="BE2263">
        <v>443</v>
      </c>
      <c r="BF2263">
        <v>443</v>
      </c>
      <c r="BG2263">
        <v>723</v>
      </c>
      <c r="BJ2263">
        <v>1</v>
      </c>
      <c r="BL2263" t="s">
        <v>4713</v>
      </c>
      <c r="BM2263" s="4">
        <v>43283.544444444444</v>
      </c>
      <c r="BN2263" s="4">
        <v>43283.551215277781</v>
      </c>
      <c r="BO2263" s="4">
        <v>43283.551215277781</v>
      </c>
      <c r="BP2263" t="s">
        <v>92</v>
      </c>
      <c r="BQ2263" t="s">
        <v>93</v>
      </c>
      <c r="BR2263" t="s">
        <v>94</v>
      </c>
    </row>
    <row r="2264" spans="1:70" x14ac:dyDescent="0.3">
      <c r="A2264" t="str">
        <f>"201527C0200"</f>
        <v>201527C0200</v>
      </c>
      <c r="B2264" t="s">
        <v>4714</v>
      </c>
      <c r="C2264">
        <v>20</v>
      </c>
      <c r="D2264" t="s">
        <v>88</v>
      </c>
      <c r="E2264">
        <v>322</v>
      </c>
      <c r="F2264" t="s">
        <v>4650</v>
      </c>
      <c r="G2264">
        <v>1527</v>
      </c>
      <c r="H2264">
        <v>2</v>
      </c>
      <c r="I2264" t="s">
        <v>98</v>
      </c>
      <c r="J2264">
        <v>0</v>
      </c>
      <c r="K2264">
        <v>2</v>
      </c>
      <c r="L2264">
        <v>5</v>
      </c>
      <c r="M2264">
        <v>303</v>
      </c>
      <c r="N2264">
        <v>442</v>
      </c>
      <c r="O2264">
        <v>1</v>
      </c>
      <c r="P2264">
        <v>442</v>
      </c>
      <c r="Q2264">
        <v>16</v>
      </c>
      <c r="R2264">
        <v>28</v>
      </c>
      <c r="S2264">
        <v>76</v>
      </c>
      <c r="T2264">
        <v>29</v>
      </c>
      <c r="U2264">
        <v>25</v>
      </c>
      <c r="V2264">
        <v>5</v>
      </c>
      <c r="W2264">
        <v>4</v>
      </c>
      <c r="X2264">
        <v>6</v>
      </c>
      <c r="Y2264">
        <v>100</v>
      </c>
      <c r="Z2264">
        <v>13</v>
      </c>
      <c r="AA2264">
        <v>0</v>
      </c>
      <c r="AB2264">
        <v>2</v>
      </c>
      <c r="AC2264">
        <v>2</v>
      </c>
      <c r="AD2264">
        <v>4</v>
      </c>
      <c r="AE2264">
        <v>0</v>
      </c>
      <c r="AF2264">
        <v>0</v>
      </c>
      <c r="AG2264">
        <v>6</v>
      </c>
      <c r="AH2264">
        <v>4</v>
      </c>
      <c r="AI2264">
        <v>0</v>
      </c>
      <c r="AJ2264">
        <v>0</v>
      </c>
      <c r="AK2264">
        <v>14</v>
      </c>
      <c r="AL2264">
        <v>4</v>
      </c>
      <c r="AM2264">
        <v>1</v>
      </c>
      <c r="AN2264">
        <v>1</v>
      </c>
      <c r="BC2264">
        <v>0</v>
      </c>
      <c r="BD2264">
        <v>31</v>
      </c>
      <c r="BE2264">
        <v>442</v>
      </c>
      <c r="BF2264">
        <v>371</v>
      </c>
      <c r="BG2264">
        <v>723</v>
      </c>
      <c r="BJ2264">
        <v>1</v>
      </c>
      <c r="BL2264" t="s">
        <v>4715</v>
      </c>
      <c r="BM2264" s="4">
        <v>43283.543749999997</v>
      </c>
      <c r="BN2264" s="4">
        <v>43283.550312500003</v>
      </c>
      <c r="BO2264" s="4">
        <v>43283.550312500003</v>
      </c>
      <c r="BP2264" t="s">
        <v>92</v>
      </c>
      <c r="BQ2264" t="s">
        <v>93</v>
      </c>
      <c r="BR2264" t="s">
        <v>94</v>
      </c>
    </row>
    <row r="2265" spans="1:70" x14ac:dyDescent="0.3">
      <c r="A2265" t="str">
        <f>"201528B0100"</f>
        <v>201528B0100</v>
      </c>
      <c r="B2265" t="s">
        <v>4716</v>
      </c>
      <c r="C2265">
        <v>20</v>
      </c>
      <c r="D2265" t="s">
        <v>88</v>
      </c>
      <c r="E2265">
        <v>322</v>
      </c>
      <c r="F2265" t="s">
        <v>4650</v>
      </c>
      <c r="G2265">
        <v>1528</v>
      </c>
      <c r="H2265">
        <v>1</v>
      </c>
      <c r="I2265" t="s">
        <v>90</v>
      </c>
      <c r="J2265">
        <v>0</v>
      </c>
      <c r="K2265">
        <v>2</v>
      </c>
      <c r="L2265">
        <v>5</v>
      </c>
      <c r="M2265">
        <v>203</v>
      </c>
      <c r="N2265">
        <v>332</v>
      </c>
      <c r="O2265">
        <v>4</v>
      </c>
      <c r="P2265">
        <v>332</v>
      </c>
      <c r="Q2265">
        <v>5</v>
      </c>
      <c r="R2265">
        <v>78</v>
      </c>
      <c r="S2265">
        <v>65</v>
      </c>
      <c r="T2265">
        <v>29</v>
      </c>
      <c r="U2265">
        <v>16</v>
      </c>
      <c r="V2265">
        <v>4</v>
      </c>
      <c r="W2265">
        <v>4</v>
      </c>
      <c r="X2265">
        <v>8</v>
      </c>
      <c r="Y2265">
        <v>80</v>
      </c>
      <c r="Z2265">
        <v>6</v>
      </c>
      <c r="AA2265">
        <v>0</v>
      </c>
      <c r="AB2265">
        <v>3</v>
      </c>
      <c r="AC2265">
        <v>1</v>
      </c>
      <c r="AD2265">
        <v>1</v>
      </c>
      <c r="AE2265">
        <v>0</v>
      </c>
      <c r="AF2265">
        <v>1</v>
      </c>
      <c r="AG2265">
        <v>3</v>
      </c>
      <c r="AH2265">
        <v>1</v>
      </c>
      <c r="AI2265">
        <v>1</v>
      </c>
      <c r="AJ2265">
        <v>0</v>
      </c>
      <c r="AK2265">
        <v>5</v>
      </c>
      <c r="AL2265">
        <v>3</v>
      </c>
      <c r="AM2265">
        <v>0</v>
      </c>
      <c r="AN2265">
        <v>2</v>
      </c>
      <c r="BC2265">
        <v>0</v>
      </c>
      <c r="BD2265">
        <v>16</v>
      </c>
      <c r="BE2265">
        <v>332</v>
      </c>
      <c r="BF2265">
        <v>332</v>
      </c>
      <c r="BG2265">
        <v>513</v>
      </c>
      <c r="BJ2265">
        <v>1</v>
      </c>
      <c r="BL2265" t="s">
        <v>4717</v>
      </c>
      <c r="BM2265" s="4">
        <v>43283.543749999997</v>
      </c>
      <c r="BN2265" s="4">
        <v>43283.548645833333</v>
      </c>
      <c r="BO2265" s="4">
        <v>43283.548645833333</v>
      </c>
      <c r="BP2265" t="s">
        <v>92</v>
      </c>
      <c r="BQ2265" t="s">
        <v>93</v>
      </c>
      <c r="BR2265" t="s">
        <v>94</v>
      </c>
    </row>
    <row r="2266" spans="1:70" x14ac:dyDescent="0.3">
      <c r="A2266" t="str">
        <f>"201528C0100"</f>
        <v>201528C0100</v>
      </c>
      <c r="B2266" t="s">
        <v>4718</v>
      </c>
      <c r="C2266">
        <v>20</v>
      </c>
      <c r="D2266" t="s">
        <v>88</v>
      </c>
      <c r="E2266">
        <v>322</v>
      </c>
      <c r="F2266" t="s">
        <v>4650</v>
      </c>
      <c r="G2266">
        <v>1528</v>
      </c>
      <c r="H2266">
        <v>1</v>
      </c>
      <c r="I2266" t="s">
        <v>98</v>
      </c>
      <c r="J2266">
        <v>0</v>
      </c>
      <c r="K2266">
        <v>2</v>
      </c>
      <c r="L2266">
        <v>5</v>
      </c>
      <c r="M2266">
        <v>196</v>
      </c>
      <c r="N2266">
        <v>339</v>
      </c>
      <c r="O2266">
        <v>3</v>
      </c>
      <c r="P2266">
        <v>339</v>
      </c>
      <c r="Q2266">
        <v>7</v>
      </c>
      <c r="R2266">
        <v>79</v>
      </c>
      <c r="S2266">
        <v>72</v>
      </c>
      <c r="T2266">
        <v>44</v>
      </c>
      <c r="U2266">
        <v>14</v>
      </c>
      <c r="V2266">
        <v>6</v>
      </c>
      <c r="W2266">
        <v>4</v>
      </c>
      <c r="X2266">
        <v>4</v>
      </c>
      <c r="Y2266">
        <v>69</v>
      </c>
      <c r="Z2266">
        <v>4</v>
      </c>
      <c r="AA2266">
        <v>0</v>
      </c>
      <c r="AB2266">
        <v>3</v>
      </c>
      <c r="AC2266">
        <v>0</v>
      </c>
      <c r="AD2266">
        <v>1</v>
      </c>
      <c r="AE2266">
        <v>0</v>
      </c>
      <c r="AF2266">
        <v>0</v>
      </c>
      <c r="AG2266">
        <v>2</v>
      </c>
      <c r="AH2266">
        <v>3</v>
      </c>
      <c r="AI2266">
        <v>1</v>
      </c>
      <c r="AJ2266">
        <v>0</v>
      </c>
      <c r="AK2266">
        <v>2</v>
      </c>
      <c r="AL2266">
        <v>1</v>
      </c>
      <c r="AM2266">
        <v>0</v>
      </c>
      <c r="AN2266">
        <v>2</v>
      </c>
      <c r="BC2266">
        <v>0</v>
      </c>
      <c r="BD2266">
        <v>21</v>
      </c>
      <c r="BE2266">
        <v>339</v>
      </c>
      <c r="BF2266">
        <v>339</v>
      </c>
      <c r="BG2266">
        <v>513</v>
      </c>
      <c r="BJ2266">
        <v>1</v>
      </c>
      <c r="BL2266" t="s">
        <v>4719</v>
      </c>
      <c r="BM2266" s="4">
        <v>43283.543055555558</v>
      </c>
      <c r="BN2266" s="4">
        <v>43283.550138888888</v>
      </c>
      <c r="BO2266" s="4">
        <v>43283.550138888888</v>
      </c>
      <c r="BP2266" t="s">
        <v>92</v>
      </c>
      <c r="BQ2266" t="s">
        <v>93</v>
      </c>
      <c r="BR2266" t="s">
        <v>94</v>
      </c>
    </row>
    <row r="2267" spans="1:70" x14ac:dyDescent="0.3">
      <c r="A2267" t="str">
        <f>"201528C0200"</f>
        <v>201528C0200</v>
      </c>
      <c r="B2267" t="s">
        <v>4720</v>
      </c>
      <c r="C2267">
        <v>20</v>
      </c>
      <c r="D2267" t="s">
        <v>88</v>
      </c>
      <c r="E2267">
        <v>322</v>
      </c>
      <c r="F2267" t="s">
        <v>4650</v>
      </c>
      <c r="G2267">
        <v>1528</v>
      </c>
      <c r="H2267">
        <v>2</v>
      </c>
      <c r="I2267" t="s">
        <v>98</v>
      </c>
      <c r="J2267">
        <v>0</v>
      </c>
      <c r="K2267">
        <v>2</v>
      </c>
      <c r="L2267">
        <v>5</v>
      </c>
      <c r="M2267">
        <v>199</v>
      </c>
      <c r="N2267">
        <v>335</v>
      </c>
      <c r="O2267">
        <v>4</v>
      </c>
      <c r="P2267">
        <v>335</v>
      </c>
      <c r="Q2267">
        <v>2</v>
      </c>
      <c r="R2267">
        <v>81</v>
      </c>
      <c r="S2267">
        <v>64</v>
      </c>
      <c r="T2267">
        <v>25</v>
      </c>
      <c r="U2267">
        <v>16</v>
      </c>
      <c r="V2267">
        <v>2</v>
      </c>
      <c r="W2267">
        <v>7</v>
      </c>
      <c r="X2267">
        <v>5</v>
      </c>
      <c r="Y2267">
        <v>68</v>
      </c>
      <c r="Z2267">
        <v>5</v>
      </c>
      <c r="AA2267">
        <v>0</v>
      </c>
      <c r="AB2267">
        <v>2</v>
      </c>
      <c r="AC2267">
        <v>0</v>
      </c>
      <c r="AD2267">
        <v>0</v>
      </c>
      <c r="AE2267">
        <v>0</v>
      </c>
      <c r="AF2267">
        <v>0</v>
      </c>
      <c r="AG2267">
        <v>1</v>
      </c>
      <c r="AH2267">
        <v>3</v>
      </c>
      <c r="AI2267">
        <v>0</v>
      </c>
      <c r="AJ2267">
        <v>0</v>
      </c>
      <c r="AK2267">
        <v>2</v>
      </c>
      <c r="AL2267">
        <v>0</v>
      </c>
      <c r="AM2267">
        <v>0</v>
      </c>
      <c r="AN2267">
        <v>2</v>
      </c>
      <c r="BC2267">
        <v>0</v>
      </c>
      <c r="BD2267">
        <v>29</v>
      </c>
      <c r="BE2267">
        <v>335</v>
      </c>
      <c r="BF2267">
        <v>314</v>
      </c>
      <c r="BG2267">
        <v>513</v>
      </c>
      <c r="BJ2267">
        <v>1</v>
      </c>
      <c r="BL2267" t="s">
        <v>4721</v>
      </c>
      <c r="BM2267" s="4">
        <v>43283.542361111111</v>
      </c>
      <c r="BN2267" s="4">
        <v>43283.549629629626</v>
      </c>
      <c r="BO2267" s="4">
        <v>43283.549629629626</v>
      </c>
      <c r="BP2267" t="s">
        <v>92</v>
      </c>
      <c r="BQ2267" t="s">
        <v>93</v>
      </c>
      <c r="BR2267" t="s">
        <v>94</v>
      </c>
    </row>
    <row r="2268" spans="1:70" x14ac:dyDescent="0.3">
      <c r="A2268" t="str">
        <f>"201529B0100"</f>
        <v>201529B0100</v>
      </c>
      <c r="B2268" t="s">
        <v>4722</v>
      </c>
      <c r="C2268">
        <v>20</v>
      </c>
      <c r="D2268" t="s">
        <v>88</v>
      </c>
      <c r="E2268">
        <v>322</v>
      </c>
      <c r="F2268" t="s">
        <v>4650</v>
      </c>
      <c r="G2268">
        <v>1529</v>
      </c>
      <c r="H2268">
        <v>1</v>
      </c>
      <c r="I2268" t="s">
        <v>90</v>
      </c>
      <c r="J2268">
        <v>0</v>
      </c>
      <c r="K2268">
        <v>2</v>
      </c>
      <c r="L2268">
        <v>5</v>
      </c>
      <c r="M2268">
        <v>231</v>
      </c>
      <c r="N2268">
        <v>514</v>
      </c>
      <c r="O2268">
        <v>0</v>
      </c>
      <c r="P2268">
        <v>514</v>
      </c>
      <c r="Q2268">
        <v>9</v>
      </c>
      <c r="R2268">
        <v>143</v>
      </c>
      <c r="S2268">
        <v>133</v>
      </c>
      <c r="T2268">
        <v>37</v>
      </c>
      <c r="U2268">
        <v>20</v>
      </c>
      <c r="V2268">
        <v>4</v>
      </c>
      <c r="W2268">
        <v>5</v>
      </c>
      <c r="X2268">
        <v>9</v>
      </c>
      <c r="Y2268">
        <v>97</v>
      </c>
      <c r="Z2268">
        <v>10</v>
      </c>
      <c r="AA2268">
        <v>0</v>
      </c>
      <c r="AB2268">
        <v>6</v>
      </c>
      <c r="AC2268">
        <v>0</v>
      </c>
      <c r="AD2268">
        <v>1</v>
      </c>
      <c r="AE2268">
        <v>0</v>
      </c>
      <c r="AF2268">
        <v>0</v>
      </c>
      <c r="AG2268">
        <v>4</v>
      </c>
      <c r="AH2268">
        <v>3</v>
      </c>
      <c r="AI2268">
        <v>0</v>
      </c>
      <c r="AJ2268">
        <v>0</v>
      </c>
      <c r="AK2268">
        <v>2</v>
      </c>
      <c r="AL2268">
        <v>1</v>
      </c>
      <c r="AM2268">
        <v>0</v>
      </c>
      <c r="AN2268">
        <v>2</v>
      </c>
      <c r="BC2268">
        <v>0</v>
      </c>
      <c r="BD2268">
        <v>28</v>
      </c>
      <c r="BE2268">
        <v>514</v>
      </c>
      <c r="BF2268">
        <v>514</v>
      </c>
      <c r="BG2268">
        <v>724</v>
      </c>
      <c r="BJ2268">
        <v>1</v>
      </c>
      <c r="BL2268" t="s">
        <v>4723</v>
      </c>
      <c r="BM2268" s="4">
        <v>43283.321527777778</v>
      </c>
      <c r="BN2268" s="4">
        <v>43283.346215277779</v>
      </c>
      <c r="BO2268" s="4">
        <v>43283.346215277779</v>
      </c>
      <c r="BP2268" t="s">
        <v>92</v>
      </c>
      <c r="BQ2268" t="s">
        <v>93</v>
      </c>
      <c r="BR2268" t="s">
        <v>94</v>
      </c>
    </row>
    <row r="2269" spans="1:70" x14ac:dyDescent="0.3">
      <c r="A2269" t="str">
        <f>"201529C0100"</f>
        <v>201529C0100</v>
      </c>
      <c r="B2269" t="s">
        <v>4724</v>
      </c>
      <c r="C2269">
        <v>20</v>
      </c>
      <c r="D2269" t="s">
        <v>88</v>
      </c>
      <c r="E2269">
        <v>322</v>
      </c>
      <c r="F2269" t="s">
        <v>4650</v>
      </c>
      <c r="G2269">
        <v>1529</v>
      </c>
      <c r="H2269">
        <v>1</v>
      </c>
      <c r="I2269" t="s">
        <v>98</v>
      </c>
      <c r="J2269">
        <v>0</v>
      </c>
      <c r="K2269">
        <v>2</v>
      </c>
      <c r="L2269">
        <v>5</v>
      </c>
      <c r="M2269" t="s">
        <v>127</v>
      </c>
      <c r="N2269">
        <v>509</v>
      </c>
      <c r="O2269" t="s">
        <v>105</v>
      </c>
      <c r="P2269">
        <v>13</v>
      </c>
      <c r="Q2269">
        <v>9</v>
      </c>
      <c r="R2269">
        <v>157</v>
      </c>
      <c r="S2269">
        <v>116</v>
      </c>
      <c r="T2269">
        <v>26</v>
      </c>
      <c r="U2269">
        <v>27</v>
      </c>
      <c r="V2269">
        <v>0</v>
      </c>
      <c r="W2269">
        <v>4</v>
      </c>
      <c r="X2269">
        <v>7</v>
      </c>
      <c r="Y2269">
        <v>108</v>
      </c>
      <c r="Z2269">
        <v>13</v>
      </c>
      <c r="AA2269">
        <v>0</v>
      </c>
      <c r="AB2269">
        <v>3</v>
      </c>
      <c r="AC2269">
        <v>3</v>
      </c>
      <c r="AD2269">
        <v>2</v>
      </c>
      <c r="AE2269">
        <v>0</v>
      </c>
      <c r="AF2269">
        <v>0</v>
      </c>
      <c r="AG2269">
        <v>3</v>
      </c>
      <c r="AH2269">
        <v>3</v>
      </c>
      <c r="AI2269">
        <v>0</v>
      </c>
      <c r="AJ2269">
        <v>0</v>
      </c>
      <c r="AK2269">
        <v>5</v>
      </c>
      <c r="AL2269">
        <v>0</v>
      </c>
      <c r="AM2269">
        <v>0</v>
      </c>
      <c r="AN2269">
        <v>2</v>
      </c>
      <c r="BC2269" t="s">
        <v>127</v>
      </c>
      <c r="BD2269">
        <v>21</v>
      </c>
      <c r="BE2269">
        <v>367</v>
      </c>
      <c r="BF2269">
        <v>509</v>
      </c>
      <c r="BG2269">
        <v>724</v>
      </c>
      <c r="BI2269" t="s">
        <v>106</v>
      </c>
      <c r="BJ2269">
        <v>1</v>
      </c>
      <c r="BL2269" t="s">
        <v>4725</v>
      </c>
      <c r="BM2269" s="4">
        <v>43283.320833333331</v>
      </c>
      <c r="BN2269" s="4">
        <v>43283.370972222219</v>
      </c>
      <c r="BO2269" s="4">
        <v>43283.370972222219</v>
      </c>
      <c r="BP2269" t="s">
        <v>92</v>
      </c>
      <c r="BQ2269" t="s">
        <v>93</v>
      </c>
      <c r="BR2269" t="s">
        <v>94</v>
      </c>
    </row>
    <row r="2270" spans="1:70" x14ac:dyDescent="0.3">
      <c r="A2270" t="str">
        <f>"201529C0200"</f>
        <v>201529C0200</v>
      </c>
      <c r="B2270" t="s">
        <v>4726</v>
      </c>
      <c r="C2270">
        <v>20</v>
      </c>
      <c r="D2270" t="s">
        <v>88</v>
      </c>
      <c r="E2270">
        <v>322</v>
      </c>
      <c r="F2270" t="s">
        <v>4650</v>
      </c>
      <c r="G2270">
        <v>1529</v>
      </c>
      <c r="H2270">
        <v>2</v>
      </c>
      <c r="I2270" t="s">
        <v>98</v>
      </c>
      <c r="J2270">
        <v>0</v>
      </c>
      <c r="K2270">
        <v>2</v>
      </c>
      <c r="L2270">
        <v>5</v>
      </c>
      <c r="M2270">
        <v>264</v>
      </c>
      <c r="N2270">
        <v>482</v>
      </c>
      <c r="O2270">
        <v>1</v>
      </c>
      <c r="P2270">
        <v>482</v>
      </c>
      <c r="Q2270">
        <v>14</v>
      </c>
      <c r="R2270">
        <v>110</v>
      </c>
      <c r="S2270">
        <v>99</v>
      </c>
      <c r="T2270">
        <v>40</v>
      </c>
      <c r="U2270">
        <v>27</v>
      </c>
      <c r="V2270">
        <v>4</v>
      </c>
      <c r="W2270">
        <v>2</v>
      </c>
      <c r="X2270">
        <v>3</v>
      </c>
      <c r="Y2270">
        <v>117</v>
      </c>
      <c r="Z2270">
        <v>4</v>
      </c>
      <c r="AA2270">
        <v>1</v>
      </c>
      <c r="AB2270">
        <v>7</v>
      </c>
      <c r="AC2270">
        <v>0</v>
      </c>
      <c r="AD2270">
        <v>2</v>
      </c>
      <c r="AE2270">
        <v>0</v>
      </c>
      <c r="AF2270">
        <v>0</v>
      </c>
      <c r="AG2270">
        <v>5</v>
      </c>
      <c r="AH2270">
        <v>4</v>
      </c>
      <c r="AI2270">
        <v>1</v>
      </c>
      <c r="AJ2270">
        <v>1</v>
      </c>
      <c r="AK2270">
        <v>2</v>
      </c>
      <c r="AL2270">
        <v>0</v>
      </c>
      <c r="AM2270">
        <v>0</v>
      </c>
      <c r="AN2270">
        <v>1</v>
      </c>
      <c r="BC2270">
        <v>0</v>
      </c>
      <c r="BD2270">
        <v>38</v>
      </c>
      <c r="BE2270">
        <v>482</v>
      </c>
      <c r="BF2270">
        <v>482</v>
      </c>
      <c r="BG2270">
        <v>724</v>
      </c>
      <c r="BJ2270">
        <v>1</v>
      </c>
      <c r="BL2270" t="s">
        <v>4727</v>
      </c>
      <c r="BM2270" s="4">
        <v>43283.322222222225</v>
      </c>
      <c r="BN2270" s="4">
        <v>43283.346365740741</v>
      </c>
      <c r="BO2270" s="4">
        <v>43283.346365740741</v>
      </c>
      <c r="BP2270" t="s">
        <v>92</v>
      </c>
      <c r="BQ2270" t="s">
        <v>93</v>
      </c>
      <c r="BR2270" t="s">
        <v>94</v>
      </c>
    </row>
    <row r="2271" spans="1:70" x14ac:dyDescent="0.3">
      <c r="A2271" t="str">
        <f>"201529E0100"</f>
        <v>201529E0100</v>
      </c>
      <c r="B2271" s="2" t="s">
        <v>4728</v>
      </c>
      <c r="C2271">
        <v>20</v>
      </c>
      <c r="D2271" t="s">
        <v>88</v>
      </c>
      <c r="E2271">
        <v>322</v>
      </c>
      <c r="F2271" t="s">
        <v>4650</v>
      </c>
      <c r="G2271">
        <v>1529</v>
      </c>
      <c r="H2271">
        <v>1</v>
      </c>
      <c r="I2271" t="s">
        <v>156</v>
      </c>
      <c r="J2271">
        <v>0</v>
      </c>
      <c r="K2271">
        <v>2</v>
      </c>
      <c r="L2271">
        <v>5</v>
      </c>
      <c r="M2271">
        <v>87</v>
      </c>
      <c r="N2271">
        <v>199</v>
      </c>
      <c r="O2271">
        <v>8</v>
      </c>
      <c r="P2271">
        <v>199</v>
      </c>
      <c r="Q2271">
        <v>1</v>
      </c>
      <c r="R2271">
        <v>65</v>
      </c>
      <c r="S2271">
        <v>21</v>
      </c>
      <c r="T2271">
        <v>33</v>
      </c>
      <c r="U2271">
        <v>17</v>
      </c>
      <c r="V2271">
        <v>0</v>
      </c>
      <c r="W2271">
        <v>1</v>
      </c>
      <c r="X2271">
        <v>3</v>
      </c>
      <c r="Y2271">
        <v>27</v>
      </c>
      <c r="Z2271">
        <v>5</v>
      </c>
      <c r="AA2271">
        <v>0</v>
      </c>
      <c r="AB2271">
        <v>0</v>
      </c>
      <c r="AC2271">
        <v>0</v>
      </c>
      <c r="AD2271">
        <v>1</v>
      </c>
      <c r="AE2271">
        <v>0</v>
      </c>
      <c r="AF2271">
        <v>0</v>
      </c>
      <c r="AG2271">
        <v>2</v>
      </c>
      <c r="AH2271">
        <v>2</v>
      </c>
      <c r="AI2271">
        <v>1</v>
      </c>
      <c r="AJ2271">
        <v>0</v>
      </c>
      <c r="AK2271">
        <v>3</v>
      </c>
      <c r="AL2271">
        <v>2</v>
      </c>
      <c r="AM2271">
        <v>0</v>
      </c>
      <c r="AN2271">
        <v>0</v>
      </c>
      <c r="BC2271">
        <v>0</v>
      </c>
      <c r="BD2271">
        <v>15</v>
      </c>
      <c r="BE2271">
        <v>199</v>
      </c>
      <c r="BF2271">
        <v>199</v>
      </c>
      <c r="BG2271">
        <v>264</v>
      </c>
      <c r="BJ2271">
        <v>1</v>
      </c>
      <c r="BL2271" t="s">
        <v>4729</v>
      </c>
      <c r="BM2271" s="4">
        <v>43283.318749999999</v>
      </c>
      <c r="BN2271" s="4">
        <v>43283.344814814816</v>
      </c>
      <c r="BO2271" s="4">
        <v>43283.344814814816</v>
      </c>
      <c r="BP2271" t="s">
        <v>92</v>
      </c>
      <c r="BQ2271" t="s">
        <v>93</v>
      </c>
      <c r="BR2271" t="s">
        <v>94</v>
      </c>
    </row>
    <row r="2272" spans="1:70" x14ac:dyDescent="0.3">
      <c r="A2272" t="str">
        <f>"201529E0200"</f>
        <v>201529E0200</v>
      </c>
      <c r="B2272" s="2" t="s">
        <v>4730</v>
      </c>
      <c r="C2272">
        <v>20</v>
      </c>
      <c r="D2272" t="s">
        <v>88</v>
      </c>
      <c r="E2272">
        <v>322</v>
      </c>
      <c r="F2272" t="s">
        <v>4650</v>
      </c>
      <c r="G2272">
        <v>1529</v>
      </c>
      <c r="H2272">
        <v>2</v>
      </c>
      <c r="I2272" t="s">
        <v>156</v>
      </c>
      <c r="J2272">
        <v>0</v>
      </c>
      <c r="K2272">
        <v>2</v>
      </c>
      <c r="L2272">
        <v>5</v>
      </c>
      <c r="M2272">
        <v>54</v>
      </c>
      <c r="N2272">
        <v>180</v>
      </c>
      <c r="O2272">
        <v>9</v>
      </c>
      <c r="P2272">
        <v>180</v>
      </c>
      <c r="Q2272">
        <v>2</v>
      </c>
      <c r="R2272">
        <v>34</v>
      </c>
      <c r="S2272">
        <v>70</v>
      </c>
      <c r="T2272">
        <v>10</v>
      </c>
      <c r="U2272">
        <v>13</v>
      </c>
      <c r="V2272">
        <v>2</v>
      </c>
      <c r="W2272">
        <v>2</v>
      </c>
      <c r="X2272">
        <v>3</v>
      </c>
      <c r="Y2272">
        <v>24</v>
      </c>
      <c r="Z2272">
        <v>4</v>
      </c>
      <c r="AA2272">
        <v>0</v>
      </c>
      <c r="AB2272">
        <v>0</v>
      </c>
      <c r="AC2272">
        <v>0</v>
      </c>
      <c r="AD2272">
        <v>0</v>
      </c>
      <c r="AE2272">
        <v>0</v>
      </c>
      <c r="AF2272">
        <v>1</v>
      </c>
      <c r="AG2272">
        <v>2</v>
      </c>
      <c r="AH2272">
        <v>0</v>
      </c>
      <c r="AI2272">
        <v>1</v>
      </c>
      <c r="AJ2272">
        <v>0</v>
      </c>
      <c r="AK2272">
        <v>2</v>
      </c>
      <c r="AL2272">
        <v>0</v>
      </c>
      <c r="AM2272">
        <v>0</v>
      </c>
      <c r="AN2272">
        <v>0</v>
      </c>
      <c r="BC2272">
        <v>0</v>
      </c>
      <c r="BD2272">
        <v>10</v>
      </c>
      <c r="BE2272">
        <v>180</v>
      </c>
      <c r="BF2272">
        <v>180</v>
      </c>
      <c r="BG2272">
        <v>212</v>
      </c>
      <c r="BJ2272">
        <v>1</v>
      </c>
      <c r="BL2272" t="s">
        <v>4731</v>
      </c>
      <c r="BM2272" s="4">
        <v>43283.329861111109</v>
      </c>
      <c r="BN2272" s="4">
        <v>43283.36451388889</v>
      </c>
      <c r="BO2272" s="4">
        <v>43283.36451388889</v>
      </c>
      <c r="BP2272" t="s">
        <v>92</v>
      </c>
      <c r="BQ2272" t="s">
        <v>93</v>
      </c>
      <c r="BR2272" t="s">
        <v>94</v>
      </c>
    </row>
    <row r="2273" spans="1:70" x14ac:dyDescent="0.3">
      <c r="A2273" t="str">
        <f>"201530B0100"</f>
        <v>201530B0100</v>
      </c>
      <c r="B2273" t="s">
        <v>4732</v>
      </c>
      <c r="C2273">
        <v>20</v>
      </c>
      <c r="D2273" t="s">
        <v>88</v>
      </c>
      <c r="E2273">
        <v>322</v>
      </c>
      <c r="F2273" t="s">
        <v>4650</v>
      </c>
      <c r="G2273">
        <v>1530</v>
      </c>
      <c r="H2273">
        <v>1</v>
      </c>
      <c r="I2273" t="s">
        <v>90</v>
      </c>
      <c r="J2273">
        <v>0</v>
      </c>
      <c r="K2273">
        <v>2</v>
      </c>
      <c r="L2273">
        <v>5</v>
      </c>
      <c r="M2273">
        <v>184</v>
      </c>
      <c r="N2273">
        <v>342</v>
      </c>
      <c r="O2273">
        <v>3</v>
      </c>
      <c r="P2273">
        <v>342</v>
      </c>
      <c r="Q2273">
        <v>8</v>
      </c>
      <c r="R2273">
        <v>58</v>
      </c>
      <c r="S2273">
        <v>88</v>
      </c>
      <c r="T2273">
        <v>38</v>
      </c>
      <c r="U2273">
        <v>25</v>
      </c>
      <c r="V2273">
        <v>3</v>
      </c>
      <c r="W2273">
        <v>2</v>
      </c>
      <c r="X2273">
        <v>4</v>
      </c>
      <c r="Y2273">
        <v>73</v>
      </c>
      <c r="Z2273">
        <v>8</v>
      </c>
      <c r="AA2273">
        <v>0</v>
      </c>
      <c r="AB2273">
        <v>7</v>
      </c>
      <c r="AC2273">
        <v>0</v>
      </c>
      <c r="AD2273">
        <v>0</v>
      </c>
      <c r="AE2273">
        <v>0</v>
      </c>
      <c r="AF2273">
        <v>1</v>
      </c>
      <c r="AG2273">
        <v>2</v>
      </c>
      <c r="AH2273">
        <v>2</v>
      </c>
      <c r="AI2273">
        <v>1</v>
      </c>
      <c r="AJ2273">
        <v>1</v>
      </c>
      <c r="AK2273">
        <v>3</v>
      </c>
      <c r="AL2273">
        <v>1</v>
      </c>
      <c r="AM2273">
        <v>0</v>
      </c>
      <c r="AN2273">
        <v>1</v>
      </c>
      <c r="BC2273" t="s">
        <v>105</v>
      </c>
      <c r="BD2273">
        <v>16</v>
      </c>
      <c r="BE2273">
        <v>342</v>
      </c>
      <c r="BF2273">
        <v>342</v>
      </c>
      <c r="BG2273">
        <v>504</v>
      </c>
      <c r="BI2273" t="s">
        <v>106</v>
      </c>
      <c r="BJ2273">
        <v>1</v>
      </c>
      <c r="BL2273" t="s">
        <v>4733</v>
      </c>
      <c r="BM2273" s="4">
        <v>43283.339583333334</v>
      </c>
      <c r="BN2273" s="4">
        <v>43283.362129629626</v>
      </c>
      <c r="BO2273" s="4">
        <v>43283.362129629626</v>
      </c>
      <c r="BP2273" t="s">
        <v>92</v>
      </c>
      <c r="BQ2273" t="s">
        <v>93</v>
      </c>
      <c r="BR2273" t="s">
        <v>94</v>
      </c>
    </row>
    <row r="2274" spans="1:70" x14ac:dyDescent="0.3">
      <c r="A2274" t="str">
        <f>"201530C0100"</f>
        <v>201530C0100</v>
      </c>
      <c r="B2274" t="s">
        <v>4734</v>
      </c>
      <c r="C2274">
        <v>20</v>
      </c>
      <c r="D2274" t="s">
        <v>88</v>
      </c>
      <c r="E2274">
        <v>322</v>
      </c>
      <c r="F2274" t="s">
        <v>4650</v>
      </c>
      <c r="G2274">
        <v>1530</v>
      </c>
      <c r="H2274">
        <v>1</v>
      </c>
      <c r="I2274" t="s">
        <v>98</v>
      </c>
      <c r="J2274">
        <v>0</v>
      </c>
      <c r="K2274">
        <v>2</v>
      </c>
      <c r="L2274">
        <v>5</v>
      </c>
      <c r="M2274">
        <v>166</v>
      </c>
      <c r="N2274">
        <v>360</v>
      </c>
      <c r="O2274">
        <v>3</v>
      </c>
      <c r="P2274">
        <v>360</v>
      </c>
      <c r="Q2274">
        <v>10</v>
      </c>
      <c r="R2274">
        <v>72</v>
      </c>
      <c r="S2274">
        <v>89</v>
      </c>
      <c r="T2274">
        <v>35</v>
      </c>
      <c r="U2274">
        <v>24</v>
      </c>
      <c r="V2274">
        <v>1</v>
      </c>
      <c r="W2274">
        <v>2</v>
      </c>
      <c r="X2274">
        <v>8</v>
      </c>
      <c r="Y2274">
        <v>76</v>
      </c>
      <c r="Z2274">
        <v>10</v>
      </c>
      <c r="AA2274">
        <v>0</v>
      </c>
      <c r="AB2274">
        <v>10</v>
      </c>
      <c r="AC2274">
        <v>0</v>
      </c>
      <c r="AD2274">
        <v>1</v>
      </c>
      <c r="AE2274">
        <v>0</v>
      </c>
      <c r="AF2274">
        <v>1</v>
      </c>
      <c r="AG2274">
        <v>1</v>
      </c>
      <c r="AH2274">
        <v>1</v>
      </c>
      <c r="AI2274">
        <v>0</v>
      </c>
      <c r="AJ2274">
        <v>1</v>
      </c>
      <c r="AK2274">
        <v>2</v>
      </c>
      <c r="AL2274">
        <v>1</v>
      </c>
      <c r="AM2274">
        <v>0</v>
      </c>
      <c r="AN2274">
        <v>1</v>
      </c>
      <c r="BC2274">
        <v>0</v>
      </c>
      <c r="BD2274">
        <v>14</v>
      </c>
      <c r="BE2274">
        <v>360</v>
      </c>
      <c r="BF2274">
        <v>360</v>
      </c>
      <c r="BG2274">
        <v>504</v>
      </c>
      <c r="BJ2274">
        <v>1</v>
      </c>
      <c r="BL2274" s="2" t="s">
        <v>4735</v>
      </c>
      <c r="BM2274" s="4">
        <v>43283.34097222222</v>
      </c>
      <c r="BN2274" s="4">
        <v>43283.359363425923</v>
      </c>
      <c r="BO2274" s="4">
        <v>43283.359363425923</v>
      </c>
      <c r="BP2274" t="s">
        <v>92</v>
      </c>
      <c r="BQ2274" t="s">
        <v>93</v>
      </c>
      <c r="BR2274" t="s">
        <v>94</v>
      </c>
    </row>
    <row r="2275" spans="1:70" x14ac:dyDescent="0.3">
      <c r="A2275" t="str">
        <f>"201530C0200"</f>
        <v>201530C0200</v>
      </c>
      <c r="B2275" t="s">
        <v>4736</v>
      </c>
      <c r="C2275">
        <v>20</v>
      </c>
      <c r="D2275" t="s">
        <v>88</v>
      </c>
      <c r="E2275">
        <v>322</v>
      </c>
      <c r="F2275" t="s">
        <v>4650</v>
      </c>
      <c r="G2275">
        <v>1530</v>
      </c>
      <c r="H2275">
        <v>2</v>
      </c>
      <c r="I2275" t="s">
        <v>98</v>
      </c>
      <c r="J2275">
        <v>0</v>
      </c>
      <c r="K2275">
        <v>2</v>
      </c>
      <c r="L2275">
        <v>5</v>
      </c>
      <c r="M2275">
        <v>173</v>
      </c>
      <c r="N2275">
        <v>353</v>
      </c>
      <c r="O2275">
        <v>4</v>
      </c>
      <c r="P2275">
        <v>353</v>
      </c>
      <c r="Q2275">
        <v>9</v>
      </c>
      <c r="R2275">
        <v>56</v>
      </c>
      <c r="S2275">
        <v>115</v>
      </c>
      <c r="T2275">
        <v>27</v>
      </c>
      <c r="U2275">
        <v>22</v>
      </c>
      <c r="V2275">
        <v>2</v>
      </c>
      <c r="W2275">
        <v>0</v>
      </c>
      <c r="X2275">
        <v>8</v>
      </c>
      <c r="Y2275">
        <v>47</v>
      </c>
      <c r="Z2275">
        <v>5</v>
      </c>
      <c r="AA2275">
        <v>0</v>
      </c>
      <c r="AB2275">
        <v>9</v>
      </c>
      <c r="AC2275">
        <v>2</v>
      </c>
      <c r="AD2275">
        <v>2</v>
      </c>
      <c r="AE2275">
        <v>0</v>
      </c>
      <c r="AF2275">
        <v>0</v>
      </c>
      <c r="AG2275">
        <v>0</v>
      </c>
      <c r="AH2275">
        <v>2</v>
      </c>
      <c r="AI2275">
        <v>0</v>
      </c>
      <c r="AJ2275">
        <v>0</v>
      </c>
      <c r="AK2275">
        <v>0</v>
      </c>
      <c r="AL2275">
        <v>0</v>
      </c>
      <c r="AM2275">
        <v>6</v>
      </c>
      <c r="AN2275">
        <v>1</v>
      </c>
      <c r="BC2275">
        <v>0</v>
      </c>
      <c r="BD2275">
        <v>40</v>
      </c>
      <c r="BE2275">
        <v>353</v>
      </c>
      <c r="BF2275">
        <v>353</v>
      </c>
      <c r="BG2275">
        <v>503</v>
      </c>
      <c r="BJ2275">
        <v>1</v>
      </c>
      <c r="BL2275" t="s">
        <v>4737</v>
      </c>
      <c r="BM2275" s="4">
        <v>43283.339583333334</v>
      </c>
      <c r="BN2275" s="4">
        <v>43283.364884259259</v>
      </c>
      <c r="BO2275" s="4">
        <v>43283.364884259259</v>
      </c>
      <c r="BP2275" t="s">
        <v>92</v>
      </c>
      <c r="BQ2275" t="s">
        <v>93</v>
      </c>
      <c r="BR2275" t="s">
        <v>94</v>
      </c>
    </row>
    <row r="2276" spans="1:70" x14ac:dyDescent="0.3">
      <c r="A2276" t="str">
        <f>"201531B0100"</f>
        <v>201531B0100</v>
      </c>
      <c r="B2276" t="s">
        <v>4738</v>
      </c>
      <c r="C2276">
        <v>20</v>
      </c>
      <c r="D2276" t="s">
        <v>88</v>
      </c>
      <c r="E2276">
        <v>322</v>
      </c>
      <c r="F2276" t="s">
        <v>4650</v>
      </c>
      <c r="G2276">
        <v>1531</v>
      </c>
      <c r="H2276">
        <v>1</v>
      </c>
      <c r="I2276" t="s">
        <v>90</v>
      </c>
      <c r="J2276">
        <v>0</v>
      </c>
      <c r="K2276">
        <v>2</v>
      </c>
      <c r="L2276">
        <v>5</v>
      </c>
      <c r="BG2276">
        <v>561</v>
      </c>
      <c r="BI2276" t="s">
        <v>365</v>
      </c>
      <c r="BJ2276">
        <v>0</v>
      </c>
      <c r="BL2276" t="s">
        <v>4739</v>
      </c>
      <c r="BM2276" s="4">
        <v>43283.625694444447</v>
      </c>
      <c r="BN2276" s="4">
        <v>43283.629259259258</v>
      </c>
      <c r="BO2276" s="4">
        <v>43283.629259259258</v>
      </c>
      <c r="BP2276" t="s">
        <v>92</v>
      </c>
      <c r="BQ2276" t="s">
        <v>93</v>
      </c>
      <c r="BR2276" t="s">
        <v>94</v>
      </c>
    </row>
    <row r="2277" spans="1:70" x14ac:dyDescent="0.3">
      <c r="A2277" t="str">
        <f>"201531C0100"</f>
        <v>201531C0100</v>
      </c>
      <c r="B2277" t="s">
        <v>4740</v>
      </c>
      <c r="C2277">
        <v>20</v>
      </c>
      <c r="D2277" t="s">
        <v>88</v>
      </c>
      <c r="E2277">
        <v>322</v>
      </c>
      <c r="F2277" t="s">
        <v>4650</v>
      </c>
      <c r="G2277">
        <v>1531</v>
      </c>
      <c r="H2277">
        <v>1</v>
      </c>
      <c r="I2277" t="s">
        <v>98</v>
      </c>
      <c r="J2277">
        <v>0</v>
      </c>
      <c r="K2277">
        <v>2</v>
      </c>
      <c r="L2277">
        <v>5</v>
      </c>
      <c r="M2277">
        <v>166</v>
      </c>
      <c r="N2277">
        <v>417</v>
      </c>
      <c r="O2277">
        <v>1</v>
      </c>
      <c r="P2277">
        <v>417</v>
      </c>
      <c r="Q2277">
        <v>14</v>
      </c>
      <c r="R2277">
        <v>100</v>
      </c>
      <c r="S2277">
        <v>87</v>
      </c>
      <c r="T2277">
        <v>56</v>
      </c>
      <c r="U2277">
        <v>36</v>
      </c>
      <c r="V2277">
        <v>4</v>
      </c>
      <c r="W2277">
        <v>0</v>
      </c>
      <c r="X2277">
        <v>2</v>
      </c>
      <c r="Y2277">
        <v>78</v>
      </c>
      <c r="Z2277">
        <v>8</v>
      </c>
      <c r="AA2277">
        <v>0</v>
      </c>
      <c r="AB2277">
        <v>0</v>
      </c>
      <c r="AC2277">
        <v>0</v>
      </c>
      <c r="AD2277">
        <v>1</v>
      </c>
      <c r="AE2277">
        <v>0</v>
      </c>
      <c r="AF2277">
        <v>0</v>
      </c>
      <c r="AG2277">
        <v>3</v>
      </c>
      <c r="AH2277">
        <v>2</v>
      </c>
      <c r="AI2277">
        <v>1</v>
      </c>
      <c r="AJ2277">
        <v>0</v>
      </c>
      <c r="AK2277">
        <v>1</v>
      </c>
      <c r="AL2277">
        <v>2</v>
      </c>
      <c r="AM2277">
        <v>0</v>
      </c>
      <c r="AN2277">
        <v>0</v>
      </c>
      <c r="BC2277" t="s">
        <v>105</v>
      </c>
      <c r="BD2277">
        <v>22</v>
      </c>
      <c r="BE2277">
        <v>417</v>
      </c>
      <c r="BF2277">
        <v>417</v>
      </c>
      <c r="BG2277">
        <v>561</v>
      </c>
      <c r="BI2277" t="s">
        <v>106</v>
      </c>
      <c r="BJ2277">
        <v>1</v>
      </c>
      <c r="BL2277" t="s">
        <v>4741</v>
      </c>
      <c r="BM2277" s="4">
        <v>43283.331250000003</v>
      </c>
      <c r="BN2277" s="4">
        <v>43283.364363425928</v>
      </c>
      <c r="BO2277" s="4">
        <v>43283.364363425928</v>
      </c>
      <c r="BP2277" t="s">
        <v>92</v>
      </c>
      <c r="BQ2277" t="s">
        <v>93</v>
      </c>
      <c r="BR2277" t="s">
        <v>94</v>
      </c>
    </row>
    <row r="2278" spans="1:70" x14ac:dyDescent="0.3">
      <c r="A2278" t="str">
        <f>"201531C0200"</f>
        <v>201531C0200</v>
      </c>
      <c r="B2278" t="s">
        <v>4742</v>
      </c>
      <c r="C2278">
        <v>20</v>
      </c>
      <c r="D2278" t="s">
        <v>88</v>
      </c>
      <c r="E2278">
        <v>322</v>
      </c>
      <c r="F2278" t="s">
        <v>4650</v>
      </c>
      <c r="G2278">
        <v>1531</v>
      </c>
      <c r="H2278">
        <v>2</v>
      </c>
      <c r="I2278" t="s">
        <v>98</v>
      </c>
      <c r="J2278">
        <v>0</v>
      </c>
      <c r="K2278">
        <v>2</v>
      </c>
      <c r="L2278">
        <v>5</v>
      </c>
      <c r="M2278">
        <v>187</v>
      </c>
      <c r="N2278">
        <v>403</v>
      </c>
      <c r="O2278">
        <v>1</v>
      </c>
      <c r="P2278">
        <v>403</v>
      </c>
      <c r="Q2278">
        <v>12</v>
      </c>
      <c r="R2278">
        <v>102</v>
      </c>
      <c r="S2278">
        <v>61</v>
      </c>
      <c r="T2278">
        <v>51</v>
      </c>
      <c r="U2278">
        <v>35</v>
      </c>
      <c r="V2278">
        <v>7</v>
      </c>
      <c r="W2278">
        <v>0</v>
      </c>
      <c r="X2278">
        <v>5</v>
      </c>
      <c r="Y2278">
        <v>98</v>
      </c>
      <c r="Z2278">
        <v>7</v>
      </c>
      <c r="AA2278">
        <v>0</v>
      </c>
      <c r="AB2278">
        <v>1</v>
      </c>
      <c r="AC2278">
        <v>0</v>
      </c>
      <c r="AD2278">
        <v>1</v>
      </c>
      <c r="AE2278">
        <v>0</v>
      </c>
      <c r="AF2278">
        <v>0</v>
      </c>
      <c r="AG2278">
        <v>0</v>
      </c>
      <c r="AH2278">
        <v>3</v>
      </c>
      <c r="AI2278">
        <v>0</v>
      </c>
      <c r="AJ2278">
        <v>0</v>
      </c>
      <c r="AK2278">
        <v>1</v>
      </c>
      <c r="AL2278">
        <v>1</v>
      </c>
      <c r="AM2278">
        <v>1</v>
      </c>
      <c r="AN2278">
        <v>0</v>
      </c>
      <c r="BC2278">
        <v>0</v>
      </c>
      <c r="BD2278">
        <v>17</v>
      </c>
      <c r="BE2278">
        <v>403</v>
      </c>
      <c r="BF2278">
        <v>403</v>
      </c>
      <c r="BG2278">
        <v>561</v>
      </c>
      <c r="BJ2278">
        <v>1</v>
      </c>
      <c r="BL2278" t="s">
        <v>4743</v>
      </c>
      <c r="BM2278" s="4">
        <v>43283.329861111109</v>
      </c>
      <c r="BN2278" s="4">
        <v>43283.354710648149</v>
      </c>
      <c r="BO2278" s="4">
        <v>43283.354710648149</v>
      </c>
      <c r="BP2278" t="s">
        <v>92</v>
      </c>
      <c r="BQ2278" t="s">
        <v>93</v>
      </c>
      <c r="BR2278" t="s">
        <v>94</v>
      </c>
    </row>
    <row r="2279" spans="1:70" x14ac:dyDescent="0.3">
      <c r="A2279" t="str">
        <f>"201532B0100"</f>
        <v>201532B0100</v>
      </c>
      <c r="B2279" t="s">
        <v>4744</v>
      </c>
      <c r="C2279">
        <v>20</v>
      </c>
      <c r="D2279" t="s">
        <v>88</v>
      </c>
      <c r="E2279">
        <v>322</v>
      </c>
      <c r="F2279" t="s">
        <v>4650</v>
      </c>
      <c r="G2279">
        <v>1532</v>
      </c>
      <c r="H2279">
        <v>1</v>
      </c>
      <c r="I2279" t="s">
        <v>90</v>
      </c>
      <c r="J2279">
        <v>0</v>
      </c>
      <c r="K2279">
        <v>2</v>
      </c>
      <c r="L2279">
        <v>5</v>
      </c>
      <c r="M2279">
        <v>252</v>
      </c>
      <c r="N2279">
        <v>397</v>
      </c>
      <c r="O2279">
        <v>2</v>
      </c>
      <c r="P2279">
        <v>397</v>
      </c>
      <c r="Q2279">
        <v>1</v>
      </c>
      <c r="R2279">
        <v>128</v>
      </c>
      <c r="S2279">
        <v>76</v>
      </c>
      <c r="T2279">
        <v>32</v>
      </c>
      <c r="U2279">
        <v>18</v>
      </c>
      <c r="V2279">
        <v>3</v>
      </c>
      <c r="W2279">
        <v>5</v>
      </c>
      <c r="X2279">
        <v>8</v>
      </c>
      <c r="Y2279">
        <v>87</v>
      </c>
      <c r="Z2279">
        <v>5</v>
      </c>
      <c r="AA2279">
        <v>0</v>
      </c>
      <c r="AB2279">
        <v>2</v>
      </c>
      <c r="AC2279">
        <v>0</v>
      </c>
      <c r="AD2279">
        <v>0</v>
      </c>
      <c r="AE2279">
        <v>0</v>
      </c>
      <c r="AF2279">
        <v>0</v>
      </c>
      <c r="AG2279">
        <v>1</v>
      </c>
      <c r="AH2279">
        <v>4</v>
      </c>
      <c r="AI2279">
        <v>0</v>
      </c>
      <c r="AJ2279">
        <v>0</v>
      </c>
      <c r="AK2279">
        <v>2</v>
      </c>
      <c r="AL2279">
        <v>0</v>
      </c>
      <c r="AM2279">
        <v>1</v>
      </c>
      <c r="AN2279">
        <v>0</v>
      </c>
      <c r="BC2279">
        <v>0</v>
      </c>
      <c r="BD2279">
        <v>24</v>
      </c>
      <c r="BE2279">
        <v>397</v>
      </c>
      <c r="BF2279">
        <v>397</v>
      </c>
      <c r="BG2279">
        <v>627</v>
      </c>
      <c r="BJ2279">
        <v>1</v>
      </c>
      <c r="BL2279" t="s">
        <v>4745</v>
      </c>
      <c r="BM2279" s="4">
        <v>43283.342361111114</v>
      </c>
      <c r="BN2279" s="4">
        <v>43283.371539351851</v>
      </c>
      <c r="BO2279" s="4">
        <v>43283.371539351851</v>
      </c>
      <c r="BP2279" t="s">
        <v>92</v>
      </c>
      <c r="BQ2279" t="s">
        <v>93</v>
      </c>
      <c r="BR2279" t="s">
        <v>94</v>
      </c>
    </row>
    <row r="2280" spans="1:70" x14ac:dyDescent="0.3">
      <c r="A2280" t="str">
        <f>"201532E0100"</f>
        <v>201532E0100</v>
      </c>
      <c r="B2280" s="2" t="s">
        <v>4746</v>
      </c>
      <c r="C2280">
        <v>20</v>
      </c>
      <c r="D2280" t="s">
        <v>88</v>
      </c>
      <c r="E2280">
        <v>322</v>
      </c>
      <c r="F2280" t="s">
        <v>4650</v>
      </c>
      <c r="G2280">
        <v>1532</v>
      </c>
      <c r="H2280">
        <v>1</v>
      </c>
      <c r="I2280" t="s">
        <v>156</v>
      </c>
      <c r="J2280">
        <v>0</v>
      </c>
      <c r="K2280">
        <v>2</v>
      </c>
      <c r="L2280">
        <v>5</v>
      </c>
      <c r="M2280">
        <v>227</v>
      </c>
      <c r="N2280">
        <v>446</v>
      </c>
      <c r="O2280">
        <v>7</v>
      </c>
      <c r="P2280">
        <v>446</v>
      </c>
      <c r="Q2280">
        <v>11</v>
      </c>
      <c r="R2280">
        <v>52</v>
      </c>
      <c r="S2280">
        <v>120</v>
      </c>
      <c r="T2280">
        <v>36</v>
      </c>
      <c r="U2280">
        <v>40</v>
      </c>
      <c r="V2280">
        <v>6</v>
      </c>
      <c r="W2280">
        <v>6</v>
      </c>
      <c r="X2280">
        <v>5</v>
      </c>
      <c r="Y2280">
        <v>107</v>
      </c>
      <c r="Z2280">
        <v>6</v>
      </c>
      <c r="AA2280">
        <v>3</v>
      </c>
      <c r="AB2280">
        <v>2</v>
      </c>
      <c r="AC2280">
        <v>0</v>
      </c>
      <c r="AD2280">
        <v>3</v>
      </c>
      <c r="AE2280">
        <v>0</v>
      </c>
      <c r="AF2280">
        <v>3</v>
      </c>
      <c r="AG2280">
        <v>1</v>
      </c>
      <c r="AH2280">
        <v>4</v>
      </c>
      <c r="AI2280">
        <v>0</v>
      </c>
      <c r="AJ2280">
        <v>0</v>
      </c>
      <c r="AK2280">
        <v>9</v>
      </c>
      <c r="AL2280">
        <v>1</v>
      </c>
      <c r="AM2280">
        <v>0</v>
      </c>
      <c r="AN2280">
        <v>3</v>
      </c>
      <c r="BC2280">
        <v>0</v>
      </c>
      <c r="BD2280">
        <v>28</v>
      </c>
      <c r="BE2280">
        <v>446</v>
      </c>
      <c r="BF2280">
        <v>446</v>
      </c>
      <c r="BG2280">
        <v>651</v>
      </c>
      <c r="BJ2280">
        <v>1</v>
      </c>
      <c r="BL2280" t="s">
        <v>4747</v>
      </c>
      <c r="BM2280" s="4">
        <v>43283.341666666667</v>
      </c>
      <c r="BN2280" s="4">
        <v>43283.361666666664</v>
      </c>
      <c r="BO2280" s="4">
        <v>43283.361666666664</v>
      </c>
      <c r="BP2280" t="s">
        <v>92</v>
      </c>
      <c r="BQ2280" t="s">
        <v>93</v>
      </c>
      <c r="BR2280" t="s">
        <v>94</v>
      </c>
    </row>
    <row r="2281" spans="1:70" x14ac:dyDescent="0.3">
      <c r="A2281" t="str">
        <f>"201533B0100"</f>
        <v>201533B0100</v>
      </c>
      <c r="B2281" t="s">
        <v>4748</v>
      </c>
      <c r="C2281">
        <v>20</v>
      </c>
      <c r="D2281" t="s">
        <v>88</v>
      </c>
      <c r="E2281">
        <v>322</v>
      </c>
      <c r="F2281" t="s">
        <v>4650</v>
      </c>
      <c r="G2281">
        <v>1533</v>
      </c>
      <c r="H2281">
        <v>1</v>
      </c>
      <c r="I2281" t="s">
        <v>90</v>
      </c>
      <c r="J2281">
        <v>0</v>
      </c>
      <c r="K2281">
        <v>2</v>
      </c>
      <c r="L2281">
        <v>5</v>
      </c>
      <c r="M2281">
        <v>249</v>
      </c>
      <c r="N2281">
        <v>475</v>
      </c>
      <c r="O2281">
        <v>3</v>
      </c>
      <c r="P2281">
        <v>475</v>
      </c>
      <c r="Q2281">
        <v>5</v>
      </c>
      <c r="R2281">
        <v>81</v>
      </c>
      <c r="S2281">
        <v>64</v>
      </c>
      <c r="T2281">
        <v>10</v>
      </c>
      <c r="U2281">
        <v>26</v>
      </c>
      <c r="V2281">
        <v>5</v>
      </c>
      <c r="W2281">
        <v>9</v>
      </c>
      <c r="X2281">
        <v>8</v>
      </c>
      <c r="Y2281">
        <v>232</v>
      </c>
      <c r="Z2281">
        <v>7</v>
      </c>
      <c r="AA2281">
        <v>0</v>
      </c>
      <c r="AB2281">
        <v>1</v>
      </c>
      <c r="AC2281">
        <v>1</v>
      </c>
      <c r="AD2281">
        <v>0</v>
      </c>
      <c r="AE2281">
        <v>0</v>
      </c>
      <c r="AF2281">
        <v>0</v>
      </c>
      <c r="AG2281">
        <v>2</v>
      </c>
      <c r="AH2281">
        <v>0</v>
      </c>
      <c r="AI2281">
        <v>3</v>
      </c>
      <c r="AJ2281">
        <v>0</v>
      </c>
      <c r="AK2281">
        <v>11</v>
      </c>
      <c r="AL2281">
        <v>4</v>
      </c>
      <c r="AM2281">
        <v>0</v>
      </c>
      <c r="AN2281">
        <v>0</v>
      </c>
      <c r="BC2281">
        <v>0</v>
      </c>
      <c r="BD2281">
        <v>6</v>
      </c>
      <c r="BE2281">
        <v>475</v>
      </c>
      <c r="BF2281">
        <v>475</v>
      </c>
      <c r="BG2281">
        <v>708</v>
      </c>
      <c r="BJ2281">
        <v>1</v>
      </c>
      <c r="BL2281" t="s">
        <v>4749</v>
      </c>
      <c r="BM2281" s="4">
        <v>43283.352777777778</v>
      </c>
      <c r="BN2281" s="4">
        <v>43283.36755787037</v>
      </c>
      <c r="BO2281" s="4">
        <v>43283.36755787037</v>
      </c>
      <c r="BP2281" t="s">
        <v>92</v>
      </c>
      <c r="BQ2281" t="s">
        <v>93</v>
      </c>
      <c r="BR2281" t="s">
        <v>94</v>
      </c>
    </row>
    <row r="2282" spans="1:70" x14ac:dyDescent="0.3">
      <c r="A2282" t="str">
        <f>"201533C0100"</f>
        <v>201533C0100</v>
      </c>
      <c r="B2282" t="s">
        <v>4750</v>
      </c>
      <c r="C2282">
        <v>20</v>
      </c>
      <c r="D2282" t="s">
        <v>88</v>
      </c>
      <c r="E2282">
        <v>322</v>
      </c>
      <c r="F2282" t="s">
        <v>4650</v>
      </c>
      <c r="G2282">
        <v>1533</v>
      </c>
      <c r="H2282">
        <v>1</v>
      </c>
      <c r="I2282" t="s">
        <v>98</v>
      </c>
      <c r="J2282">
        <v>0</v>
      </c>
      <c r="K2282">
        <v>2</v>
      </c>
      <c r="L2282">
        <v>5</v>
      </c>
      <c r="M2282">
        <v>249</v>
      </c>
      <c r="N2282">
        <v>480</v>
      </c>
      <c r="O2282">
        <v>1</v>
      </c>
      <c r="P2282">
        <v>480</v>
      </c>
      <c r="Q2282">
        <v>26</v>
      </c>
      <c r="R2282">
        <v>54</v>
      </c>
      <c r="S2282">
        <v>40</v>
      </c>
      <c r="T2282">
        <v>14</v>
      </c>
      <c r="U2282">
        <v>17</v>
      </c>
      <c r="V2282">
        <v>5</v>
      </c>
      <c r="W2282">
        <v>7</v>
      </c>
      <c r="X2282">
        <v>6</v>
      </c>
      <c r="Y2282">
        <v>255</v>
      </c>
      <c r="Z2282">
        <v>12</v>
      </c>
      <c r="AA2282">
        <v>1</v>
      </c>
      <c r="AB2282">
        <v>3</v>
      </c>
      <c r="AC2282">
        <v>2</v>
      </c>
      <c r="AD2282">
        <v>0</v>
      </c>
      <c r="AE2282">
        <v>0</v>
      </c>
      <c r="AF2282">
        <v>0</v>
      </c>
      <c r="AG2282">
        <v>9</v>
      </c>
      <c r="AH2282">
        <v>0</v>
      </c>
      <c r="AI2282">
        <v>1</v>
      </c>
      <c r="AJ2282">
        <v>0</v>
      </c>
      <c r="AK2282">
        <v>10</v>
      </c>
      <c r="AL2282">
        <v>4</v>
      </c>
      <c r="AM2282">
        <v>0</v>
      </c>
      <c r="AN2282">
        <v>4</v>
      </c>
      <c r="BC2282">
        <v>0</v>
      </c>
      <c r="BD2282">
        <v>10</v>
      </c>
      <c r="BE2282">
        <v>480</v>
      </c>
      <c r="BF2282">
        <v>480</v>
      </c>
      <c r="BG2282">
        <v>708</v>
      </c>
      <c r="BJ2282">
        <v>1</v>
      </c>
      <c r="BL2282" t="s">
        <v>4751</v>
      </c>
      <c r="BM2282" s="4">
        <v>43283.352777777778</v>
      </c>
      <c r="BN2282" s="4">
        <v>43283.36859953704</v>
      </c>
      <c r="BO2282" s="4">
        <v>43283.36859953704</v>
      </c>
      <c r="BP2282" t="s">
        <v>92</v>
      </c>
      <c r="BQ2282" t="s">
        <v>93</v>
      </c>
      <c r="BR2282" t="s">
        <v>94</v>
      </c>
    </row>
    <row r="2283" spans="1:70" x14ac:dyDescent="0.3">
      <c r="A2283" t="str">
        <f>"201533C0200"</f>
        <v>201533C0200</v>
      </c>
      <c r="B2283" t="s">
        <v>4752</v>
      </c>
      <c r="C2283">
        <v>20</v>
      </c>
      <c r="D2283" t="s">
        <v>88</v>
      </c>
      <c r="E2283">
        <v>322</v>
      </c>
      <c r="F2283" t="s">
        <v>4650</v>
      </c>
      <c r="G2283">
        <v>1533</v>
      </c>
      <c r="H2283">
        <v>2</v>
      </c>
      <c r="I2283" t="s">
        <v>98</v>
      </c>
      <c r="J2283">
        <v>0</v>
      </c>
      <c r="K2283">
        <v>2</v>
      </c>
      <c r="L2283">
        <v>5</v>
      </c>
      <c r="M2283">
        <v>261</v>
      </c>
      <c r="N2283">
        <v>468</v>
      </c>
      <c r="O2283">
        <v>4</v>
      </c>
      <c r="P2283">
        <v>468</v>
      </c>
      <c r="Q2283">
        <v>3</v>
      </c>
      <c r="R2283">
        <v>66</v>
      </c>
      <c r="S2283">
        <v>53</v>
      </c>
      <c r="T2283">
        <v>0</v>
      </c>
      <c r="U2283">
        <v>21</v>
      </c>
      <c r="V2283">
        <v>5</v>
      </c>
      <c r="W2283">
        <v>7</v>
      </c>
      <c r="X2283">
        <v>5</v>
      </c>
      <c r="Y2283">
        <v>261</v>
      </c>
      <c r="Z2283">
        <v>10</v>
      </c>
      <c r="AA2283">
        <v>0</v>
      </c>
      <c r="AB2283">
        <v>2</v>
      </c>
      <c r="AC2283">
        <v>2</v>
      </c>
      <c r="AD2283">
        <v>0</v>
      </c>
      <c r="AE2283">
        <v>0</v>
      </c>
      <c r="AF2283">
        <v>0</v>
      </c>
      <c r="AG2283">
        <v>1</v>
      </c>
      <c r="AH2283">
        <v>0</v>
      </c>
      <c r="AI2283">
        <v>1</v>
      </c>
      <c r="AJ2283">
        <v>0</v>
      </c>
      <c r="AK2283">
        <v>6</v>
      </c>
      <c r="AL2283">
        <v>4</v>
      </c>
      <c r="AM2283">
        <v>0</v>
      </c>
      <c r="AN2283">
        <v>0</v>
      </c>
      <c r="BC2283">
        <v>0</v>
      </c>
      <c r="BD2283">
        <v>18</v>
      </c>
      <c r="BE2283">
        <v>468</v>
      </c>
      <c r="BF2283">
        <v>465</v>
      </c>
      <c r="BG2283">
        <v>707</v>
      </c>
      <c r="BJ2283">
        <v>1</v>
      </c>
      <c r="BL2283" t="s">
        <v>4753</v>
      </c>
      <c r="BM2283" s="4">
        <v>43283.353472222225</v>
      </c>
      <c r="BN2283" s="4">
        <v>43283.368101851855</v>
      </c>
      <c r="BO2283" s="4">
        <v>43283.368101851855</v>
      </c>
      <c r="BP2283" t="s">
        <v>92</v>
      </c>
      <c r="BQ2283" t="s">
        <v>93</v>
      </c>
      <c r="BR2283" t="s">
        <v>94</v>
      </c>
    </row>
    <row r="2284" spans="1:70" x14ac:dyDescent="0.3">
      <c r="A2284" t="str">
        <f>"201534B0100"</f>
        <v>201534B0100</v>
      </c>
      <c r="B2284" t="s">
        <v>4754</v>
      </c>
      <c r="C2284">
        <v>20</v>
      </c>
      <c r="D2284" t="s">
        <v>88</v>
      </c>
      <c r="E2284">
        <v>322</v>
      </c>
      <c r="F2284" t="s">
        <v>4650</v>
      </c>
      <c r="G2284">
        <v>1534</v>
      </c>
      <c r="H2284">
        <v>1</v>
      </c>
      <c r="I2284" t="s">
        <v>90</v>
      </c>
      <c r="J2284">
        <v>0</v>
      </c>
      <c r="K2284">
        <v>2</v>
      </c>
      <c r="L2284">
        <v>5</v>
      </c>
      <c r="M2284">
        <v>219</v>
      </c>
      <c r="N2284" t="s">
        <v>105</v>
      </c>
      <c r="O2284" t="s">
        <v>105</v>
      </c>
      <c r="P2284" t="s">
        <v>105</v>
      </c>
      <c r="Q2284">
        <v>6</v>
      </c>
      <c r="R2284">
        <v>65</v>
      </c>
      <c r="S2284">
        <v>63</v>
      </c>
      <c r="T2284">
        <v>17</v>
      </c>
      <c r="U2284">
        <v>21</v>
      </c>
      <c r="V2284">
        <v>3</v>
      </c>
      <c r="W2284">
        <v>1</v>
      </c>
      <c r="X2284">
        <v>6</v>
      </c>
      <c r="Y2284">
        <v>179</v>
      </c>
      <c r="Z2284">
        <v>7</v>
      </c>
      <c r="AA2284">
        <v>0</v>
      </c>
      <c r="AB2284">
        <v>0</v>
      </c>
      <c r="AC2284">
        <v>1</v>
      </c>
      <c r="AD2284">
        <v>0</v>
      </c>
      <c r="AE2284">
        <v>0</v>
      </c>
      <c r="AF2284">
        <v>0</v>
      </c>
      <c r="AG2284">
        <v>5</v>
      </c>
      <c r="AH2284">
        <v>0</v>
      </c>
      <c r="AI2284">
        <v>0</v>
      </c>
      <c r="AJ2284">
        <v>0</v>
      </c>
      <c r="AK2284">
        <v>13</v>
      </c>
      <c r="AL2284">
        <v>5</v>
      </c>
      <c r="AM2284">
        <v>3</v>
      </c>
      <c r="AN2284">
        <v>0</v>
      </c>
      <c r="BC2284">
        <v>0</v>
      </c>
      <c r="BD2284">
        <v>9</v>
      </c>
      <c r="BE2284" t="s">
        <v>105</v>
      </c>
      <c r="BF2284">
        <v>404</v>
      </c>
      <c r="BG2284">
        <v>601</v>
      </c>
      <c r="BJ2284">
        <v>1</v>
      </c>
      <c r="BL2284" t="s">
        <v>4755</v>
      </c>
      <c r="BM2284" s="4">
        <v>43283.32916666667</v>
      </c>
      <c r="BN2284" s="4">
        <v>43283.349629629629</v>
      </c>
      <c r="BO2284" s="4">
        <v>43283.349629629629</v>
      </c>
      <c r="BP2284" t="s">
        <v>92</v>
      </c>
      <c r="BQ2284" t="s">
        <v>93</v>
      </c>
      <c r="BR2284" t="s">
        <v>94</v>
      </c>
    </row>
    <row r="2285" spans="1:70" x14ac:dyDescent="0.3">
      <c r="A2285" t="str">
        <f>"201534C0100"</f>
        <v>201534C0100</v>
      </c>
      <c r="B2285" t="s">
        <v>4756</v>
      </c>
      <c r="C2285">
        <v>20</v>
      </c>
      <c r="D2285" t="s">
        <v>88</v>
      </c>
      <c r="E2285">
        <v>322</v>
      </c>
      <c r="F2285" t="s">
        <v>4650</v>
      </c>
      <c r="G2285">
        <v>1534</v>
      </c>
      <c r="H2285">
        <v>1</v>
      </c>
      <c r="I2285" t="s">
        <v>98</v>
      </c>
      <c r="J2285">
        <v>0</v>
      </c>
      <c r="K2285">
        <v>2</v>
      </c>
      <c r="L2285">
        <v>5</v>
      </c>
      <c r="M2285">
        <v>198</v>
      </c>
      <c r="N2285">
        <v>425</v>
      </c>
      <c r="O2285">
        <v>3</v>
      </c>
      <c r="P2285">
        <v>422</v>
      </c>
      <c r="Q2285">
        <v>6</v>
      </c>
      <c r="R2285">
        <v>72</v>
      </c>
      <c r="S2285">
        <v>66</v>
      </c>
      <c r="T2285">
        <v>14</v>
      </c>
      <c r="U2285">
        <v>29</v>
      </c>
      <c r="V2285">
        <v>5</v>
      </c>
      <c r="W2285">
        <v>2</v>
      </c>
      <c r="X2285">
        <v>8</v>
      </c>
      <c r="Y2285">
        <v>176</v>
      </c>
      <c r="Z2285">
        <v>9</v>
      </c>
      <c r="AA2285">
        <v>0</v>
      </c>
      <c r="AB2285">
        <v>3</v>
      </c>
      <c r="AC2285">
        <v>2</v>
      </c>
      <c r="AD2285">
        <v>2</v>
      </c>
      <c r="AE2285">
        <v>0</v>
      </c>
      <c r="AF2285">
        <v>1</v>
      </c>
      <c r="AG2285">
        <v>0</v>
      </c>
      <c r="AH2285">
        <v>1</v>
      </c>
      <c r="AI2285">
        <v>1</v>
      </c>
      <c r="AJ2285">
        <v>0</v>
      </c>
      <c r="AK2285">
        <v>6</v>
      </c>
      <c r="AL2285">
        <v>4</v>
      </c>
      <c r="AM2285">
        <v>1</v>
      </c>
      <c r="AN2285">
        <v>2</v>
      </c>
      <c r="BC2285" t="s">
        <v>105</v>
      </c>
      <c r="BD2285">
        <v>12</v>
      </c>
      <c r="BE2285">
        <v>422</v>
      </c>
      <c r="BF2285">
        <v>422</v>
      </c>
      <c r="BG2285">
        <v>601</v>
      </c>
      <c r="BI2285" t="s">
        <v>106</v>
      </c>
      <c r="BJ2285">
        <v>1</v>
      </c>
      <c r="BL2285" t="s">
        <v>4757</v>
      </c>
      <c r="BM2285" s="4">
        <v>43283.327777777777</v>
      </c>
      <c r="BN2285" s="4">
        <v>43283.350462962961</v>
      </c>
      <c r="BO2285" s="4">
        <v>43283.350462962961</v>
      </c>
      <c r="BP2285" t="s">
        <v>92</v>
      </c>
      <c r="BQ2285" t="s">
        <v>93</v>
      </c>
      <c r="BR2285" t="s">
        <v>94</v>
      </c>
    </row>
    <row r="2286" spans="1:70" x14ac:dyDescent="0.3">
      <c r="A2286" t="str">
        <f>"201534C0200"</f>
        <v>201534C0200</v>
      </c>
      <c r="B2286" t="s">
        <v>4758</v>
      </c>
      <c r="C2286">
        <v>20</v>
      </c>
      <c r="D2286" t="s">
        <v>88</v>
      </c>
      <c r="E2286">
        <v>322</v>
      </c>
      <c r="F2286" t="s">
        <v>4650</v>
      </c>
      <c r="G2286">
        <v>1534</v>
      </c>
      <c r="H2286">
        <v>2</v>
      </c>
      <c r="I2286" t="s">
        <v>98</v>
      </c>
      <c r="J2286">
        <v>0</v>
      </c>
      <c r="K2286">
        <v>2</v>
      </c>
      <c r="L2286">
        <v>5</v>
      </c>
      <c r="M2286">
        <v>211</v>
      </c>
      <c r="N2286">
        <v>411</v>
      </c>
      <c r="O2286">
        <v>7</v>
      </c>
      <c r="P2286">
        <v>411</v>
      </c>
      <c r="Q2286">
        <v>7</v>
      </c>
      <c r="R2286">
        <v>75</v>
      </c>
      <c r="S2286">
        <v>68</v>
      </c>
      <c r="T2286">
        <v>9</v>
      </c>
      <c r="U2286">
        <v>25</v>
      </c>
      <c r="V2286">
        <v>6</v>
      </c>
      <c r="W2286">
        <v>1</v>
      </c>
      <c r="X2286">
        <v>5</v>
      </c>
      <c r="Y2286">
        <v>172</v>
      </c>
      <c r="Z2286">
        <v>11</v>
      </c>
      <c r="AA2286">
        <v>0</v>
      </c>
      <c r="AB2286">
        <v>1</v>
      </c>
      <c r="AC2286">
        <v>1</v>
      </c>
      <c r="AD2286">
        <v>1</v>
      </c>
      <c r="AE2286">
        <v>0</v>
      </c>
      <c r="AF2286">
        <v>0</v>
      </c>
      <c r="AG2286">
        <v>2</v>
      </c>
      <c r="AH2286">
        <v>1</v>
      </c>
      <c r="AI2286">
        <v>1</v>
      </c>
      <c r="AJ2286">
        <v>0</v>
      </c>
      <c r="AK2286">
        <v>8</v>
      </c>
      <c r="AL2286">
        <v>3</v>
      </c>
      <c r="AM2286">
        <v>0</v>
      </c>
      <c r="AN2286">
        <v>0</v>
      </c>
      <c r="BC2286">
        <v>0</v>
      </c>
      <c r="BD2286">
        <v>14</v>
      </c>
      <c r="BE2286">
        <v>411</v>
      </c>
      <c r="BF2286">
        <v>411</v>
      </c>
      <c r="BG2286">
        <v>600</v>
      </c>
      <c r="BJ2286">
        <v>1</v>
      </c>
      <c r="BL2286" t="s">
        <v>4759</v>
      </c>
      <c r="BM2286" s="4">
        <v>43283.327777777777</v>
      </c>
      <c r="BN2286" s="4">
        <v>43283.34957175926</v>
      </c>
      <c r="BO2286" s="4">
        <v>43283.34957175926</v>
      </c>
      <c r="BP2286" t="s">
        <v>92</v>
      </c>
      <c r="BQ2286" t="s">
        <v>93</v>
      </c>
      <c r="BR2286" t="s">
        <v>94</v>
      </c>
    </row>
    <row r="2287" spans="1:70" x14ac:dyDescent="0.3">
      <c r="A2287" t="str">
        <f>"201544B0100"</f>
        <v>201544B0100</v>
      </c>
      <c r="B2287" t="s">
        <v>4760</v>
      </c>
      <c r="C2287">
        <v>20</v>
      </c>
      <c r="D2287" t="s">
        <v>88</v>
      </c>
      <c r="E2287">
        <v>325</v>
      </c>
      <c r="F2287" t="s">
        <v>4761</v>
      </c>
      <c r="G2287">
        <v>1544</v>
      </c>
      <c r="H2287">
        <v>1</v>
      </c>
      <c r="I2287" t="s">
        <v>90</v>
      </c>
      <c r="J2287">
        <v>0</v>
      </c>
      <c r="K2287">
        <v>1</v>
      </c>
      <c r="L2287">
        <v>5</v>
      </c>
      <c r="BG2287">
        <v>640</v>
      </c>
      <c r="BI2287" t="s">
        <v>122</v>
      </c>
      <c r="BJ2287">
        <v>0</v>
      </c>
      <c r="BL2287" t="s">
        <v>4762</v>
      </c>
      <c r="BM2287" s="4">
        <v>43283.190972222219</v>
      </c>
      <c r="BN2287" s="4">
        <v>43283.207384259258</v>
      </c>
      <c r="BO2287" s="4">
        <v>43283.207384259258</v>
      </c>
      <c r="BP2287" t="s">
        <v>92</v>
      </c>
      <c r="BQ2287" t="s">
        <v>93</v>
      </c>
      <c r="BR2287" t="s">
        <v>94</v>
      </c>
    </row>
    <row r="2288" spans="1:70" x14ac:dyDescent="0.3">
      <c r="A2288" t="str">
        <f>"201544C0100"</f>
        <v>201544C0100</v>
      </c>
      <c r="B2288" t="s">
        <v>4763</v>
      </c>
      <c r="C2288">
        <v>20</v>
      </c>
      <c r="D2288" t="s">
        <v>88</v>
      </c>
      <c r="E2288">
        <v>325</v>
      </c>
      <c r="F2288" t="s">
        <v>4761</v>
      </c>
      <c r="G2288">
        <v>1544</v>
      </c>
      <c r="H2288">
        <v>1</v>
      </c>
      <c r="I2288" t="s">
        <v>98</v>
      </c>
      <c r="J2288">
        <v>0</v>
      </c>
      <c r="K2288">
        <v>1</v>
      </c>
      <c r="L2288">
        <v>5</v>
      </c>
      <c r="M2288">
        <v>185</v>
      </c>
      <c r="N2288" t="s">
        <v>105</v>
      </c>
      <c r="O2288" t="s">
        <v>105</v>
      </c>
      <c r="P2288" t="s">
        <v>105</v>
      </c>
      <c r="Q2288">
        <v>1</v>
      </c>
      <c r="R2288">
        <v>151</v>
      </c>
      <c r="S2288">
        <v>2</v>
      </c>
      <c r="T2288">
        <v>1</v>
      </c>
      <c r="U2288">
        <v>7</v>
      </c>
      <c r="V2288">
        <v>2</v>
      </c>
      <c r="W2288">
        <v>0</v>
      </c>
      <c r="X2288">
        <v>0</v>
      </c>
      <c r="Y2288">
        <v>143</v>
      </c>
      <c r="Z2288">
        <v>2</v>
      </c>
      <c r="AA2288">
        <v>5</v>
      </c>
      <c r="AC2288">
        <v>0</v>
      </c>
      <c r="AD2288">
        <v>0</v>
      </c>
      <c r="AE2288">
        <v>0</v>
      </c>
      <c r="AF2288">
        <v>0</v>
      </c>
      <c r="AG2288">
        <v>1</v>
      </c>
      <c r="AH2288">
        <v>0</v>
      </c>
      <c r="AI2288">
        <v>0</v>
      </c>
      <c r="AJ2288">
        <v>0</v>
      </c>
      <c r="AK2288">
        <v>2</v>
      </c>
      <c r="AL2288">
        <v>0</v>
      </c>
      <c r="AM2288">
        <v>0</v>
      </c>
      <c r="AN2288">
        <v>1</v>
      </c>
      <c r="AZ2288">
        <v>156</v>
      </c>
      <c r="BC2288">
        <v>0</v>
      </c>
      <c r="BD2288">
        <v>7</v>
      </c>
      <c r="BE2288">
        <v>481</v>
      </c>
      <c r="BF2288">
        <v>481</v>
      </c>
      <c r="BG2288">
        <v>640</v>
      </c>
      <c r="BJ2288">
        <v>1</v>
      </c>
      <c r="BL2288" t="s">
        <v>4764</v>
      </c>
      <c r="BM2288" s="4">
        <v>43283.098611111112</v>
      </c>
      <c r="BN2288" s="4">
        <v>43283.10224537037</v>
      </c>
      <c r="BO2288" s="4">
        <v>43283.10224537037</v>
      </c>
      <c r="BP2288" t="s">
        <v>92</v>
      </c>
      <c r="BQ2288" t="s">
        <v>93</v>
      </c>
      <c r="BR2288" t="s">
        <v>254</v>
      </c>
    </row>
    <row r="2289" spans="1:70" x14ac:dyDescent="0.3">
      <c r="A2289" t="str">
        <f>"201545B0100"</f>
        <v>201545B0100</v>
      </c>
      <c r="B2289" t="s">
        <v>4765</v>
      </c>
      <c r="C2289">
        <v>20</v>
      </c>
      <c r="D2289" t="s">
        <v>88</v>
      </c>
      <c r="E2289">
        <v>325</v>
      </c>
      <c r="F2289" t="s">
        <v>4761</v>
      </c>
      <c r="G2289">
        <v>1545</v>
      </c>
      <c r="H2289">
        <v>1</v>
      </c>
      <c r="I2289" t="s">
        <v>90</v>
      </c>
      <c r="J2289">
        <v>0</v>
      </c>
      <c r="K2289">
        <v>1</v>
      </c>
      <c r="L2289">
        <v>5</v>
      </c>
      <c r="BG2289">
        <v>735</v>
      </c>
      <c r="BI2289" t="s">
        <v>122</v>
      </c>
      <c r="BJ2289">
        <v>0</v>
      </c>
      <c r="BL2289" t="s">
        <v>4766</v>
      </c>
      <c r="BM2289" s="4">
        <v>43283.348611111112</v>
      </c>
      <c r="BN2289" s="4">
        <v>43283.351851851854</v>
      </c>
      <c r="BO2289" s="4">
        <v>43283.351851851854</v>
      </c>
      <c r="BP2289" t="s">
        <v>92</v>
      </c>
      <c r="BQ2289" t="s">
        <v>93</v>
      </c>
      <c r="BR2289" t="s">
        <v>94</v>
      </c>
    </row>
    <row r="2290" spans="1:70" x14ac:dyDescent="0.3">
      <c r="A2290" t="str">
        <f>"201545C0100"</f>
        <v>201545C0100</v>
      </c>
      <c r="B2290" t="s">
        <v>4767</v>
      </c>
      <c r="C2290">
        <v>20</v>
      </c>
      <c r="D2290" t="s">
        <v>88</v>
      </c>
      <c r="E2290">
        <v>325</v>
      </c>
      <c r="F2290" t="s">
        <v>4761</v>
      </c>
      <c r="G2290">
        <v>1545</v>
      </c>
      <c r="H2290">
        <v>1</v>
      </c>
      <c r="I2290" t="s">
        <v>98</v>
      </c>
      <c r="J2290">
        <v>0</v>
      </c>
      <c r="K2290">
        <v>1</v>
      </c>
      <c r="L2290">
        <v>5</v>
      </c>
      <c r="M2290">
        <v>198</v>
      </c>
      <c r="N2290">
        <v>757</v>
      </c>
      <c r="O2290">
        <v>0</v>
      </c>
      <c r="P2290">
        <v>559</v>
      </c>
      <c r="Q2290">
        <v>2</v>
      </c>
      <c r="R2290">
        <v>169</v>
      </c>
      <c r="S2290">
        <v>2</v>
      </c>
      <c r="T2290" t="s">
        <v>105</v>
      </c>
      <c r="U2290">
        <v>2</v>
      </c>
      <c r="V2290" t="s">
        <v>105</v>
      </c>
      <c r="W2290" t="s">
        <v>105</v>
      </c>
      <c r="X2290" t="s">
        <v>105</v>
      </c>
      <c r="Y2290">
        <v>158</v>
      </c>
      <c r="Z2290" t="s">
        <v>105</v>
      </c>
      <c r="AA2290">
        <v>3</v>
      </c>
      <c r="AC2290" t="s">
        <v>105</v>
      </c>
      <c r="AD2290" t="s">
        <v>105</v>
      </c>
      <c r="AE2290" t="s">
        <v>105</v>
      </c>
      <c r="AF2290" t="s">
        <v>105</v>
      </c>
      <c r="AG2290">
        <v>1</v>
      </c>
      <c r="AH2290" t="s">
        <v>105</v>
      </c>
      <c r="AI2290">
        <v>1</v>
      </c>
      <c r="AJ2290" t="s">
        <v>105</v>
      </c>
      <c r="AK2290">
        <v>1</v>
      </c>
      <c r="AL2290" t="s">
        <v>105</v>
      </c>
      <c r="AM2290" t="s">
        <v>105</v>
      </c>
      <c r="AN2290" t="s">
        <v>105</v>
      </c>
      <c r="AZ2290">
        <v>205</v>
      </c>
      <c r="BC2290" t="s">
        <v>105</v>
      </c>
      <c r="BD2290">
        <v>15</v>
      </c>
      <c r="BE2290">
        <v>559</v>
      </c>
      <c r="BF2290">
        <v>559</v>
      </c>
      <c r="BG2290">
        <v>734</v>
      </c>
      <c r="BI2290" t="s">
        <v>106</v>
      </c>
      <c r="BJ2290">
        <v>1</v>
      </c>
      <c r="BL2290" t="s">
        <v>4768</v>
      </c>
      <c r="BM2290" s="4">
        <v>43282.993750000001</v>
      </c>
      <c r="BN2290" s="4">
        <v>43283.001574074071</v>
      </c>
      <c r="BO2290" s="4">
        <v>43283.001574074071</v>
      </c>
      <c r="BP2290" t="s">
        <v>92</v>
      </c>
      <c r="BQ2290" t="s">
        <v>93</v>
      </c>
      <c r="BR2290" t="s">
        <v>94</v>
      </c>
    </row>
    <row r="2291" spans="1:70" x14ac:dyDescent="0.3">
      <c r="A2291" t="str">
        <f>"201546B0100"</f>
        <v>201546B0100</v>
      </c>
      <c r="B2291" t="s">
        <v>4769</v>
      </c>
      <c r="C2291">
        <v>20</v>
      </c>
      <c r="D2291" t="s">
        <v>88</v>
      </c>
      <c r="E2291">
        <v>325</v>
      </c>
      <c r="F2291" t="s">
        <v>4761</v>
      </c>
      <c r="G2291">
        <v>1546</v>
      </c>
      <c r="H2291">
        <v>1</v>
      </c>
      <c r="I2291" t="s">
        <v>90</v>
      </c>
      <c r="J2291">
        <v>0</v>
      </c>
      <c r="K2291">
        <v>1</v>
      </c>
      <c r="L2291">
        <v>5</v>
      </c>
      <c r="BG2291">
        <v>498</v>
      </c>
      <c r="BI2291" t="s">
        <v>122</v>
      </c>
      <c r="BJ2291">
        <v>0</v>
      </c>
      <c r="BL2291" t="s">
        <v>4770</v>
      </c>
      <c r="BM2291" s="4">
        <v>43283.191666666666</v>
      </c>
      <c r="BN2291" s="4">
        <v>43283.20689814815</v>
      </c>
      <c r="BO2291" s="4">
        <v>43283.20689814815</v>
      </c>
      <c r="BP2291" t="s">
        <v>92</v>
      </c>
      <c r="BQ2291" t="s">
        <v>93</v>
      </c>
      <c r="BR2291" t="s">
        <v>94</v>
      </c>
    </row>
    <row r="2292" spans="1:70" x14ac:dyDescent="0.3">
      <c r="A2292" t="str">
        <f>"201546C0100"</f>
        <v>201546C0100</v>
      </c>
      <c r="B2292" t="s">
        <v>4771</v>
      </c>
      <c r="C2292">
        <v>20</v>
      </c>
      <c r="D2292" t="s">
        <v>88</v>
      </c>
      <c r="E2292">
        <v>325</v>
      </c>
      <c r="F2292" t="s">
        <v>4761</v>
      </c>
      <c r="G2292">
        <v>1546</v>
      </c>
      <c r="H2292">
        <v>1</v>
      </c>
      <c r="I2292" t="s">
        <v>98</v>
      </c>
      <c r="J2292">
        <v>0</v>
      </c>
      <c r="K2292">
        <v>1</v>
      </c>
      <c r="L2292">
        <v>5</v>
      </c>
      <c r="BG2292">
        <v>498</v>
      </c>
      <c r="BI2292" t="s">
        <v>122</v>
      </c>
      <c r="BJ2292">
        <v>0</v>
      </c>
      <c r="BL2292" t="s">
        <v>4772</v>
      </c>
      <c r="BM2292" s="4">
        <v>43283.192361111112</v>
      </c>
      <c r="BN2292" s="4">
        <v>43283.208229166667</v>
      </c>
      <c r="BO2292" s="4">
        <v>43283.208229166667</v>
      </c>
      <c r="BP2292" t="s">
        <v>92</v>
      </c>
      <c r="BQ2292" t="s">
        <v>93</v>
      </c>
      <c r="BR2292" t="s">
        <v>94</v>
      </c>
    </row>
    <row r="2293" spans="1:70" x14ac:dyDescent="0.3">
      <c r="A2293" t="str">
        <f>"201547B0100"</f>
        <v>201547B0100</v>
      </c>
      <c r="B2293" t="s">
        <v>4773</v>
      </c>
      <c r="C2293">
        <v>20</v>
      </c>
      <c r="D2293" t="s">
        <v>88</v>
      </c>
      <c r="E2293">
        <v>325</v>
      </c>
      <c r="F2293" t="s">
        <v>4761</v>
      </c>
      <c r="G2293">
        <v>1547</v>
      </c>
      <c r="H2293">
        <v>1</v>
      </c>
      <c r="I2293" t="s">
        <v>90</v>
      </c>
      <c r="J2293">
        <v>0</v>
      </c>
      <c r="K2293">
        <v>1</v>
      </c>
      <c r="L2293">
        <v>5</v>
      </c>
      <c r="M2293">
        <v>128</v>
      </c>
      <c r="N2293">
        <v>355</v>
      </c>
      <c r="O2293">
        <v>3</v>
      </c>
      <c r="P2293">
        <v>355</v>
      </c>
      <c r="Q2293">
        <v>0</v>
      </c>
      <c r="R2293">
        <v>96</v>
      </c>
      <c r="S2293">
        <v>3</v>
      </c>
      <c r="T2293">
        <v>0</v>
      </c>
      <c r="U2293">
        <v>2</v>
      </c>
      <c r="V2293">
        <v>1</v>
      </c>
      <c r="W2293">
        <v>0</v>
      </c>
      <c r="X2293">
        <v>0</v>
      </c>
      <c r="Y2293">
        <v>115</v>
      </c>
      <c r="Z2293">
        <v>1</v>
      </c>
      <c r="AA2293">
        <v>1</v>
      </c>
      <c r="AC2293">
        <v>0</v>
      </c>
      <c r="AD2293">
        <v>0</v>
      </c>
      <c r="AE2293">
        <v>0</v>
      </c>
      <c r="AF2293">
        <v>0</v>
      </c>
      <c r="AG2293">
        <v>0</v>
      </c>
      <c r="AH2293">
        <v>1</v>
      </c>
      <c r="AI2293">
        <v>0</v>
      </c>
      <c r="AJ2293">
        <v>0</v>
      </c>
      <c r="AK2293">
        <v>0</v>
      </c>
      <c r="AL2293">
        <v>0</v>
      </c>
      <c r="AM2293">
        <v>0</v>
      </c>
      <c r="AN2293">
        <v>0</v>
      </c>
      <c r="AZ2293">
        <v>121</v>
      </c>
      <c r="BC2293">
        <v>0</v>
      </c>
      <c r="BD2293">
        <v>14</v>
      </c>
      <c r="BE2293">
        <v>355</v>
      </c>
      <c r="BF2293">
        <v>355</v>
      </c>
      <c r="BG2293">
        <v>460</v>
      </c>
      <c r="BJ2293">
        <v>1</v>
      </c>
      <c r="BL2293" t="s">
        <v>4774</v>
      </c>
      <c r="BM2293" s="4">
        <v>43283.074305555558</v>
      </c>
      <c r="BN2293" s="4">
        <v>43283.084664351853</v>
      </c>
      <c r="BO2293" s="4">
        <v>43283.084664351853</v>
      </c>
      <c r="BP2293" t="s">
        <v>92</v>
      </c>
      <c r="BQ2293" t="s">
        <v>93</v>
      </c>
      <c r="BR2293" t="s">
        <v>94</v>
      </c>
    </row>
    <row r="2294" spans="1:70" x14ac:dyDescent="0.3">
      <c r="A2294" t="str">
        <f>"201547C0100"</f>
        <v>201547C0100</v>
      </c>
      <c r="B2294" t="s">
        <v>4775</v>
      </c>
      <c r="C2294">
        <v>20</v>
      </c>
      <c r="D2294" t="s">
        <v>88</v>
      </c>
      <c r="E2294">
        <v>325</v>
      </c>
      <c r="F2294" t="s">
        <v>4761</v>
      </c>
      <c r="G2294">
        <v>1547</v>
      </c>
      <c r="H2294">
        <v>1</v>
      </c>
      <c r="I2294" t="s">
        <v>98</v>
      </c>
      <c r="J2294">
        <v>0</v>
      </c>
      <c r="K2294">
        <v>1</v>
      </c>
      <c r="L2294">
        <v>5</v>
      </c>
      <c r="M2294">
        <v>124</v>
      </c>
      <c r="N2294">
        <v>359</v>
      </c>
      <c r="O2294">
        <v>1</v>
      </c>
      <c r="P2294">
        <v>359</v>
      </c>
      <c r="Q2294">
        <v>8</v>
      </c>
      <c r="R2294">
        <v>110</v>
      </c>
      <c r="S2294">
        <v>0</v>
      </c>
      <c r="T2294">
        <v>1</v>
      </c>
      <c r="U2294">
        <v>3</v>
      </c>
      <c r="V2294">
        <v>0</v>
      </c>
      <c r="W2294">
        <v>0</v>
      </c>
      <c r="X2294">
        <v>0</v>
      </c>
      <c r="Y2294">
        <v>98</v>
      </c>
      <c r="Z2294">
        <v>1</v>
      </c>
      <c r="AA2294">
        <v>1</v>
      </c>
      <c r="AC2294" t="s">
        <v>105</v>
      </c>
      <c r="AD2294" t="s">
        <v>105</v>
      </c>
      <c r="AE2294" t="s">
        <v>105</v>
      </c>
      <c r="AF2294" t="s">
        <v>105</v>
      </c>
      <c r="AG2294" t="s">
        <v>105</v>
      </c>
      <c r="AH2294">
        <v>2</v>
      </c>
      <c r="AI2294" t="s">
        <v>105</v>
      </c>
      <c r="AJ2294" t="s">
        <v>105</v>
      </c>
      <c r="AK2294" t="s">
        <v>105</v>
      </c>
      <c r="AL2294" t="s">
        <v>105</v>
      </c>
      <c r="AM2294" t="s">
        <v>105</v>
      </c>
      <c r="AN2294" t="s">
        <v>105</v>
      </c>
      <c r="AZ2294">
        <v>116</v>
      </c>
      <c r="BC2294" t="s">
        <v>105</v>
      </c>
      <c r="BD2294">
        <v>19</v>
      </c>
      <c r="BE2294">
        <v>359</v>
      </c>
      <c r="BF2294">
        <v>359</v>
      </c>
      <c r="BG2294">
        <v>460</v>
      </c>
      <c r="BI2294" t="s">
        <v>106</v>
      </c>
      <c r="BJ2294">
        <v>1</v>
      </c>
      <c r="BL2294" t="s">
        <v>4776</v>
      </c>
      <c r="BM2294" s="4">
        <v>43283.079861111109</v>
      </c>
      <c r="BN2294" s="4">
        <v>43283.083333333336</v>
      </c>
      <c r="BO2294" s="4">
        <v>43283.083333333336</v>
      </c>
      <c r="BP2294" t="s">
        <v>92</v>
      </c>
      <c r="BQ2294" t="s">
        <v>93</v>
      </c>
      <c r="BR2294" t="s">
        <v>94</v>
      </c>
    </row>
    <row r="2295" spans="1:70" x14ac:dyDescent="0.3">
      <c r="A2295" t="str">
        <f>"201548B0100"</f>
        <v>201548B0100</v>
      </c>
      <c r="B2295" t="s">
        <v>4777</v>
      </c>
      <c r="C2295">
        <v>20</v>
      </c>
      <c r="D2295" t="s">
        <v>88</v>
      </c>
      <c r="E2295">
        <v>325</v>
      </c>
      <c r="F2295" t="s">
        <v>4761</v>
      </c>
      <c r="G2295">
        <v>1548</v>
      </c>
      <c r="H2295">
        <v>1</v>
      </c>
      <c r="I2295" t="s">
        <v>90</v>
      </c>
      <c r="J2295">
        <v>0</v>
      </c>
      <c r="K2295">
        <v>1</v>
      </c>
      <c r="L2295">
        <v>5</v>
      </c>
      <c r="M2295">
        <v>166</v>
      </c>
      <c r="N2295">
        <v>513</v>
      </c>
      <c r="O2295">
        <v>0</v>
      </c>
      <c r="P2295">
        <v>0</v>
      </c>
      <c r="Q2295">
        <v>1</v>
      </c>
      <c r="R2295">
        <v>132</v>
      </c>
      <c r="S2295">
        <v>0</v>
      </c>
      <c r="T2295">
        <v>1</v>
      </c>
      <c r="U2295">
        <v>3</v>
      </c>
      <c r="V2295">
        <v>1</v>
      </c>
      <c r="W2295">
        <v>2</v>
      </c>
      <c r="X2295">
        <v>0</v>
      </c>
      <c r="Y2295">
        <v>141</v>
      </c>
      <c r="Z2295">
        <v>4</v>
      </c>
      <c r="AA2295">
        <v>0</v>
      </c>
      <c r="AC2295">
        <v>0</v>
      </c>
      <c r="AD2295">
        <v>0</v>
      </c>
      <c r="AE2295">
        <v>0</v>
      </c>
      <c r="AF2295">
        <v>0</v>
      </c>
      <c r="AG2295">
        <v>0</v>
      </c>
      <c r="AH2295">
        <v>2</v>
      </c>
      <c r="AI2295">
        <v>0</v>
      </c>
      <c r="AJ2295">
        <v>0</v>
      </c>
      <c r="AK2295">
        <v>0</v>
      </c>
      <c r="AL2295">
        <v>0</v>
      </c>
      <c r="AM2295">
        <v>1</v>
      </c>
      <c r="AN2295">
        <v>0</v>
      </c>
      <c r="AZ2295">
        <v>212</v>
      </c>
      <c r="BC2295">
        <v>0</v>
      </c>
      <c r="BD2295">
        <v>13</v>
      </c>
      <c r="BE2295">
        <v>513</v>
      </c>
      <c r="BF2295">
        <v>513</v>
      </c>
      <c r="BG2295">
        <v>657</v>
      </c>
      <c r="BJ2295">
        <v>1</v>
      </c>
      <c r="BL2295" t="s">
        <v>4778</v>
      </c>
      <c r="BM2295" s="4">
        <v>43283.086805555555</v>
      </c>
      <c r="BN2295" s="4">
        <v>43283.099166666667</v>
      </c>
      <c r="BO2295" s="4">
        <v>43283.099166666667</v>
      </c>
      <c r="BP2295" t="s">
        <v>92</v>
      </c>
      <c r="BQ2295" t="s">
        <v>93</v>
      </c>
      <c r="BR2295" t="s">
        <v>94</v>
      </c>
    </row>
    <row r="2296" spans="1:70" x14ac:dyDescent="0.3">
      <c r="A2296" t="str">
        <f>"201548C0100"</f>
        <v>201548C0100</v>
      </c>
      <c r="B2296" t="s">
        <v>4779</v>
      </c>
      <c r="C2296">
        <v>20</v>
      </c>
      <c r="D2296" t="s">
        <v>88</v>
      </c>
      <c r="E2296">
        <v>325</v>
      </c>
      <c r="F2296" t="s">
        <v>4761</v>
      </c>
      <c r="G2296">
        <v>1548</v>
      </c>
      <c r="H2296">
        <v>1</v>
      </c>
      <c r="I2296" t="s">
        <v>98</v>
      </c>
      <c r="J2296">
        <v>0</v>
      </c>
      <c r="K2296">
        <v>1</v>
      </c>
      <c r="L2296">
        <v>5</v>
      </c>
      <c r="BG2296">
        <v>656</v>
      </c>
      <c r="BI2296" t="s">
        <v>122</v>
      </c>
      <c r="BJ2296">
        <v>0</v>
      </c>
      <c r="BL2296" t="s">
        <v>4780</v>
      </c>
      <c r="BM2296" s="4">
        <v>43283.349305555559</v>
      </c>
      <c r="BN2296" s="4">
        <v>43283.352152777778</v>
      </c>
      <c r="BO2296" s="4">
        <v>43283.352152777778</v>
      </c>
      <c r="BP2296" t="s">
        <v>92</v>
      </c>
      <c r="BQ2296" t="s">
        <v>93</v>
      </c>
      <c r="BR2296" t="s">
        <v>94</v>
      </c>
    </row>
    <row r="2297" spans="1:70" x14ac:dyDescent="0.3">
      <c r="A2297" t="str">
        <f>"201549B0100"</f>
        <v>201549B0100</v>
      </c>
      <c r="B2297" t="s">
        <v>4781</v>
      </c>
      <c r="C2297">
        <v>20</v>
      </c>
      <c r="D2297" t="s">
        <v>88</v>
      </c>
      <c r="E2297">
        <v>325</v>
      </c>
      <c r="F2297" t="s">
        <v>4761</v>
      </c>
      <c r="G2297">
        <v>1549</v>
      </c>
      <c r="H2297">
        <v>1</v>
      </c>
      <c r="I2297" t="s">
        <v>90</v>
      </c>
      <c r="J2297">
        <v>0</v>
      </c>
      <c r="K2297">
        <v>2</v>
      </c>
      <c r="L2297">
        <v>5</v>
      </c>
      <c r="BG2297">
        <v>488</v>
      </c>
      <c r="BI2297" t="s">
        <v>122</v>
      </c>
      <c r="BJ2297">
        <v>0</v>
      </c>
      <c r="BL2297" t="s">
        <v>4782</v>
      </c>
      <c r="BM2297" s="4">
        <v>43283.193055555559</v>
      </c>
      <c r="BN2297" s="4">
        <v>43283.208495370367</v>
      </c>
      <c r="BO2297" s="4">
        <v>43283.208495370367</v>
      </c>
      <c r="BP2297" t="s">
        <v>92</v>
      </c>
      <c r="BQ2297" t="s">
        <v>93</v>
      </c>
      <c r="BR2297" t="s">
        <v>94</v>
      </c>
    </row>
    <row r="2298" spans="1:70" x14ac:dyDescent="0.3">
      <c r="A2298" t="str">
        <f>"201549C0100"</f>
        <v>201549C0100</v>
      </c>
      <c r="B2298" t="s">
        <v>4783</v>
      </c>
      <c r="C2298">
        <v>20</v>
      </c>
      <c r="D2298" t="s">
        <v>88</v>
      </c>
      <c r="E2298">
        <v>325</v>
      </c>
      <c r="F2298" t="s">
        <v>4761</v>
      </c>
      <c r="G2298">
        <v>1549</v>
      </c>
      <c r="H2298">
        <v>1</v>
      </c>
      <c r="I2298" t="s">
        <v>98</v>
      </c>
      <c r="J2298">
        <v>0</v>
      </c>
      <c r="K2298">
        <v>2</v>
      </c>
      <c r="L2298">
        <v>5</v>
      </c>
      <c r="BG2298">
        <v>487</v>
      </c>
      <c r="BI2298" t="s">
        <v>122</v>
      </c>
      <c r="BJ2298">
        <v>0</v>
      </c>
      <c r="BL2298" t="s">
        <v>4784</v>
      </c>
      <c r="BM2298" s="4">
        <v>43283.194444444445</v>
      </c>
      <c r="BN2298" s="4">
        <v>43283.209270833337</v>
      </c>
      <c r="BO2298" s="4">
        <v>43283.209270833337</v>
      </c>
      <c r="BP2298" t="s">
        <v>92</v>
      </c>
      <c r="BQ2298" t="s">
        <v>93</v>
      </c>
      <c r="BR2298" t="s">
        <v>94</v>
      </c>
    </row>
    <row r="2299" spans="1:70" x14ac:dyDescent="0.3">
      <c r="A2299" t="str">
        <f>"201549E0100"</f>
        <v>201549E0100</v>
      </c>
      <c r="B2299" s="2" t="s">
        <v>4785</v>
      </c>
      <c r="C2299">
        <v>20</v>
      </c>
      <c r="D2299" t="s">
        <v>88</v>
      </c>
      <c r="E2299">
        <v>325</v>
      </c>
      <c r="F2299" t="s">
        <v>4761</v>
      </c>
      <c r="G2299">
        <v>1549</v>
      </c>
      <c r="H2299">
        <v>1</v>
      </c>
      <c r="I2299" t="s">
        <v>156</v>
      </c>
      <c r="J2299">
        <v>0</v>
      </c>
      <c r="K2299">
        <v>2</v>
      </c>
      <c r="L2299">
        <v>5</v>
      </c>
      <c r="BG2299">
        <v>394</v>
      </c>
      <c r="BI2299" t="s">
        <v>122</v>
      </c>
      <c r="BJ2299">
        <v>0</v>
      </c>
      <c r="BL2299" t="s">
        <v>4786</v>
      </c>
      <c r="BM2299" s="4">
        <v>43283.349305555559</v>
      </c>
      <c r="BN2299" s="4">
        <v>43283.353067129632</v>
      </c>
      <c r="BO2299" s="4">
        <v>43283.353067129632</v>
      </c>
      <c r="BP2299" t="s">
        <v>92</v>
      </c>
      <c r="BQ2299" t="s">
        <v>93</v>
      </c>
      <c r="BR2299" t="s">
        <v>94</v>
      </c>
    </row>
    <row r="2300" spans="1:70" x14ac:dyDescent="0.3">
      <c r="A2300" t="str">
        <f>"201550B0100"</f>
        <v>201550B0100</v>
      </c>
      <c r="B2300" t="s">
        <v>4787</v>
      </c>
      <c r="C2300">
        <v>20</v>
      </c>
      <c r="D2300" t="s">
        <v>88</v>
      </c>
      <c r="E2300">
        <v>325</v>
      </c>
      <c r="F2300" t="s">
        <v>4761</v>
      </c>
      <c r="G2300">
        <v>1550</v>
      </c>
      <c r="H2300">
        <v>1</v>
      </c>
      <c r="I2300" t="s">
        <v>90</v>
      </c>
      <c r="J2300">
        <v>0</v>
      </c>
      <c r="K2300">
        <v>2</v>
      </c>
      <c r="L2300">
        <v>5</v>
      </c>
      <c r="M2300">
        <v>161</v>
      </c>
      <c r="N2300">
        <v>496</v>
      </c>
      <c r="O2300">
        <v>0</v>
      </c>
      <c r="P2300">
        <v>496</v>
      </c>
      <c r="Q2300">
        <v>9</v>
      </c>
      <c r="R2300">
        <v>160</v>
      </c>
      <c r="S2300">
        <v>2</v>
      </c>
      <c r="T2300">
        <v>7</v>
      </c>
      <c r="U2300">
        <v>11</v>
      </c>
      <c r="V2300">
        <v>7</v>
      </c>
      <c r="W2300">
        <v>2</v>
      </c>
      <c r="X2300">
        <v>1</v>
      </c>
      <c r="Y2300">
        <v>135</v>
      </c>
      <c r="Z2300">
        <v>1</v>
      </c>
      <c r="AA2300">
        <v>0</v>
      </c>
      <c r="AC2300">
        <v>0</v>
      </c>
      <c r="AD2300">
        <v>0</v>
      </c>
      <c r="AE2300">
        <v>1</v>
      </c>
      <c r="AF2300">
        <v>0</v>
      </c>
      <c r="AG2300">
        <v>1</v>
      </c>
      <c r="AH2300">
        <v>2</v>
      </c>
      <c r="AI2300">
        <v>0</v>
      </c>
      <c r="AJ2300">
        <v>0</v>
      </c>
      <c r="AK2300">
        <v>4</v>
      </c>
      <c r="AL2300">
        <v>0</v>
      </c>
      <c r="AM2300">
        <v>0</v>
      </c>
      <c r="AN2300">
        <v>0</v>
      </c>
      <c r="AZ2300">
        <v>118</v>
      </c>
      <c r="BC2300" t="s">
        <v>105</v>
      </c>
      <c r="BD2300">
        <v>35</v>
      </c>
      <c r="BE2300">
        <v>496</v>
      </c>
      <c r="BF2300">
        <v>496</v>
      </c>
      <c r="BG2300">
        <v>634</v>
      </c>
      <c r="BI2300" t="s">
        <v>106</v>
      </c>
      <c r="BJ2300">
        <v>1</v>
      </c>
      <c r="BL2300" t="s">
        <v>4788</v>
      </c>
      <c r="BM2300" s="4">
        <v>43283.130555555559</v>
      </c>
      <c r="BN2300" s="4">
        <v>43283.134340277778</v>
      </c>
      <c r="BO2300" s="4">
        <v>43283.134340277778</v>
      </c>
      <c r="BP2300" t="s">
        <v>92</v>
      </c>
      <c r="BQ2300" t="s">
        <v>93</v>
      </c>
      <c r="BR2300" t="s">
        <v>94</v>
      </c>
    </row>
    <row r="2301" spans="1:70" x14ac:dyDescent="0.3">
      <c r="A2301" t="str">
        <f>"201550E0100"</f>
        <v>201550E0100</v>
      </c>
      <c r="B2301" s="2" t="s">
        <v>4789</v>
      </c>
      <c r="C2301">
        <v>20</v>
      </c>
      <c r="D2301" t="s">
        <v>88</v>
      </c>
      <c r="E2301">
        <v>325</v>
      </c>
      <c r="F2301" t="s">
        <v>4761</v>
      </c>
      <c r="G2301">
        <v>1550</v>
      </c>
      <c r="H2301">
        <v>1</v>
      </c>
      <c r="I2301" t="s">
        <v>156</v>
      </c>
      <c r="J2301">
        <v>0</v>
      </c>
      <c r="K2301">
        <v>2</v>
      </c>
      <c r="L2301">
        <v>5</v>
      </c>
      <c r="BG2301">
        <v>392</v>
      </c>
      <c r="BI2301" t="s">
        <v>122</v>
      </c>
      <c r="BJ2301">
        <v>0</v>
      </c>
      <c r="BL2301" t="s">
        <v>4790</v>
      </c>
      <c r="BM2301" s="4">
        <v>43283.35</v>
      </c>
      <c r="BN2301" s="4">
        <v>43283.353472222225</v>
      </c>
      <c r="BO2301" s="4">
        <v>43283.353472222225</v>
      </c>
      <c r="BP2301" t="s">
        <v>92</v>
      </c>
      <c r="BQ2301" t="s">
        <v>93</v>
      </c>
      <c r="BR2301" t="s">
        <v>94</v>
      </c>
    </row>
    <row r="2302" spans="1:70" x14ac:dyDescent="0.3">
      <c r="A2302" t="str">
        <f>"201550E0101"</f>
        <v>201550E0101</v>
      </c>
      <c r="B2302" s="2" t="s">
        <v>4791</v>
      </c>
      <c r="C2302">
        <v>20</v>
      </c>
      <c r="D2302" t="s">
        <v>88</v>
      </c>
      <c r="E2302">
        <v>325</v>
      </c>
      <c r="F2302" t="s">
        <v>4761</v>
      </c>
      <c r="G2302">
        <v>1550</v>
      </c>
      <c r="H2302">
        <v>1</v>
      </c>
      <c r="I2302" t="s">
        <v>156</v>
      </c>
      <c r="J2302">
        <v>1</v>
      </c>
      <c r="K2302">
        <v>2</v>
      </c>
      <c r="L2302">
        <v>5</v>
      </c>
      <c r="BG2302">
        <v>391</v>
      </c>
      <c r="BI2302" t="s">
        <v>122</v>
      </c>
      <c r="BJ2302">
        <v>0</v>
      </c>
      <c r="BL2302" t="s">
        <v>4792</v>
      </c>
      <c r="BM2302" s="4">
        <v>43283.194444444445</v>
      </c>
      <c r="BN2302" s="4">
        <v>43283.209594907406</v>
      </c>
      <c r="BO2302" s="4">
        <v>43283.209594907406</v>
      </c>
      <c r="BP2302" t="s">
        <v>92</v>
      </c>
      <c r="BQ2302" t="s">
        <v>93</v>
      </c>
      <c r="BR2302" t="s">
        <v>94</v>
      </c>
    </row>
    <row r="2303" spans="1:70" x14ac:dyDescent="0.3">
      <c r="A2303" t="str">
        <f>"201550E0200"</f>
        <v>201550E0200</v>
      </c>
      <c r="B2303" s="2" t="s">
        <v>4793</v>
      </c>
      <c r="C2303">
        <v>20</v>
      </c>
      <c r="D2303" t="s">
        <v>88</v>
      </c>
      <c r="E2303">
        <v>325</v>
      </c>
      <c r="F2303" t="s">
        <v>4761</v>
      </c>
      <c r="G2303">
        <v>1550</v>
      </c>
      <c r="H2303">
        <v>2</v>
      </c>
      <c r="I2303" t="s">
        <v>156</v>
      </c>
      <c r="J2303">
        <v>0</v>
      </c>
      <c r="K2303">
        <v>2</v>
      </c>
      <c r="L2303">
        <v>5</v>
      </c>
      <c r="M2303">
        <v>87</v>
      </c>
      <c r="N2303">
        <v>333</v>
      </c>
      <c r="O2303">
        <v>0</v>
      </c>
      <c r="P2303">
        <v>33</v>
      </c>
      <c r="Q2303" t="s">
        <v>105</v>
      </c>
      <c r="R2303">
        <v>79</v>
      </c>
      <c r="S2303" t="s">
        <v>105</v>
      </c>
      <c r="T2303" t="s">
        <v>105</v>
      </c>
      <c r="U2303">
        <v>3</v>
      </c>
      <c r="V2303" t="s">
        <v>105</v>
      </c>
      <c r="W2303">
        <v>3</v>
      </c>
      <c r="X2303" t="s">
        <v>105</v>
      </c>
      <c r="Y2303" t="s">
        <v>105</v>
      </c>
      <c r="Z2303">
        <v>2</v>
      </c>
      <c r="AA2303">
        <v>1</v>
      </c>
      <c r="AC2303" t="s">
        <v>105</v>
      </c>
      <c r="AD2303" t="s">
        <v>105</v>
      </c>
      <c r="AE2303" t="s">
        <v>105</v>
      </c>
      <c r="AF2303" t="s">
        <v>105</v>
      </c>
      <c r="AG2303" t="s">
        <v>105</v>
      </c>
      <c r="AH2303" t="s">
        <v>105</v>
      </c>
      <c r="AI2303" t="s">
        <v>105</v>
      </c>
      <c r="AJ2303" t="s">
        <v>105</v>
      </c>
      <c r="AK2303" t="s">
        <v>105</v>
      </c>
      <c r="AL2303" t="s">
        <v>105</v>
      </c>
      <c r="AM2303">
        <v>1</v>
      </c>
      <c r="AN2303">
        <v>124</v>
      </c>
      <c r="AZ2303">
        <v>104</v>
      </c>
      <c r="BC2303">
        <v>0</v>
      </c>
      <c r="BD2303">
        <v>16</v>
      </c>
      <c r="BE2303">
        <v>333</v>
      </c>
      <c r="BF2303">
        <v>333</v>
      </c>
      <c r="BG2303">
        <v>397</v>
      </c>
      <c r="BI2303" t="s">
        <v>106</v>
      </c>
      <c r="BJ2303">
        <v>1</v>
      </c>
      <c r="BL2303" t="s">
        <v>4794</v>
      </c>
      <c r="BM2303" s="4">
        <v>43283.147916666669</v>
      </c>
      <c r="BN2303" s="4">
        <v>43283.164293981485</v>
      </c>
      <c r="BO2303" s="4">
        <v>43283.164293981485</v>
      </c>
      <c r="BP2303" t="s">
        <v>92</v>
      </c>
      <c r="BQ2303" t="s">
        <v>93</v>
      </c>
      <c r="BR2303" t="s">
        <v>94</v>
      </c>
    </row>
    <row r="2304" spans="1:70" x14ac:dyDescent="0.3">
      <c r="A2304" t="str">
        <f>"201551B0100"</f>
        <v>201551B0100</v>
      </c>
      <c r="B2304" t="s">
        <v>4795</v>
      </c>
      <c r="C2304">
        <v>20</v>
      </c>
      <c r="D2304" t="s">
        <v>88</v>
      </c>
      <c r="E2304">
        <v>325</v>
      </c>
      <c r="F2304" t="s">
        <v>4761</v>
      </c>
      <c r="G2304">
        <v>1551</v>
      </c>
      <c r="H2304">
        <v>1</v>
      </c>
      <c r="I2304" t="s">
        <v>90</v>
      </c>
      <c r="J2304">
        <v>0</v>
      </c>
      <c r="K2304">
        <v>2</v>
      </c>
      <c r="L2304">
        <v>5</v>
      </c>
      <c r="M2304">
        <v>82</v>
      </c>
      <c r="N2304">
        <v>237</v>
      </c>
      <c r="O2304">
        <v>0</v>
      </c>
      <c r="P2304">
        <v>237</v>
      </c>
      <c r="Q2304">
        <v>1</v>
      </c>
      <c r="R2304">
        <v>42</v>
      </c>
      <c r="S2304">
        <v>0</v>
      </c>
      <c r="T2304">
        <v>0</v>
      </c>
      <c r="U2304">
        <v>2</v>
      </c>
      <c r="V2304">
        <v>0</v>
      </c>
      <c r="W2304">
        <v>0</v>
      </c>
      <c r="X2304">
        <v>0</v>
      </c>
      <c r="Y2304">
        <v>32</v>
      </c>
      <c r="Z2304">
        <v>2</v>
      </c>
      <c r="AA2304">
        <v>0</v>
      </c>
      <c r="AC2304">
        <v>0</v>
      </c>
      <c r="AD2304">
        <v>0</v>
      </c>
      <c r="AE2304">
        <v>0</v>
      </c>
      <c r="AF2304">
        <v>0</v>
      </c>
      <c r="AG2304">
        <v>0</v>
      </c>
      <c r="AH2304">
        <v>1</v>
      </c>
      <c r="AI2304">
        <v>0</v>
      </c>
      <c r="AJ2304">
        <v>0</v>
      </c>
      <c r="AK2304">
        <v>0</v>
      </c>
      <c r="AL2304">
        <v>0</v>
      </c>
      <c r="AM2304">
        <v>0</v>
      </c>
      <c r="AN2304">
        <v>0</v>
      </c>
      <c r="AZ2304">
        <v>63</v>
      </c>
      <c r="BC2304">
        <v>0</v>
      </c>
      <c r="BD2304">
        <v>11</v>
      </c>
      <c r="BE2304">
        <v>155</v>
      </c>
      <c r="BF2304">
        <v>154</v>
      </c>
      <c r="BG2304">
        <v>214</v>
      </c>
      <c r="BJ2304">
        <v>1</v>
      </c>
      <c r="BL2304" t="s">
        <v>4796</v>
      </c>
      <c r="BM2304" s="4">
        <v>43282.977777777778</v>
      </c>
      <c r="BN2304" s="4">
        <v>43282.98265046296</v>
      </c>
      <c r="BO2304" s="4">
        <v>43282.98265046296</v>
      </c>
      <c r="BP2304" t="s">
        <v>92</v>
      </c>
      <c r="BQ2304" t="s">
        <v>93</v>
      </c>
      <c r="BR2304" t="s">
        <v>94</v>
      </c>
    </row>
    <row r="2305" spans="1:70" x14ac:dyDescent="0.3">
      <c r="A2305" t="str">
        <f>"201552B0100"</f>
        <v>201552B0100</v>
      </c>
      <c r="B2305" t="s">
        <v>4797</v>
      </c>
      <c r="C2305">
        <v>20</v>
      </c>
      <c r="D2305" t="s">
        <v>88</v>
      </c>
      <c r="E2305">
        <v>325</v>
      </c>
      <c r="F2305" t="s">
        <v>4761</v>
      </c>
      <c r="G2305">
        <v>1552</v>
      </c>
      <c r="H2305">
        <v>1</v>
      </c>
      <c r="I2305" t="s">
        <v>90</v>
      </c>
      <c r="J2305">
        <v>0</v>
      </c>
      <c r="K2305">
        <v>2</v>
      </c>
      <c r="L2305">
        <v>5</v>
      </c>
      <c r="M2305">
        <v>89</v>
      </c>
      <c r="N2305">
        <v>156</v>
      </c>
      <c r="O2305">
        <v>0</v>
      </c>
      <c r="P2305">
        <v>156</v>
      </c>
      <c r="Q2305">
        <v>1</v>
      </c>
      <c r="R2305">
        <v>52</v>
      </c>
      <c r="S2305">
        <v>0</v>
      </c>
      <c r="T2305">
        <v>3</v>
      </c>
      <c r="U2305">
        <v>0</v>
      </c>
      <c r="V2305">
        <v>0</v>
      </c>
      <c r="W2305">
        <v>0</v>
      </c>
      <c r="X2305">
        <v>1</v>
      </c>
      <c r="Y2305">
        <v>15</v>
      </c>
      <c r="Z2305">
        <v>1</v>
      </c>
      <c r="AA2305" t="s">
        <v>105</v>
      </c>
      <c r="AC2305">
        <v>0</v>
      </c>
      <c r="AD2305">
        <v>0</v>
      </c>
      <c r="AE2305">
        <v>0</v>
      </c>
      <c r="AF2305">
        <v>1</v>
      </c>
      <c r="AG2305">
        <v>0</v>
      </c>
      <c r="AH2305">
        <v>0</v>
      </c>
      <c r="AI2305">
        <v>0</v>
      </c>
      <c r="AJ2305">
        <v>0</v>
      </c>
      <c r="AK2305">
        <v>0</v>
      </c>
      <c r="AL2305">
        <v>0</v>
      </c>
      <c r="AM2305">
        <v>0</v>
      </c>
      <c r="AN2305">
        <v>0</v>
      </c>
      <c r="AZ2305">
        <v>74</v>
      </c>
      <c r="BC2305">
        <v>0</v>
      </c>
      <c r="BD2305">
        <v>8</v>
      </c>
      <c r="BE2305">
        <v>156</v>
      </c>
      <c r="BF2305">
        <v>156</v>
      </c>
      <c r="BG2305">
        <v>222</v>
      </c>
      <c r="BI2305" t="s">
        <v>106</v>
      </c>
      <c r="BJ2305">
        <v>1</v>
      </c>
      <c r="BL2305" t="s">
        <v>4798</v>
      </c>
      <c r="BM2305" s="4">
        <v>43282.468055555553</v>
      </c>
      <c r="BN2305" s="4">
        <v>43282.971354166664</v>
      </c>
      <c r="BO2305" s="4">
        <v>43282.971354166664</v>
      </c>
      <c r="BP2305" t="s">
        <v>92</v>
      </c>
      <c r="BQ2305" t="s">
        <v>93</v>
      </c>
      <c r="BR2305" t="s">
        <v>94</v>
      </c>
    </row>
    <row r="2306" spans="1:70" x14ac:dyDescent="0.3">
      <c r="A2306" t="str">
        <f>"201552E0100"</f>
        <v>201552E0100</v>
      </c>
      <c r="B2306" s="2" t="s">
        <v>4799</v>
      </c>
      <c r="C2306">
        <v>20</v>
      </c>
      <c r="D2306" t="s">
        <v>88</v>
      </c>
      <c r="E2306">
        <v>325</v>
      </c>
      <c r="F2306" t="s">
        <v>4761</v>
      </c>
      <c r="G2306">
        <v>1552</v>
      </c>
      <c r="H2306">
        <v>1</v>
      </c>
      <c r="I2306" t="s">
        <v>156</v>
      </c>
      <c r="J2306">
        <v>0</v>
      </c>
      <c r="K2306">
        <v>2</v>
      </c>
      <c r="L2306">
        <v>5</v>
      </c>
      <c r="M2306">
        <v>134</v>
      </c>
      <c r="N2306">
        <v>372</v>
      </c>
      <c r="O2306">
        <v>1</v>
      </c>
      <c r="P2306">
        <v>372</v>
      </c>
      <c r="Q2306">
        <v>4</v>
      </c>
      <c r="R2306">
        <v>57</v>
      </c>
      <c r="S2306">
        <v>2</v>
      </c>
      <c r="T2306">
        <v>3</v>
      </c>
      <c r="U2306">
        <v>5</v>
      </c>
      <c r="V2306">
        <v>2</v>
      </c>
      <c r="W2306">
        <v>0</v>
      </c>
      <c r="X2306">
        <v>1</v>
      </c>
      <c r="Y2306">
        <v>73</v>
      </c>
      <c r="Z2306">
        <v>2</v>
      </c>
      <c r="AA2306">
        <v>1</v>
      </c>
      <c r="AC2306">
        <v>0</v>
      </c>
      <c r="AD2306">
        <v>0</v>
      </c>
      <c r="AE2306">
        <v>0</v>
      </c>
      <c r="AF2306">
        <v>0</v>
      </c>
      <c r="AG2306">
        <v>0</v>
      </c>
      <c r="AH2306">
        <v>0</v>
      </c>
      <c r="AI2306">
        <v>0</v>
      </c>
      <c r="AJ2306">
        <v>0</v>
      </c>
      <c r="AK2306">
        <v>0</v>
      </c>
      <c r="AL2306">
        <v>0</v>
      </c>
      <c r="AM2306">
        <v>0</v>
      </c>
      <c r="AN2306">
        <v>0</v>
      </c>
      <c r="AZ2306">
        <v>202</v>
      </c>
      <c r="BC2306">
        <v>0</v>
      </c>
      <c r="BD2306">
        <v>20</v>
      </c>
      <c r="BE2306">
        <v>372</v>
      </c>
      <c r="BF2306">
        <v>372</v>
      </c>
      <c r="BG2306">
        <v>483</v>
      </c>
      <c r="BJ2306">
        <v>1</v>
      </c>
      <c r="BL2306" t="s">
        <v>4800</v>
      </c>
      <c r="BM2306" s="4">
        <v>43282.463888888888</v>
      </c>
      <c r="BN2306" s="4">
        <v>43282.970902777779</v>
      </c>
      <c r="BO2306" s="4">
        <v>43282.970902777779</v>
      </c>
      <c r="BP2306" t="s">
        <v>92</v>
      </c>
      <c r="BQ2306" t="s">
        <v>93</v>
      </c>
      <c r="BR2306" t="s">
        <v>94</v>
      </c>
    </row>
    <row r="2307" spans="1:70" x14ac:dyDescent="0.3">
      <c r="A2307" t="str">
        <f>"201564B0100"</f>
        <v>201564B0100</v>
      </c>
      <c r="B2307" t="s">
        <v>4801</v>
      </c>
      <c r="C2307">
        <v>20</v>
      </c>
      <c r="D2307" t="s">
        <v>88</v>
      </c>
      <c r="E2307">
        <v>332</v>
      </c>
      <c r="F2307" t="s">
        <v>4802</v>
      </c>
      <c r="G2307">
        <v>1564</v>
      </c>
      <c r="H2307">
        <v>1</v>
      </c>
      <c r="I2307" t="s">
        <v>90</v>
      </c>
      <c r="J2307">
        <v>0</v>
      </c>
      <c r="K2307">
        <v>2</v>
      </c>
      <c r="L2307">
        <v>5</v>
      </c>
      <c r="M2307">
        <v>135</v>
      </c>
      <c r="N2307">
        <v>343</v>
      </c>
      <c r="O2307">
        <v>1</v>
      </c>
      <c r="P2307">
        <v>343</v>
      </c>
      <c r="Q2307">
        <v>1</v>
      </c>
      <c r="R2307">
        <v>32</v>
      </c>
      <c r="S2307">
        <v>7</v>
      </c>
      <c r="T2307">
        <v>2</v>
      </c>
      <c r="U2307">
        <v>5</v>
      </c>
      <c r="V2307">
        <v>2</v>
      </c>
      <c r="W2307">
        <v>75</v>
      </c>
      <c r="X2307">
        <v>54</v>
      </c>
      <c r="Y2307">
        <v>134</v>
      </c>
      <c r="Z2307">
        <v>5</v>
      </c>
      <c r="AC2307">
        <v>0</v>
      </c>
      <c r="AD2307">
        <v>0</v>
      </c>
      <c r="AE2307">
        <v>0</v>
      </c>
      <c r="AF2307">
        <v>0</v>
      </c>
      <c r="AG2307">
        <v>5</v>
      </c>
      <c r="AH2307">
        <v>1</v>
      </c>
      <c r="AI2307">
        <v>1</v>
      </c>
      <c r="AJ2307">
        <v>0</v>
      </c>
      <c r="AK2307">
        <v>4</v>
      </c>
      <c r="AL2307">
        <v>1</v>
      </c>
      <c r="AM2307">
        <v>0</v>
      </c>
      <c r="AN2307">
        <v>0</v>
      </c>
      <c r="BC2307">
        <v>0</v>
      </c>
      <c r="BD2307">
        <v>11</v>
      </c>
      <c r="BE2307">
        <v>343</v>
      </c>
      <c r="BF2307">
        <v>340</v>
      </c>
      <c r="BG2307">
        <v>456</v>
      </c>
      <c r="BJ2307">
        <v>1</v>
      </c>
      <c r="BL2307" t="s">
        <v>4803</v>
      </c>
      <c r="BM2307" s="4">
        <v>43283.106944444444</v>
      </c>
      <c r="BN2307" s="4">
        <v>43283.111851851849</v>
      </c>
      <c r="BO2307" s="4">
        <v>43283.111851851849</v>
      </c>
      <c r="BP2307" t="s">
        <v>92</v>
      </c>
      <c r="BQ2307" t="s">
        <v>93</v>
      </c>
      <c r="BR2307" t="s">
        <v>94</v>
      </c>
    </row>
    <row r="2308" spans="1:70" x14ac:dyDescent="0.3">
      <c r="A2308" t="str">
        <f>"201564C0100"</f>
        <v>201564C0100</v>
      </c>
      <c r="B2308" t="s">
        <v>4804</v>
      </c>
      <c r="C2308">
        <v>20</v>
      </c>
      <c r="D2308" t="s">
        <v>88</v>
      </c>
      <c r="E2308">
        <v>332</v>
      </c>
      <c r="F2308" t="s">
        <v>4802</v>
      </c>
      <c r="G2308">
        <v>1564</v>
      </c>
      <c r="H2308">
        <v>1</v>
      </c>
      <c r="I2308" t="s">
        <v>98</v>
      </c>
      <c r="J2308">
        <v>0</v>
      </c>
      <c r="K2308">
        <v>2</v>
      </c>
      <c r="L2308">
        <v>5</v>
      </c>
      <c r="M2308">
        <v>157</v>
      </c>
      <c r="N2308">
        <v>321</v>
      </c>
      <c r="O2308">
        <v>3</v>
      </c>
      <c r="P2308">
        <v>321</v>
      </c>
      <c r="Q2308">
        <v>2</v>
      </c>
      <c r="R2308">
        <v>28</v>
      </c>
      <c r="S2308">
        <v>14</v>
      </c>
      <c r="T2308">
        <v>3</v>
      </c>
      <c r="U2308">
        <v>6</v>
      </c>
      <c r="V2308">
        <v>0</v>
      </c>
      <c r="W2308">
        <v>81</v>
      </c>
      <c r="X2308">
        <v>39</v>
      </c>
      <c r="Y2308">
        <v>122</v>
      </c>
      <c r="Z2308">
        <v>3</v>
      </c>
      <c r="AC2308">
        <v>1</v>
      </c>
      <c r="AD2308">
        <v>0</v>
      </c>
      <c r="AE2308">
        <v>0</v>
      </c>
      <c r="AF2308">
        <v>0</v>
      </c>
      <c r="AG2308" t="s">
        <v>105</v>
      </c>
      <c r="AH2308" t="s">
        <v>105</v>
      </c>
      <c r="AI2308" t="s">
        <v>105</v>
      </c>
      <c r="AJ2308" t="s">
        <v>127</v>
      </c>
      <c r="AK2308">
        <v>3</v>
      </c>
      <c r="AL2308">
        <v>1</v>
      </c>
      <c r="AM2308">
        <v>0</v>
      </c>
      <c r="AN2308">
        <v>0</v>
      </c>
      <c r="BC2308">
        <v>2</v>
      </c>
      <c r="BD2308">
        <v>9</v>
      </c>
      <c r="BE2308">
        <v>321</v>
      </c>
      <c r="BF2308">
        <v>314</v>
      </c>
      <c r="BG2308">
        <v>456</v>
      </c>
      <c r="BI2308" t="s">
        <v>106</v>
      </c>
      <c r="BJ2308">
        <v>1</v>
      </c>
      <c r="BL2308" t="s">
        <v>4805</v>
      </c>
      <c r="BM2308" s="4">
        <v>43283.104861111111</v>
      </c>
      <c r="BN2308" s="4">
        <v>43283.116747685184</v>
      </c>
      <c r="BO2308" s="4">
        <v>43283.116747685184</v>
      </c>
      <c r="BP2308" t="s">
        <v>92</v>
      </c>
      <c r="BQ2308" t="s">
        <v>93</v>
      </c>
      <c r="BR2308" t="s">
        <v>94</v>
      </c>
    </row>
    <row r="2309" spans="1:70" x14ac:dyDescent="0.3">
      <c r="A2309" t="str">
        <f>"201564E0100"</f>
        <v>201564E0100</v>
      </c>
      <c r="B2309" s="2" t="s">
        <v>4806</v>
      </c>
      <c r="C2309">
        <v>20</v>
      </c>
      <c r="D2309" t="s">
        <v>88</v>
      </c>
      <c r="E2309">
        <v>332</v>
      </c>
      <c r="F2309" t="s">
        <v>4802</v>
      </c>
      <c r="G2309">
        <v>1564</v>
      </c>
      <c r="H2309">
        <v>1</v>
      </c>
      <c r="I2309" t="s">
        <v>156</v>
      </c>
      <c r="J2309">
        <v>0</v>
      </c>
      <c r="K2309">
        <v>2</v>
      </c>
      <c r="L2309">
        <v>5</v>
      </c>
      <c r="M2309">
        <v>72</v>
      </c>
      <c r="N2309">
        <v>131</v>
      </c>
      <c r="O2309">
        <v>0</v>
      </c>
      <c r="P2309">
        <v>131</v>
      </c>
      <c r="Q2309">
        <v>0</v>
      </c>
      <c r="R2309">
        <v>4</v>
      </c>
      <c r="S2309">
        <v>0</v>
      </c>
      <c r="T2309">
        <v>1</v>
      </c>
      <c r="U2309">
        <v>2</v>
      </c>
      <c r="V2309">
        <v>1</v>
      </c>
      <c r="W2309">
        <v>95</v>
      </c>
      <c r="X2309">
        <v>9</v>
      </c>
      <c r="Y2309">
        <v>7</v>
      </c>
      <c r="Z2309">
        <v>1</v>
      </c>
      <c r="AC2309">
        <v>0</v>
      </c>
      <c r="AD2309">
        <v>0</v>
      </c>
      <c r="AE2309">
        <v>0</v>
      </c>
      <c r="AF2309" t="s">
        <v>105</v>
      </c>
      <c r="AG2309" t="s">
        <v>105</v>
      </c>
      <c r="AH2309" t="s">
        <v>105</v>
      </c>
      <c r="AI2309" t="s">
        <v>105</v>
      </c>
      <c r="AJ2309" t="s">
        <v>105</v>
      </c>
      <c r="AK2309" t="s">
        <v>105</v>
      </c>
      <c r="AL2309" t="s">
        <v>105</v>
      </c>
      <c r="AM2309" t="s">
        <v>105</v>
      </c>
      <c r="AN2309" t="s">
        <v>105</v>
      </c>
      <c r="BC2309" t="s">
        <v>105</v>
      </c>
      <c r="BD2309" t="s">
        <v>105</v>
      </c>
      <c r="BE2309" t="s">
        <v>105</v>
      </c>
      <c r="BF2309">
        <v>120</v>
      </c>
      <c r="BG2309">
        <v>181</v>
      </c>
      <c r="BI2309" t="s">
        <v>106</v>
      </c>
      <c r="BJ2309">
        <v>1</v>
      </c>
      <c r="BL2309" t="s">
        <v>4807</v>
      </c>
      <c r="BM2309" s="4">
        <v>43282.44027777778</v>
      </c>
      <c r="BN2309" s="4">
        <v>43282.952303240738</v>
      </c>
      <c r="BO2309" s="4">
        <v>43282.952303240738</v>
      </c>
      <c r="BP2309" t="s">
        <v>92</v>
      </c>
      <c r="BQ2309" t="s">
        <v>93</v>
      </c>
      <c r="BR2309" t="s">
        <v>94</v>
      </c>
    </row>
    <row r="2310" spans="1:70" x14ac:dyDescent="0.3">
      <c r="A2310" t="str">
        <f>"201565B0100"</f>
        <v>201565B0100</v>
      </c>
      <c r="B2310" t="s">
        <v>4808</v>
      </c>
      <c r="C2310">
        <v>20</v>
      </c>
      <c r="D2310" t="s">
        <v>88</v>
      </c>
      <c r="E2310">
        <v>332</v>
      </c>
      <c r="F2310" t="s">
        <v>4802</v>
      </c>
      <c r="G2310">
        <v>1565</v>
      </c>
      <c r="H2310">
        <v>1</v>
      </c>
      <c r="I2310" t="s">
        <v>90</v>
      </c>
      <c r="J2310">
        <v>0</v>
      </c>
      <c r="K2310">
        <v>1</v>
      </c>
      <c r="L2310">
        <v>5</v>
      </c>
      <c r="M2310">
        <v>129</v>
      </c>
      <c r="N2310">
        <v>311</v>
      </c>
      <c r="O2310">
        <v>0</v>
      </c>
      <c r="P2310">
        <v>311</v>
      </c>
      <c r="Q2310">
        <v>2</v>
      </c>
      <c r="R2310">
        <v>33</v>
      </c>
      <c r="S2310">
        <v>17</v>
      </c>
      <c r="T2310">
        <v>0</v>
      </c>
      <c r="U2310">
        <v>7</v>
      </c>
      <c r="V2310">
        <v>1</v>
      </c>
      <c r="W2310">
        <v>52</v>
      </c>
      <c r="X2310">
        <v>39</v>
      </c>
      <c r="Y2310">
        <v>131</v>
      </c>
      <c r="Z2310">
        <v>5</v>
      </c>
      <c r="AC2310">
        <v>0</v>
      </c>
      <c r="AD2310">
        <v>0</v>
      </c>
      <c r="AE2310">
        <v>0</v>
      </c>
      <c r="AF2310">
        <v>0</v>
      </c>
      <c r="AG2310">
        <v>8</v>
      </c>
      <c r="AH2310">
        <v>0</v>
      </c>
      <c r="AI2310">
        <v>0</v>
      </c>
      <c r="AJ2310">
        <v>0</v>
      </c>
      <c r="AK2310">
        <v>0</v>
      </c>
      <c r="AL2310">
        <v>0</v>
      </c>
      <c r="AM2310">
        <v>0</v>
      </c>
      <c r="AN2310">
        <v>4</v>
      </c>
      <c r="BC2310">
        <v>2</v>
      </c>
      <c r="BD2310">
        <v>10</v>
      </c>
      <c r="BE2310">
        <v>311</v>
      </c>
      <c r="BF2310">
        <v>311</v>
      </c>
      <c r="BG2310">
        <v>418</v>
      </c>
      <c r="BJ2310">
        <v>1</v>
      </c>
      <c r="BL2310" t="s">
        <v>4809</v>
      </c>
      <c r="BM2310" s="4">
        <v>43283.088194444441</v>
      </c>
      <c r="BN2310" s="4">
        <v>43283.0940162037</v>
      </c>
      <c r="BO2310" s="4">
        <v>43283.0940162037</v>
      </c>
      <c r="BP2310" t="s">
        <v>92</v>
      </c>
      <c r="BQ2310" t="s">
        <v>93</v>
      </c>
      <c r="BR2310" t="s">
        <v>94</v>
      </c>
    </row>
    <row r="2311" spans="1:70" x14ac:dyDescent="0.3">
      <c r="A2311" t="str">
        <f>"201565C0100"</f>
        <v>201565C0100</v>
      </c>
      <c r="B2311" t="s">
        <v>4810</v>
      </c>
      <c r="C2311">
        <v>20</v>
      </c>
      <c r="D2311" t="s">
        <v>88</v>
      </c>
      <c r="E2311">
        <v>332</v>
      </c>
      <c r="F2311" t="s">
        <v>4802</v>
      </c>
      <c r="G2311">
        <v>1565</v>
      </c>
      <c r="H2311">
        <v>1</v>
      </c>
      <c r="I2311" t="s">
        <v>98</v>
      </c>
      <c r="J2311">
        <v>0</v>
      </c>
      <c r="K2311">
        <v>1</v>
      </c>
      <c r="L2311">
        <v>5</v>
      </c>
      <c r="M2311">
        <v>127</v>
      </c>
      <c r="N2311">
        <v>313</v>
      </c>
      <c r="O2311">
        <v>0</v>
      </c>
      <c r="P2311">
        <v>313</v>
      </c>
      <c r="Q2311">
        <v>0</v>
      </c>
      <c r="R2311">
        <v>27</v>
      </c>
      <c r="S2311">
        <v>10</v>
      </c>
      <c r="T2311">
        <v>5</v>
      </c>
      <c r="U2311">
        <v>3</v>
      </c>
      <c r="V2311">
        <v>1</v>
      </c>
      <c r="W2311">
        <v>62</v>
      </c>
      <c r="X2311">
        <v>53</v>
      </c>
      <c r="Y2311">
        <v>127</v>
      </c>
      <c r="Z2311">
        <v>6</v>
      </c>
      <c r="AC2311">
        <v>0</v>
      </c>
      <c r="AD2311">
        <v>0</v>
      </c>
      <c r="AE2311">
        <v>0</v>
      </c>
      <c r="AF2311">
        <v>0</v>
      </c>
      <c r="AG2311">
        <v>7</v>
      </c>
      <c r="AH2311">
        <v>0</v>
      </c>
      <c r="AI2311">
        <v>0</v>
      </c>
      <c r="AJ2311">
        <v>0</v>
      </c>
      <c r="AK2311">
        <v>2</v>
      </c>
      <c r="AL2311">
        <v>1</v>
      </c>
      <c r="AM2311">
        <v>0</v>
      </c>
      <c r="AN2311">
        <v>0</v>
      </c>
      <c r="BC2311">
        <v>2</v>
      </c>
      <c r="BD2311">
        <v>7</v>
      </c>
      <c r="BE2311">
        <v>313</v>
      </c>
      <c r="BF2311">
        <v>313</v>
      </c>
      <c r="BG2311">
        <v>418</v>
      </c>
      <c r="BJ2311">
        <v>1</v>
      </c>
      <c r="BL2311" t="s">
        <v>4811</v>
      </c>
      <c r="BM2311" s="4">
        <v>43283.085416666669</v>
      </c>
      <c r="BN2311" s="4">
        <v>43283.092627314814</v>
      </c>
      <c r="BO2311" s="4">
        <v>43283.092627314814</v>
      </c>
      <c r="BP2311" t="s">
        <v>92</v>
      </c>
      <c r="BQ2311" t="s">
        <v>93</v>
      </c>
      <c r="BR2311" t="s">
        <v>94</v>
      </c>
    </row>
    <row r="2312" spans="1:70" x14ac:dyDescent="0.3">
      <c r="A2312" t="str">
        <f>"201566B0100"</f>
        <v>201566B0100</v>
      </c>
      <c r="B2312" t="s">
        <v>4812</v>
      </c>
      <c r="C2312">
        <v>20</v>
      </c>
      <c r="D2312" t="s">
        <v>88</v>
      </c>
      <c r="E2312">
        <v>332</v>
      </c>
      <c r="F2312" t="s">
        <v>4802</v>
      </c>
      <c r="G2312">
        <v>1566</v>
      </c>
      <c r="H2312">
        <v>1</v>
      </c>
      <c r="I2312" t="s">
        <v>90</v>
      </c>
      <c r="J2312">
        <v>0</v>
      </c>
      <c r="K2312">
        <v>2</v>
      </c>
      <c r="L2312">
        <v>5</v>
      </c>
      <c r="M2312">
        <v>201</v>
      </c>
      <c r="N2312">
        <v>659</v>
      </c>
      <c r="O2312">
        <v>0</v>
      </c>
      <c r="P2312">
        <v>458</v>
      </c>
      <c r="Q2312">
        <v>2</v>
      </c>
      <c r="R2312">
        <v>95</v>
      </c>
      <c r="S2312">
        <v>8</v>
      </c>
      <c r="T2312">
        <v>1</v>
      </c>
      <c r="U2312">
        <v>7</v>
      </c>
      <c r="V2312">
        <v>3</v>
      </c>
      <c r="W2312">
        <v>172</v>
      </c>
      <c r="X2312">
        <v>56</v>
      </c>
      <c r="Y2312">
        <v>80</v>
      </c>
      <c r="Z2312">
        <v>0</v>
      </c>
      <c r="AC2312">
        <v>0</v>
      </c>
      <c r="AD2312">
        <v>0</v>
      </c>
      <c r="AE2312">
        <v>0</v>
      </c>
      <c r="AF2312">
        <v>0</v>
      </c>
      <c r="AG2312">
        <v>3</v>
      </c>
      <c r="AH2312">
        <v>3</v>
      </c>
      <c r="AI2312">
        <v>3</v>
      </c>
      <c r="AJ2312">
        <v>0</v>
      </c>
      <c r="AK2312">
        <v>0</v>
      </c>
      <c r="AL2312">
        <v>0</v>
      </c>
      <c r="AM2312">
        <v>0</v>
      </c>
      <c r="AN2312">
        <v>0</v>
      </c>
      <c r="BC2312">
        <v>0</v>
      </c>
      <c r="BD2312">
        <v>24</v>
      </c>
      <c r="BE2312">
        <v>457</v>
      </c>
      <c r="BF2312">
        <v>457</v>
      </c>
      <c r="BG2312">
        <v>637</v>
      </c>
      <c r="BJ2312">
        <v>1</v>
      </c>
      <c r="BL2312" s="2" t="s">
        <v>4813</v>
      </c>
      <c r="BM2312" s="4">
        <v>43283.156944444447</v>
      </c>
      <c r="BN2312" s="4">
        <v>43283.181597222225</v>
      </c>
      <c r="BO2312" s="4">
        <v>43283.181597222225</v>
      </c>
      <c r="BP2312" t="s">
        <v>92</v>
      </c>
      <c r="BQ2312" t="s">
        <v>93</v>
      </c>
      <c r="BR2312" t="s">
        <v>94</v>
      </c>
    </row>
    <row r="2313" spans="1:70" x14ac:dyDescent="0.3">
      <c r="A2313" t="str">
        <f>"201566C0100"</f>
        <v>201566C0100</v>
      </c>
      <c r="B2313" t="s">
        <v>4814</v>
      </c>
      <c r="C2313">
        <v>20</v>
      </c>
      <c r="D2313" t="s">
        <v>88</v>
      </c>
      <c r="E2313">
        <v>332</v>
      </c>
      <c r="F2313" t="s">
        <v>4802</v>
      </c>
      <c r="G2313">
        <v>1566</v>
      </c>
      <c r="H2313">
        <v>1</v>
      </c>
      <c r="I2313" t="s">
        <v>98</v>
      </c>
      <c r="J2313">
        <v>0</v>
      </c>
      <c r="K2313">
        <v>2</v>
      </c>
      <c r="L2313">
        <v>5</v>
      </c>
      <c r="M2313">
        <v>205</v>
      </c>
      <c r="N2313">
        <v>453</v>
      </c>
      <c r="O2313">
        <v>0</v>
      </c>
      <c r="P2313">
        <v>0</v>
      </c>
      <c r="Q2313">
        <v>1</v>
      </c>
      <c r="R2313">
        <v>76</v>
      </c>
      <c r="S2313">
        <v>10</v>
      </c>
      <c r="T2313">
        <v>3</v>
      </c>
      <c r="U2313">
        <v>5</v>
      </c>
      <c r="V2313">
        <v>1</v>
      </c>
      <c r="W2313">
        <v>186</v>
      </c>
      <c r="X2313">
        <v>57</v>
      </c>
      <c r="Y2313">
        <v>68</v>
      </c>
      <c r="Z2313">
        <v>0</v>
      </c>
      <c r="AC2313">
        <v>0</v>
      </c>
      <c r="AD2313">
        <v>0</v>
      </c>
      <c r="AE2313">
        <v>0</v>
      </c>
      <c r="AF2313">
        <v>0</v>
      </c>
      <c r="AG2313">
        <v>5</v>
      </c>
      <c r="AH2313">
        <v>4</v>
      </c>
      <c r="AI2313">
        <v>5</v>
      </c>
      <c r="AJ2313">
        <v>5</v>
      </c>
      <c r="AK2313">
        <v>2</v>
      </c>
      <c r="AL2313">
        <v>0</v>
      </c>
      <c r="AM2313">
        <v>0</v>
      </c>
      <c r="AN2313">
        <v>0</v>
      </c>
      <c r="BC2313">
        <v>2</v>
      </c>
      <c r="BD2313">
        <v>27</v>
      </c>
      <c r="BE2313">
        <v>453</v>
      </c>
      <c r="BF2313">
        <v>457</v>
      </c>
      <c r="BG2313">
        <v>636</v>
      </c>
      <c r="BJ2313">
        <v>1</v>
      </c>
      <c r="BL2313" t="s">
        <v>4815</v>
      </c>
      <c r="BM2313" s="4">
        <v>43283.15625</v>
      </c>
      <c r="BN2313" s="4">
        <v>43283.180023148147</v>
      </c>
      <c r="BO2313" s="4">
        <v>43283.180023148147</v>
      </c>
      <c r="BP2313" t="s">
        <v>92</v>
      </c>
      <c r="BQ2313" t="s">
        <v>93</v>
      </c>
      <c r="BR2313" t="s">
        <v>94</v>
      </c>
    </row>
    <row r="2314" spans="1:70" x14ac:dyDescent="0.3">
      <c r="A2314" t="str">
        <f>"201567B0100"</f>
        <v>201567B0100</v>
      </c>
      <c r="B2314" t="s">
        <v>4816</v>
      </c>
      <c r="C2314">
        <v>20</v>
      </c>
      <c r="D2314" t="s">
        <v>88</v>
      </c>
      <c r="E2314">
        <v>332</v>
      </c>
      <c r="F2314" t="s">
        <v>4802</v>
      </c>
      <c r="G2314">
        <v>1567</v>
      </c>
      <c r="H2314">
        <v>1</v>
      </c>
      <c r="I2314" t="s">
        <v>90</v>
      </c>
      <c r="J2314">
        <v>0</v>
      </c>
      <c r="K2314">
        <v>2</v>
      </c>
      <c r="L2314">
        <v>5</v>
      </c>
      <c r="M2314">
        <v>189</v>
      </c>
      <c r="N2314">
        <v>369</v>
      </c>
      <c r="O2314">
        <v>2</v>
      </c>
      <c r="P2314">
        <v>361</v>
      </c>
      <c r="Q2314">
        <v>3</v>
      </c>
      <c r="R2314">
        <v>123</v>
      </c>
      <c r="S2314">
        <v>4</v>
      </c>
      <c r="T2314">
        <v>7</v>
      </c>
      <c r="U2314">
        <v>7</v>
      </c>
      <c r="V2314">
        <v>6</v>
      </c>
      <c r="W2314" t="s">
        <v>105</v>
      </c>
      <c r="X2314" t="s">
        <v>105</v>
      </c>
      <c r="Y2314" t="s">
        <v>105</v>
      </c>
      <c r="Z2314" t="s">
        <v>105</v>
      </c>
      <c r="AC2314" t="s">
        <v>105</v>
      </c>
      <c r="AD2314" t="s">
        <v>105</v>
      </c>
      <c r="AE2314" t="s">
        <v>105</v>
      </c>
      <c r="AF2314" t="s">
        <v>105</v>
      </c>
      <c r="AG2314">
        <v>5</v>
      </c>
      <c r="AH2314" t="s">
        <v>105</v>
      </c>
      <c r="AI2314">
        <v>3</v>
      </c>
      <c r="AJ2314" t="s">
        <v>105</v>
      </c>
      <c r="AK2314" t="s">
        <v>105</v>
      </c>
      <c r="AL2314" t="s">
        <v>105</v>
      </c>
      <c r="AM2314" t="s">
        <v>105</v>
      </c>
      <c r="AN2314" t="s">
        <v>105</v>
      </c>
      <c r="BC2314" t="s">
        <v>105</v>
      </c>
      <c r="BD2314" t="s">
        <v>105</v>
      </c>
      <c r="BE2314" t="s">
        <v>105</v>
      </c>
      <c r="BF2314">
        <v>158</v>
      </c>
      <c r="BG2314">
        <v>536</v>
      </c>
      <c r="BI2314" t="s">
        <v>106</v>
      </c>
      <c r="BJ2314">
        <v>1</v>
      </c>
      <c r="BL2314" t="s">
        <v>4817</v>
      </c>
      <c r="BM2314" s="4">
        <v>43283.10833333333</v>
      </c>
      <c r="BN2314" s="4">
        <v>43283.125127314815</v>
      </c>
      <c r="BO2314" s="4">
        <v>43283.125127314815</v>
      </c>
      <c r="BP2314" t="s">
        <v>92</v>
      </c>
      <c r="BQ2314" t="s">
        <v>93</v>
      </c>
      <c r="BR2314" t="s">
        <v>94</v>
      </c>
    </row>
    <row r="2315" spans="1:70" x14ac:dyDescent="0.3">
      <c r="A2315" t="str">
        <f>"201567C0100"</f>
        <v>201567C0100</v>
      </c>
      <c r="B2315" t="s">
        <v>4818</v>
      </c>
      <c r="C2315">
        <v>20</v>
      </c>
      <c r="D2315" t="s">
        <v>88</v>
      </c>
      <c r="E2315">
        <v>332</v>
      </c>
      <c r="F2315" t="s">
        <v>4802</v>
      </c>
      <c r="G2315">
        <v>1567</v>
      </c>
      <c r="H2315">
        <v>1</v>
      </c>
      <c r="I2315" t="s">
        <v>98</v>
      </c>
      <c r="J2315">
        <v>0</v>
      </c>
      <c r="K2315">
        <v>2</v>
      </c>
      <c r="L2315">
        <v>5</v>
      </c>
      <c r="M2315">
        <v>181</v>
      </c>
      <c r="N2315" t="s">
        <v>105</v>
      </c>
      <c r="O2315" t="s">
        <v>105</v>
      </c>
      <c r="P2315">
        <v>397</v>
      </c>
      <c r="Q2315">
        <v>4</v>
      </c>
      <c r="R2315">
        <v>61</v>
      </c>
      <c r="S2315">
        <v>8</v>
      </c>
      <c r="T2315">
        <v>4</v>
      </c>
      <c r="U2315">
        <v>5</v>
      </c>
      <c r="V2315" t="s">
        <v>105</v>
      </c>
      <c r="W2315">
        <v>98</v>
      </c>
      <c r="X2315">
        <v>45</v>
      </c>
      <c r="Y2315">
        <v>123</v>
      </c>
      <c r="Z2315">
        <v>6</v>
      </c>
      <c r="AC2315">
        <v>1</v>
      </c>
      <c r="AD2315" t="s">
        <v>105</v>
      </c>
      <c r="AE2315" t="s">
        <v>105</v>
      </c>
      <c r="AF2315" t="s">
        <v>105</v>
      </c>
      <c r="AG2315">
        <v>6</v>
      </c>
      <c r="AH2315">
        <v>3</v>
      </c>
      <c r="AI2315">
        <v>3</v>
      </c>
      <c r="AJ2315" t="s">
        <v>105</v>
      </c>
      <c r="AK2315" t="s">
        <v>105</v>
      </c>
      <c r="AL2315" t="s">
        <v>105</v>
      </c>
      <c r="AM2315" t="s">
        <v>105</v>
      </c>
      <c r="AN2315">
        <v>1</v>
      </c>
      <c r="BC2315">
        <v>2</v>
      </c>
      <c r="BD2315">
        <v>23</v>
      </c>
      <c r="BE2315">
        <v>397</v>
      </c>
      <c r="BF2315">
        <v>393</v>
      </c>
      <c r="BG2315">
        <v>535</v>
      </c>
      <c r="BI2315" t="s">
        <v>106</v>
      </c>
      <c r="BJ2315">
        <v>1</v>
      </c>
      <c r="BL2315" t="s">
        <v>4819</v>
      </c>
      <c r="BM2315" s="4">
        <v>43283.103472222225</v>
      </c>
      <c r="BN2315" s="4">
        <v>43283.110185185185</v>
      </c>
      <c r="BO2315" s="4">
        <v>43283.110185185185</v>
      </c>
      <c r="BP2315" t="s">
        <v>92</v>
      </c>
      <c r="BQ2315" t="s">
        <v>93</v>
      </c>
      <c r="BR2315" t="s">
        <v>94</v>
      </c>
    </row>
    <row r="2316" spans="1:70" x14ac:dyDescent="0.3">
      <c r="A2316" t="str">
        <f>"201568B0100"</f>
        <v>201568B0100</v>
      </c>
      <c r="B2316" t="s">
        <v>4820</v>
      </c>
      <c r="C2316">
        <v>20</v>
      </c>
      <c r="D2316" t="s">
        <v>88</v>
      </c>
      <c r="E2316">
        <v>332</v>
      </c>
      <c r="F2316" t="s">
        <v>4802</v>
      </c>
      <c r="G2316">
        <v>1568</v>
      </c>
      <c r="H2316">
        <v>1</v>
      </c>
      <c r="I2316" t="s">
        <v>90</v>
      </c>
      <c r="J2316">
        <v>0</v>
      </c>
      <c r="K2316">
        <v>2</v>
      </c>
      <c r="L2316">
        <v>5</v>
      </c>
      <c r="M2316">
        <v>209</v>
      </c>
      <c r="N2316">
        <v>447</v>
      </c>
      <c r="O2316">
        <v>0</v>
      </c>
      <c r="P2316">
        <v>447</v>
      </c>
      <c r="Q2316">
        <v>3</v>
      </c>
      <c r="R2316">
        <v>58</v>
      </c>
      <c r="S2316">
        <v>4</v>
      </c>
      <c r="T2316">
        <v>7</v>
      </c>
      <c r="U2316">
        <v>8</v>
      </c>
      <c r="V2316">
        <v>5</v>
      </c>
      <c r="W2316">
        <v>60</v>
      </c>
      <c r="X2316">
        <v>66</v>
      </c>
      <c r="Y2316">
        <v>206</v>
      </c>
      <c r="Z2316">
        <v>2</v>
      </c>
      <c r="AC2316">
        <v>0</v>
      </c>
      <c r="AD2316">
        <v>0</v>
      </c>
      <c r="AE2316">
        <v>0</v>
      </c>
      <c r="AF2316">
        <v>0</v>
      </c>
      <c r="AG2316">
        <v>5</v>
      </c>
      <c r="AH2316">
        <v>0</v>
      </c>
      <c r="AI2316">
        <v>6</v>
      </c>
      <c r="AJ2316">
        <v>0</v>
      </c>
      <c r="AK2316">
        <v>3</v>
      </c>
      <c r="AL2316">
        <v>1</v>
      </c>
      <c r="AM2316">
        <v>0</v>
      </c>
      <c r="AN2316">
        <v>2</v>
      </c>
      <c r="BC2316">
        <v>5</v>
      </c>
      <c r="BD2316">
        <v>6</v>
      </c>
      <c r="BE2316">
        <v>447</v>
      </c>
      <c r="BF2316">
        <v>447</v>
      </c>
      <c r="BG2316">
        <v>634</v>
      </c>
      <c r="BJ2316">
        <v>1</v>
      </c>
      <c r="BL2316" s="2" t="s">
        <v>4821</v>
      </c>
      <c r="BM2316" s="4">
        <v>43283.202777777777</v>
      </c>
      <c r="BN2316" s="4">
        <v>43283.221956018519</v>
      </c>
      <c r="BO2316" s="4">
        <v>43283.221956018519</v>
      </c>
      <c r="BP2316" t="s">
        <v>92</v>
      </c>
      <c r="BQ2316" t="s">
        <v>93</v>
      </c>
      <c r="BR2316" t="s">
        <v>94</v>
      </c>
    </row>
    <row r="2317" spans="1:70" x14ac:dyDescent="0.3">
      <c r="A2317" t="str">
        <f>"201568C0100"</f>
        <v>201568C0100</v>
      </c>
      <c r="B2317" t="s">
        <v>4822</v>
      </c>
      <c r="C2317">
        <v>20</v>
      </c>
      <c r="D2317" t="s">
        <v>88</v>
      </c>
      <c r="E2317">
        <v>332</v>
      </c>
      <c r="F2317" t="s">
        <v>4802</v>
      </c>
      <c r="G2317">
        <v>1568</v>
      </c>
      <c r="H2317">
        <v>1</v>
      </c>
      <c r="I2317" t="s">
        <v>98</v>
      </c>
      <c r="J2317">
        <v>0</v>
      </c>
      <c r="K2317">
        <v>2</v>
      </c>
      <c r="L2317">
        <v>5</v>
      </c>
      <c r="M2317">
        <v>205</v>
      </c>
      <c r="N2317">
        <v>450</v>
      </c>
      <c r="O2317">
        <v>0</v>
      </c>
      <c r="P2317">
        <v>450</v>
      </c>
      <c r="Q2317">
        <v>5</v>
      </c>
      <c r="R2317">
        <v>69</v>
      </c>
      <c r="S2317">
        <v>5</v>
      </c>
      <c r="T2317">
        <v>4</v>
      </c>
      <c r="U2317">
        <v>6</v>
      </c>
      <c r="V2317">
        <v>5</v>
      </c>
      <c r="W2317">
        <v>64</v>
      </c>
      <c r="X2317">
        <v>52</v>
      </c>
      <c r="Y2317">
        <v>193</v>
      </c>
      <c r="Z2317">
        <v>6</v>
      </c>
      <c r="AC2317">
        <v>0</v>
      </c>
      <c r="AD2317">
        <v>0</v>
      </c>
      <c r="AE2317">
        <v>0</v>
      </c>
      <c r="AF2317">
        <v>0</v>
      </c>
      <c r="AG2317">
        <v>0</v>
      </c>
      <c r="AH2317">
        <v>7</v>
      </c>
      <c r="AI2317">
        <v>0</v>
      </c>
      <c r="AJ2317">
        <v>0</v>
      </c>
      <c r="AK2317">
        <v>5</v>
      </c>
      <c r="AL2317">
        <v>0</v>
      </c>
      <c r="AM2317">
        <v>0</v>
      </c>
      <c r="AN2317">
        <v>2</v>
      </c>
      <c r="BC2317">
        <v>0</v>
      </c>
      <c r="BD2317">
        <v>17</v>
      </c>
      <c r="BE2317">
        <v>450</v>
      </c>
      <c r="BF2317">
        <v>440</v>
      </c>
      <c r="BG2317">
        <v>633</v>
      </c>
      <c r="BJ2317">
        <v>1</v>
      </c>
      <c r="BL2317" t="s">
        <v>4823</v>
      </c>
      <c r="BM2317" s="4">
        <v>43283.204861111109</v>
      </c>
      <c r="BN2317" s="4">
        <v>43283.223020833335</v>
      </c>
      <c r="BO2317" s="4">
        <v>43283.223020833335</v>
      </c>
      <c r="BP2317" t="s">
        <v>92</v>
      </c>
      <c r="BQ2317" t="s">
        <v>93</v>
      </c>
      <c r="BR2317" t="s">
        <v>94</v>
      </c>
    </row>
    <row r="2318" spans="1:70" x14ac:dyDescent="0.3">
      <c r="A2318" t="str">
        <f>"201568C0200"</f>
        <v>201568C0200</v>
      </c>
      <c r="B2318" t="s">
        <v>4824</v>
      </c>
      <c r="C2318">
        <v>20</v>
      </c>
      <c r="D2318" t="s">
        <v>88</v>
      </c>
      <c r="E2318">
        <v>332</v>
      </c>
      <c r="F2318" t="s">
        <v>4802</v>
      </c>
      <c r="G2318">
        <v>1568</v>
      </c>
      <c r="H2318">
        <v>2</v>
      </c>
      <c r="I2318" t="s">
        <v>98</v>
      </c>
      <c r="J2318">
        <v>0</v>
      </c>
      <c r="K2318">
        <v>2</v>
      </c>
      <c r="L2318">
        <v>5</v>
      </c>
      <c r="M2318">
        <v>170</v>
      </c>
      <c r="N2318">
        <v>485</v>
      </c>
      <c r="O2318">
        <v>0</v>
      </c>
      <c r="P2318">
        <v>0</v>
      </c>
      <c r="Q2318">
        <v>4</v>
      </c>
      <c r="R2318">
        <v>54</v>
      </c>
      <c r="S2318">
        <v>6</v>
      </c>
      <c r="T2318">
        <v>1</v>
      </c>
      <c r="U2318">
        <v>12</v>
      </c>
      <c r="V2318">
        <v>3</v>
      </c>
      <c r="W2318">
        <v>85</v>
      </c>
      <c r="X2318">
        <v>66</v>
      </c>
      <c r="Y2318">
        <v>218</v>
      </c>
      <c r="Z2318">
        <v>5</v>
      </c>
      <c r="AC2318">
        <v>0</v>
      </c>
      <c r="AD2318">
        <v>0</v>
      </c>
      <c r="AE2318">
        <v>0</v>
      </c>
      <c r="AF2318">
        <v>0</v>
      </c>
      <c r="AG2318">
        <v>6</v>
      </c>
      <c r="AH2318">
        <v>0</v>
      </c>
      <c r="AI2318">
        <v>0</v>
      </c>
      <c r="AJ2318">
        <v>0</v>
      </c>
      <c r="AK2318">
        <v>8</v>
      </c>
      <c r="AL2318">
        <v>0</v>
      </c>
      <c r="AM2318">
        <v>0</v>
      </c>
      <c r="AN2318">
        <v>0</v>
      </c>
      <c r="BC2318">
        <v>0</v>
      </c>
      <c r="BD2318">
        <v>17</v>
      </c>
      <c r="BE2318">
        <v>485</v>
      </c>
      <c r="BF2318">
        <v>485</v>
      </c>
      <c r="BG2318">
        <v>633</v>
      </c>
      <c r="BJ2318">
        <v>1</v>
      </c>
      <c r="BL2318" t="s">
        <v>4825</v>
      </c>
      <c r="BM2318" s="4">
        <v>43283.206944444442</v>
      </c>
      <c r="BN2318" s="4">
        <v>43283.229687500003</v>
      </c>
      <c r="BO2318" s="4">
        <v>43283.229687500003</v>
      </c>
      <c r="BP2318" t="s">
        <v>92</v>
      </c>
      <c r="BQ2318" t="s">
        <v>93</v>
      </c>
      <c r="BR2318" t="s">
        <v>94</v>
      </c>
    </row>
    <row r="2319" spans="1:70" x14ac:dyDescent="0.3">
      <c r="A2319" t="str">
        <f>"201569B0100"</f>
        <v>201569B0100</v>
      </c>
      <c r="B2319" t="s">
        <v>4826</v>
      </c>
      <c r="C2319">
        <v>20</v>
      </c>
      <c r="D2319" t="s">
        <v>88</v>
      </c>
      <c r="E2319">
        <v>332</v>
      </c>
      <c r="F2319" t="s">
        <v>4802</v>
      </c>
      <c r="G2319">
        <v>1569</v>
      </c>
      <c r="H2319">
        <v>1</v>
      </c>
      <c r="I2319" t="s">
        <v>90</v>
      </c>
      <c r="J2319">
        <v>0</v>
      </c>
      <c r="K2319">
        <v>2</v>
      </c>
      <c r="L2319">
        <v>5</v>
      </c>
      <c r="M2319" t="s">
        <v>105</v>
      </c>
      <c r="N2319" t="s">
        <v>105</v>
      </c>
      <c r="O2319" t="s">
        <v>105</v>
      </c>
      <c r="P2319" t="s">
        <v>105</v>
      </c>
      <c r="Q2319">
        <v>1</v>
      </c>
      <c r="R2319">
        <v>34</v>
      </c>
      <c r="S2319">
        <v>11</v>
      </c>
      <c r="T2319">
        <v>8</v>
      </c>
      <c r="U2319">
        <v>12</v>
      </c>
      <c r="V2319">
        <v>2</v>
      </c>
      <c r="W2319">
        <v>50</v>
      </c>
      <c r="X2319">
        <v>99</v>
      </c>
      <c r="Y2319">
        <v>125</v>
      </c>
      <c r="Z2319">
        <v>9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13</v>
      </c>
      <c r="AI2319">
        <v>0</v>
      </c>
      <c r="AJ2319">
        <v>0</v>
      </c>
      <c r="AK2319">
        <v>4</v>
      </c>
      <c r="AL2319">
        <v>3</v>
      </c>
      <c r="AM2319">
        <v>0</v>
      </c>
      <c r="AN2319">
        <v>1</v>
      </c>
      <c r="BC2319">
        <v>0</v>
      </c>
      <c r="BD2319">
        <v>18</v>
      </c>
      <c r="BE2319">
        <v>390</v>
      </c>
      <c r="BF2319">
        <v>390</v>
      </c>
      <c r="BG2319">
        <v>625</v>
      </c>
      <c r="BJ2319">
        <v>1</v>
      </c>
      <c r="BL2319" t="s">
        <v>4827</v>
      </c>
      <c r="BM2319" s="4">
        <v>43283.361805555556</v>
      </c>
      <c r="BN2319" s="4">
        <v>43283.375763888886</v>
      </c>
      <c r="BO2319" s="4">
        <v>43283.375763888886</v>
      </c>
      <c r="BP2319" t="s">
        <v>92</v>
      </c>
      <c r="BQ2319" t="s">
        <v>93</v>
      </c>
      <c r="BR2319" t="s">
        <v>94</v>
      </c>
    </row>
    <row r="2320" spans="1:70" x14ac:dyDescent="0.3">
      <c r="A2320" t="str">
        <f>"201569C0100"</f>
        <v>201569C0100</v>
      </c>
      <c r="B2320" t="s">
        <v>4828</v>
      </c>
      <c r="C2320">
        <v>20</v>
      </c>
      <c r="D2320" t="s">
        <v>88</v>
      </c>
      <c r="E2320">
        <v>332</v>
      </c>
      <c r="F2320" t="s">
        <v>4802</v>
      </c>
      <c r="G2320">
        <v>1569</v>
      </c>
      <c r="H2320">
        <v>1</v>
      </c>
      <c r="I2320" t="s">
        <v>98</v>
      </c>
      <c r="J2320">
        <v>0</v>
      </c>
      <c r="K2320">
        <v>2</v>
      </c>
      <c r="L2320">
        <v>5</v>
      </c>
      <c r="M2320">
        <v>251</v>
      </c>
      <c r="N2320">
        <v>396</v>
      </c>
      <c r="O2320">
        <v>5</v>
      </c>
      <c r="P2320" t="s">
        <v>105</v>
      </c>
      <c r="Q2320">
        <v>2</v>
      </c>
      <c r="R2320">
        <v>46</v>
      </c>
      <c r="S2320">
        <v>5</v>
      </c>
      <c r="T2320">
        <v>13</v>
      </c>
      <c r="U2320">
        <v>12</v>
      </c>
      <c r="V2320">
        <v>6</v>
      </c>
      <c r="W2320">
        <v>43</v>
      </c>
      <c r="X2320">
        <v>89</v>
      </c>
      <c r="Y2320">
        <v>137</v>
      </c>
      <c r="Z2320">
        <v>8</v>
      </c>
      <c r="AC2320">
        <v>0</v>
      </c>
      <c r="AD2320">
        <v>0</v>
      </c>
      <c r="AE2320">
        <v>0</v>
      </c>
      <c r="AF2320">
        <v>0</v>
      </c>
      <c r="AG2320">
        <v>6</v>
      </c>
      <c r="AH2320">
        <v>2</v>
      </c>
      <c r="AI2320">
        <v>0</v>
      </c>
      <c r="AJ2320">
        <v>0</v>
      </c>
      <c r="AK2320">
        <v>3</v>
      </c>
      <c r="AL2320">
        <v>2</v>
      </c>
      <c r="AM2320">
        <v>0</v>
      </c>
      <c r="AN2320">
        <v>2</v>
      </c>
      <c r="BC2320">
        <v>0</v>
      </c>
      <c r="BD2320">
        <v>20</v>
      </c>
      <c r="BE2320">
        <v>396</v>
      </c>
      <c r="BF2320">
        <v>396</v>
      </c>
      <c r="BG2320">
        <v>625</v>
      </c>
      <c r="BJ2320">
        <v>1</v>
      </c>
      <c r="BL2320" t="s">
        <v>4829</v>
      </c>
      <c r="BM2320" s="4">
        <v>43283.365972222222</v>
      </c>
      <c r="BN2320" s="4">
        <v>43283.3747337963</v>
      </c>
      <c r="BO2320" s="4">
        <v>43283.3747337963</v>
      </c>
      <c r="BP2320" t="s">
        <v>92</v>
      </c>
      <c r="BQ2320" t="s">
        <v>93</v>
      </c>
      <c r="BR2320" t="s">
        <v>94</v>
      </c>
    </row>
    <row r="2321" spans="1:70" x14ac:dyDescent="0.3">
      <c r="A2321" t="str">
        <f>"201569C0200"</f>
        <v>201569C0200</v>
      </c>
      <c r="B2321" t="s">
        <v>4830</v>
      </c>
      <c r="C2321">
        <v>20</v>
      </c>
      <c r="D2321" t="s">
        <v>88</v>
      </c>
      <c r="E2321">
        <v>332</v>
      </c>
      <c r="F2321" t="s">
        <v>4802</v>
      </c>
      <c r="G2321">
        <v>1569</v>
      </c>
      <c r="H2321">
        <v>2</v>
      </c>
      <c r="I2321" t="s">
        <v>98</v>
      </c>
      <c r="J2321">
        <v>0</v>
      </c>
      <c r="K2321">
        <v>2</v>
      </c>
      <c r="L2321">
        <v>5</v>
      </c>
      <c r="M2321">
        <v>234</v>
      </c>
      <c r="N2321">
        <v>413</v>
      </c>
      <c r="O2321">
        <v>6</v>
      </c>
      <c r="P2321">
        <v>413</v>
      </c>
      <c r="Q2321">
        <v>3</v>
      </c>
      <c r="R2321">
        <v>50</v>
      </c>
      <c r="S2321">
        <v>6</v>
      </c>
      <c r="T2321">
        <v>5</v>
      </c>
      <c r="U2321">
        <v>8</v>
      </c>
      <c r="V2321">
        <v>4</v>
      </c>
      <c r="W2321">
        <v>45</v>
      </c>
      <c r="X2321">
        <v>125</v>
      </c>
      <c r="Y2321">
        <v>120</v>
      </c>
      <c r="Z2321">
        <v>2</v>
      </c>
      <c r="AC2321">
        <v>0</v>
      </c>
      <c r="AD2321">
        <v>0</v>
      </c>
      <c r="AE2321">
        <v>0</v>
      </c>
      <c r="AF2321">
        <v>0</v>
      </c>
      <c r="AG2321">
        <v>12</v>
      </c>
      <c r="AH2321">
        <v>0</v>
      </c>
      <c r="AI2321">
        <v>0</v>
      </c>
      <c r="AJ2321">
        <v>0</v>
      </c>
      <c r="AK2321">
        <v>6</v>
      </c>
      <c r="AL2321">
        <v>0</v>
      </c>
      <c r="AM2321">
        <v>0</v>
      </c>
      <c r="AN2321">
        <v>0</v>
      </c>
      <c r="BC2321">
        <v>0</v>
      </c>
      <c r="BD2321">
        <v>27</v>
      </c>
      <c r="BE2321">
        <v>413</v>
      </c>
      <c r="BF2321">
        <v>413</v>
      </c>
      <c r="BG2321">
        <v>625</v>
      </c>
      <c r="BJ2321">
        <v>1</v>
      </c>
      <c r="BL2321" t="s">
        <v>4831</v>
      </c>
      <c r="BM2321" s="4">
        <v>43283.376388888886</v>
      </c>
      <c r="BN2321" s="4">
        <v>43283.383287037039</v>
      </c>
      <c r="BO2321" s="4">
        <v>43283.383287037039</v>
      </c>
      <c r="BP2321" t="s">
        <v>92</v>
      </c>
      <c r="BQ2321" t="s">
        <v>93</v>
      </c>
      <c r="BR2321" t="s">
        <v>94</v>
      </c>
    </row>
    <row r="2322" spans="1:70" x14ac:dyDescent="0.3">
      <c r="A2322" t="str">
        <f>"201570B0100"</f>
        <v>201570B0100</v>
      </c>
      <c r="B2322" t="s">
        <v>4832</v>
      </c>
      <c r="C2322">
        <v>20</v>
      </c>
      <c r="D2322" t="s">
        <v>88</v>
      </c>
      <c r="E2322">
        <v>332</v>
      </c>
      <c r="F2322" t="s">
        <v>4802</v>
      </c>
      <c r="G2322">
        <v>1570</v>
      </c>
      <c r="H2322">
        <v>1</v>
      </c>
      <c r="I2322" t="s">
        <v>90</v>
      </c>
      <c r="J2322">
        <v>0</v>
      </c>
      <c r="K2322">
        <v>1</v>
      </c>
      <c r="L2322">
        <v>5</v>
      </c>
      <c r="M2322">
        <v>255</v>
      </c>
      <c r="N2322">
        <v>432</v>
      </c>
      <c r="O2322">
        <v>5</v>
      </c>
      <c r="P2322">
        <v>432</v>
      </c>
      <c r="Q2322">
        <v>8</v>
      </c>
      <c r="R2322">
        <v>48</v>
      </c>
      <c r="S2322">
        <v>2</v>
      </c>
      <c r="T2322">
        <v>16</v>
      </c>
      <c r="U2322">
        <v>9</v>
      </c>
      <c r="V2322">
        <v>6</v>
      </c>
      <c r="W2322">
        <v>80</v>
      </c>
      <c r="X2322">
        <v>98</v>
      </c>
      <c r="Y2322">
        <v>131</v>
      </c>
      <c r="Z2322">
        <v>7</v>
      </c>
      <c r="AC2322">
        <v>0</v>
      </c>
      <c r="AD2322">
        <v>0</v>
      </c>
      <c r="AE2322">
        <v>0</v>
      </c>
      <c r="AF2322">
        <v>0</v>
      </c>
      <c r="AG2322">
        <v>10</v>
      </c>
      <c r="AH2322">
        <v>0</v>
      </c>
      <c r="AI2322">
        <v>0</v>
      </c>
      <c r="AJ2322">
        <v>0</v>
      </c>
      <c r="AK2322">
        <v>2</v>
      </c>
      <c r="AL2322">
        <v>0</v>
      </c>
      <c r="AM2322">
        <v>0</v>
      </c>
      <c r="AN2322">
        <v>0</v>
      </c>
      <c r="BC2322">
        <v>0</v>
      </c>
      <c r="BD2322">
        <v>11</v>
      </c>
      <c r="BE2322">
        <v>432</v>
      </c>
      <c r="BF2322">
        <v>428</v>
      </c>
      <c r="BG2322">
        <v>665</v>
      </c>
      <c r="BJ2322">
        <v>1</v>
      </c>
      <c r="BL2322" t="s">
        <v>4833</v>
      </c>
      <c r="BM2322" s="4">
        <v>43283.249305555553</v>
      </c>
      <c r="BN2322" s="4">
        <v>43283.274236111109</v>
      </c>
      <c r="BO2322" s="4">
        <v>43283.274236111109</v>
      </c>
      <c r="BP2322" t="s">
        <v>92</v>
      </c>
      <c r="BQ2322" t="s">
        <v>93</v>
      </c>
      <c r="BR2322" t="s">
        <v>94</v>
      </c>
    </row>
    <row r="2323" spans="1:70" x14ac:dyDescent="0.3">
      <c r="A2323" t="str">
        <f>"201570C0100"</f>
        <v>201570C0100</v>
      </c>
      <c r="B2323" t="s">
        <v>4834</v>
      </c>
      <c r="C2323">
        <v>20</v>
      </c>
      <c r="D2323" t="s">
        <v>88</v>
      </c>
      <c r="E2323">
        <v>332</v>
      </c>
      <c r="F2323" t="s">
        <v>4802</v>
      </c>
      <c r="G2323">
        <v>1570</v>
      </c>
      <c r="H2323">
        <v>1</v>
      </c>
      <c r="I2323" t="s">
        <v>98</v>
      </c>
      <c r="J2323">
        <v>0</v>
      </c>
      <c r="K2323">
        <v>1</v>
      </c>
      <c r="L2323">
        <v>5</v>
      </c>
      <c r="M2323">
        <v>276</v>
      </c>
      <c r="N2323">
        <v>412</v>
      </c>
      <c r="O2323">
        <v>6</v>
      </c>
      <c r="P2323">
        <v>412</v>
      </c>
      <c r="Q2323">
        <v>5</v>
      </c>
      <c r="R2323">
        <v>40</v>
      </c>
      <c r="S2323">
        <v>5</v>
      </c>
      <c r="T2323">
        <v>11</v>
      </c>
      <c r="U2323">
        <v>10</v>
      </c>
      <c r="V2323">
        <v>6</v>
      </c>
      <c r="W2323">
        <v>62</v>
      </c>
      <c r="X2323">
        <v>106</v>
      </c>
      <c r="Y2323">
        <v>127</v>
      </c>
      <c r="Z2323">
        <v>7</v>
      </c>
      <c r="AC2323">
        <v>0</v>
      </c>
      <c r="AD2323">
        <v>0</v>
      </c>
      <c r="AE2323">
        <v>0</v>
      </c>
      <c r="AF2323">
        <v>0</v>
      </c>
      <c r="AG2323">
        <v>0</v>
      </c>
      <c r="AH2323">
        <v>0</v>
      </c>
      <c r="AI2323">
        <v>0</v>
      </c>
      <c r="AJ2323">
        <v>0</v>
      </c>
      <c r="AK2323">
        <v>7</v>
      </c>
      <c r="AL2323">
        <v>2</v>
      </c>
      <c r="AM2323">
        <v>0</v>
      </c>
      <c r="AN2323">
        <v>0</v>
      </c>
      <c r="BC2323">
        <v>1</v>
      </c>
      <c r="BD2323">
        <v>20</v>
      </c>
      <c r="BE2323">
        <v>412</v>
      </c>
      <c r="BF2323">
        <v>409</v>
      </c>
      <c r="BG2323">
        <v>665</v>
      </c>
      <c r="BJ2323">
        <v>1</v>
      </c>
      <c r="BL2323" t="s">
        <v>4835</v>
      </c>
      <c r="BM2323" s="4">
        <v>43283.251388888886</v>
      </c>
      <c r="BN2323" s="4">
        <v>43283.276331018518</v>
      </c>
      <c r="BO2323" s="4">
        <v>43283.276331018518</v>
      </c>
      <c r="BP2323" t="s">
        <v>92</v>
      </c>
      <c r="BQ2323" t="s">
        <v>93</v>
      </c>
      <c r="BR2323" t="s">
        <v>94</v>
      </c>
    </row>
    <row r="2324" spans="1:70" x14ac:dyDescent="0.3">
      <c r="A2324" t="str">
        <f>"201570C0200"</f>
        <v>201570C0200</v>
      </c>
      <c r="B2324" t="s">
        <v>4836</v>
      </c>
      <c r="C2324">
        <v>20</v>
      </c>
      <c r="D2324" t="s">
        <v>88</v>
      </c>
      <c r="E2324">
        <v>332</v>
      </c>
      <c r="F2324" t="s">
        <v>4802</v>
      </c>
      <c r="G2324">
        <v>1570</v>
      </c>
      <c r="H2324">
        <v>2</v>
      </c>
      <c r="I2324" t="s">
        <v>98</v>
      </c>
      <c r="J2324">
        <v>0</v>
      </c>
      <c r="K2324">
        <v>1</v>
      </c>
      <c r="L2324">
        <v>5</v>
      </c>
      <c r="M2324" t="s">
        <v>127</v>
      </c>
      <c r="N2324">
        <v>686</v>
      </c>
      <c r="O2324">
        <v>4</v>
      </c>
      <c r="P2324">
        <v>686</v>
      </c>
      <c r="Q2324">
        <v>4</v>
      </c>
      <c r="R2324">
        <v>33</v>
      </c>
      <c r="S2324">
        <v>6</v>
      </c>
      <c r="T2324">
        <v>14</v>
      </c>
      <c r="U2324">
        <v>14</v>
      </c>
      <c r="V2324">
        <v>5</v>
      </c>
      <c r="W2324">
        <v>52</v>
      </c>
      <c r="X2324">
        <v>105</v>
      </c>
      <c r="Y2324">
        <v>130</v>
      </c>
      <c r="Z2324">
        <v>10</v>
      </c>
      <c r="AC2324">
        <v>0</v>
      </c>
      <c r="AD2324">
        <v>1</v>
      </c>
      <c r="AE2324">
        <v>0</v>
      </c>
      <c r="AF2324">
        <v>0</v>
      </c>
      <c r="AG2324">
        <v>7</v>
      </c>
      <c r="AH2324">
        <v>3</v>
      </c>
      <c r="AI2324">
        <v>0</v>
      </c>
      <c r="AJ2324">
        <v>8</v>
      </c>
      <c r="AK2324">
        <v>1</v>
      </c>
      <c r="AL2324">
        <v>2</v>
      </c>
      <c r="AM2324">
        <v>0</v>
      </c>
      <c r="AN2324">
        <v>2</v>
      </c>
      <c r="BC2324">
        <v>0</v>
      </c>
      <c r="BD2324">
        <v>15</v>
      </c>
      <c r="BE2324">
        <v>410</v>
      </c>
      <c r="BF2324">
        <v>412</v>
      </c>
      <c r="BG2324">
        <v>664</v>
      </c>
      <c r="BJ2324">
        <v>1</v>
      </c>
      <c r="BL2324" t="s">
        <v>4837</v>
      </c>
      <c r="BM2324" s="4">
        <v>43283.253472222219</v>
      </c>
      <c r="BN2324" s="4">
        <v>43283.280046296299</v>
      </c>
      <c r="BO2324" s="4">
        <v>43283.280046296299</v>
      </c>
      <c r="BP2324" t="s">
        <v>92</v>
      </c>
      <c r="BQ2324" t="s">
        <v>93</v>
      </c>
      <c r="BR2324" t="s">
        <v>94</v>
      </c>
    </row>
    <row r="2325" spans="1:70" x14ac:dyDescent="0.3">
      <c r="A2325" t="str">
        <f>"201570C0300"</f>
        <v>201570C0300</v>
      </c>
      <c r="B2325" t="s">
        <v>4838</v>
      </c>
      <c r="C2325">
        <v>20</v>
      </c>
      <c r="D2325" t="s">
        <v>88</v>
      </c>
      <c r="E2325">
        <v>332</v>
      </c>
      <c r="F2325" t="s">
        <v>4802</v>
      </c>
      <c r="G2325">
        <v>1570</v>
      </c>
      <c r="H2325">
        <v>3</v>
      </c>
      <c r="I2325" t="s">
        <v>98</v>
      </c>
      <c r="J2325">
        <v>0</v>
      </c>
      <c r="K2325">
        <v>1</v>
      </c>
      <c r="L2325">
        <v>5</v>
      </c>
      <c r="M2325">
        <v>249</v>
      </c>
      <c r="N2325">
        <v>437</v>
      </c>
      <c r="O2325">
        <v>4</v>
      </c>
      <c r="P2325">
        <v>437</v>
      </c>
      <c r="Q2325">
        <v>3</v>
      </c>
      <c r="R2325">
        <v>46</v>
      </c>
      <c r="S2325">
        <v>8</v>
      </c>
      <c r="T2325">
        <v>8</v>
      </c>
      <c r="U2325">
        <v>11</v>
      </c>
      <c r="V2325">
        <v>3</v>
      </c>
      <c r="W2325">
        <v>76</v>
      </c>
      <c r="X2325">
        <v>92</v>
      </c>
      <c r="Y2325">
        <v>142</v>
      </c>
      <c r="Z2325">
        <v>8</v>
      </c>
      <c r="AC2325">
        <v>0</v>
      </c>
      <c r="AD2325">
        <v>0</v>
      </c>
      <c r="AE2325">
        <v>0</v>
      </c>
      <c r="AF2325">
        <v>0</v>
      </c>
      <c r="AG2325">
        <v>6</v>
      </c>
      <c r="AH2325">
        <v>0</v>
      </c>
      <c r="AI2325">
        <v>6</v>
      </c>
      <c r="AJ2325">
        <v>0</v>
      </c>
      <c r="AK2325">
        <v>0</v>
      </c>
      <c r="AL2325">
        <v>0</v>
      </c>
      <c r="AM2325">
        <v>0</v>
      </c>
      <c r="AN2325">
        <v>2</v>
      </c>
      <c r="BC2325">
        <v>0</v>
      </c>
      <c r="BD2325">
        <v>20</v>
      </c>
      <c r="BE2325">
        <v>437</v>
      </c>
      <c r="BF2325">
        <v>431</v>
      </c>
      <c r="BG2325">
        <v>664</v>
      </c>
      <c r="BJ2325">
        <v>1</v>
      </c>
      <c r="BL2325" t="s">
        <v>4839</v>
      </c>
      <c r="BM2325" s="4">
        <v>43283.248611111114</v>
      </c>
      <c r="BN2325" s="4">
        <v>43283.293275462966</v>
      </c>
      <c r="BO2325" s="4">
        <v>43283.293275462966</v>
      </c>
      <c r="BP2325" t="s">
        <v>92</v>
      </c>
      <c r="BQ2325" t="s">
        <v>93</v>
      </c>
      <c r="BR2325" t="s">
        <v>94</v>
      </c>
    </row>
    <row r="2326" spans="1:70" x14ac:dyDescent="0.3">
      <c r="A2326" t="str">
        <f>"201571B0100"</f>
        <v>201571B0100</v>
      </c>
      <c r="B2326" t="s">
        <v>4840</v>
      </c>
      <c r="C2326">
        <v>20</v>
      </c>
      <c r="D2326" t="s">
        <v>88</v>
      </c>
      <c r="E2326">
        <v>332</v>
      </c>
      <c r="F2326" t="s">
        <v>4802</v>
      </c>
      <c r="G2326">
        <v>1571</v>
      </c>
      <c r="H2326">
        <v>1</v>
      </c>
      <c r="I2326" t="s">
        <v>90</v>
      </c>
      <c r="J2326">
        <v>0</v>
      </c>
      <c r="K2326">
        <v>2</v>
      </c>
      <c r="L2326">
        <v>5</v>
      </c>
      <c r="M2326">
        <v>191</v>
      </c>
      <c r="N2326">
        <v>544</v>
      </c>
      <c r="O2326">
        <v>6</v>
      </c>
      <c r="P2326">
        <v>343</v>
      </c>
      <c r="Q2326">
        <v>2</v>
      </c>
      <c r="R2326">
        <v>61</v>
      </c>
      <c r="S2326">
        <v>6</v>
      </c>
      <c r="T2326">
        <v>6</v>
      </c>
      <c r="U2326">
        <v>6</v>
      </c>
      <c r="V2326">
        <v>3</v>
      </c>
      <c r="W2326">
        <v>30</v>
      </c>
      <c r="X2326">
        <v>99</v>
      </c>
      <c r="Y2326">
        <v>103</v>
      </c>
      <c r="Z2326">
        <v>2</v>
      </c>
      <c r="AC2326">
        <v>0</v>
      </c>
      <c r="AD2326">
        <v>0</v>
      </c>
      <c r="AE2326">
        <v>0</v>
      </c>
      <c r="AF2326">
        <v>0</v>
      </c>
      <c r="AG2326">
        <v>0</v>
      </c>
      <c r="AH2326">
        <v>2</v>
      </c>
      <c r="AI2326">
        <v>0</v>
      </c>
      <c r="AJ2326">
        <v>0</v>
      </c>
      <c r="AK2326">
        <v>2</v>
      </c>
      <c r="AL2326">
        <v>0</v>
      </c>
      <c r="AM2326">
        <v>0</v>
      </c>
      <c r="AN2326">
        <v>0</v>
      </c>
      <c r="BC2326">
        <v>0</v>
      </c>
      <c r="BD2326">
        <v>21</v>
      </c>
      <c r="BE2326">
        <v>343</v>
      </c>
      <c r="BF2326">
        <v>343</v>
      </c>
      <c r="BG2326">
        <v>513</v>
      </c>
      <c r="BJ2326">
        <v>1</v>
      </c>
      <c r="BL2326" t="s">
        <v>4841</v>
      </c>
      <c r="BM2326" s="4">
        <v>43283.24722222222</v>
      </c>
      <c r="BN2326" s="4">
        <v>43283.27752314815</v>
      </c>
      <c r="BO2326" s="4">
        <v>43283.27752314815</v>
      </c>
      <c r="BP2326" t="s">
        <v>92</v>
      </c>
      <c r="BQ2326" t="s">
        <v>93</v>
      </c>
      <c r="BR2326" t="s">
        <v>94</v>
      </c>
    </row>
    <row r="2327" spans="1:70" x14ac:dyDescent="0.3">
      <c r="A2327" t="str">
        <f>"201571C0100"</f>
        <v>201571C0100</v>
      </c>
      <c r="B2327" t="s">
        <v>4842</v>
      </c>
      <c r="C2327">
        <v>20</v>
      </c>
      <c r="D2327" t="s">
        <v>88</v>
      </c>
      <c r="E2327">
        <v>332</v>
      </c>
      <c r="F2327" t="s">
        <v>4802</v>
      </c>
      <c r="G2327">
        <v>1571</v>
      </c>
      <c r="H2327">
        <v>1</v>
      </c>
      <c r="I2327" t="s">
        <v>98</v>
      </c>
      <c r="J2327">
        <v>0</v>
      </c>
      <c r="K2327">
        <v>2</v>
      </c>
      <c r="L2327">
        <v>5</v>
      </c>
      <c r="M2327">
        <v>211</v>
      </c>
      <c r="N2327">
        <v>324</v>
      </c>
      <c r="O2327">
        <v>11</v>
      </c>
      <c r="P2327">
        <v>0</v>
      </c>
      <c r="Q2327">
        <v>2</v>
      </c>
      <c r="R2327">
        <v>54</v>
      </c>
      <c r="S2327">
        <v>9</v>
      </c>
      <c r="T2327">
        <v>5</v>
      </c>
      <c r="U2327">
        <v>6</v>
      </c>
      <c r="V2327">
        <v>3</v>
      </c>
      <c r="W2327">
        <v>27</v>
      </c>
      <c r="X2327">
        <v>63</v>
      </c>
      <c r="Y2327">
        <v>112</v>
      </c>
      <c r="Z2327">
        <v>2</v>
      </c>
      <c r="AC2327">
        <v>0</v>
      </c>
      <c r="AD2327">
        <v>0</v>
      </c>
      <c r="AE2327">
        <v>0</v>
      </c>
      <c r="AF2327">
        <v>0</v>
      </c>
      <c r="AG2327">
        <v>6</v>
      </c>
      <c r="AH2327">
        <v>3</v>
      </c>
      <c r="AI2327">
        <v>4</v>
      </c>
      <c r="AJ2327">
        <v>1</v>
      </c>
      <c r="AK2327">
        <v>5</v>
      </c>
      <c r="AL2327">
        <v>0</v>
      </c>
      <c r="AM2327">
        <v>0</v>
      </c>
      <c r="AN2327">
        <v>2</v>
      </c>
      <c r="BC2327" t="s">
        <v>105</v>
      </c>
      <c r="BD2327">
        <v>15</v>
      </c>
      <c r="BE2327">
        <v>322</v>
      </c>
      <c r="BF2327">
        <v>319</v>
      </c>
      <c r="BG2327">
        <v>512</v>
      </c>
      <c r="BI2327" t="s">
        <v>106</v>
      </c>
      <c r="BJ2327">
        <v>1</v>
      </c>
      <c r="BL2327" t="s">
        <v>4843</v>
      </c>
      <c r="BM2327" s="4">
        <v>43283.256944444445</v>
      </c>
      <c r="BN2327" s="4">
        <v>43283.283541666664</v>
      </c>
      <c r="BO2327" s="4">
        <v>43283.283541666664</v>
      </c>
      <c r="BP2327" t="s">
        <v>92</v>
      </c>
      <c r="BQ2327" t="s">
        <v>93</v>
      </c>
      <c r="BR2327" t="s">
        <v>94</v>
      </c>
    </row>
    <row r="2328" spans="1:70" x14ac:dyDescent="0.3">
      <c r="A2328" t="str">
        <f>"201572B0100"</f>
        <v>201572B0100</v>
      </c>
      <c r="B2328" t="s">
        <v>4844</v>
      </c>
      <c r="C2328">
        <v>20</v>
      </c>
      <c r="D2328" t="s">
        <v>88</v>
      </c>
      <c r="E2328">
        <v>332</v>
      </c>
      <c r="F2328" t="s">
        <v>4802</v>
      </c>
      <c r="G2328">
        <v>1572</v>
      </c>
      <c r="H2328">
        <v>1</v>
      </c>
      <c r="I2328" t="s">
        <v>90</v>
      </c>
      <c r="J2328">
        <v>0</v>
      </c>
      <c r="K2328">
        <v>1</v>
      </c>
      <c r="L2328">
        <v>5</v>
      </c>
      <c r="M2328">
        <v>237</v>
      </c>
      <c r="N2328">
        <v>403</v>
      </c>
      <c r="O2328">
        <v>5</v>
      </c>
      <c r="P2328">
        <v>399</v>
      </c>
      <c r="Q2328">
        <v>1</v>
      </c>
      <c r="R2328">
        <v>61</v>
      </c>
      <c r="S2328">
        <v>6</v>
      </c>
      <c r="T2328">
        <v>11</v>
      </c>
      <c r="U2328">
        <v>3</v>
      </c>
      <c r="V2328">
        <v>1</v>
      </c>
      <c r="W2328">
        <v>69</v>
      </c>
      <c r="X2328">
        <v>104</v>
      </c>
      <c r="Y2328">
        <v>106</v>
      </c>
      <c r="Z2328">
        <v>5</v>
      </c>
      <c r="AC2328">
        <v>1</v>
      </c>
      <c r="AD2328">
        <v>0</v>
      </c>
      <c r="AE2328">
        <v>0</v>
      </c>
      <c r="AF2328">
        <v>0</v>
      </c>
      <c r="AG2328">
        <v>5</v>
      </c>
      <c r="AH2328">
        <v>0</v>
      </c>
      <c r="AI2328">
        <v>0</v>
      </c>
      <c r="AJ2328">
        <v>0</v>
      </c>
      <c r="AK2328">
        <v>5</v>
      </c>
      <c r="AL2328">
        <v>0</v>
      </c>
      <c r="AM2328">
        <v>1</v>
      </c>
      <c r="AN2328">
        <v>1</v>
      </c>
      <c r="BC2328">
        <v>0</v>
      </c>
      <c r="BD2328">
        <v>19</v>
      </c>
      <c r="BE2328">
        <v>399</v>
      </c>
      <c r="BF2328">
        <v>399</v>
      </c>
      <c r="BG2328">
        <v>618</v>
      </c>
      <c r="BJ2328">
        <v>1</v>
      </c>
      <c r="BL2328" t="s">
        <v>4845</v>
      </c>
      <c r="BM2328" s="4">
        <v>43283.195138888892</v>
      </c>
      <c r="BN2328" s="4">
        <v>43283.212210648147</v>
      </c>
      <c r="BO2328" s="4">
        <v>43283.212210648147</v>
      </c>
      <c r="BP2328" t="s">
        <v>92</v>
      </c>
      <c r="BQ2328" t="s">
        <v>93</v>
      </c>
      <c r="BR2328" t="s">
        <v>94</v>
      </c>
    </row>
    <row r="2329" spans="1:70" x14ac:dyDescent="0.3">
      <c r="A2329" t="str">
        <f>"201572C0100"</f>
        <v>201572C0100</v>
      </c>
      <c r="B2329" t="s">
        <v>4846</v>
      </c>
      <c r="C2329">
        <v>20</v>
      </c>
      <c r="D2329" t="s">
        <v>88</v>
      </c>
      <c r="E2329">
        <v>332</v>
      </c>
      <c r="F2329" t="s">
        <v>4802</v>
      </c>
      <c r="G2329">
        <v>1572</v>
      </c>
      <c r="H2329">
        <v>1</v>
      </c>
      <c r="I2329" t="s">
        <v>98</v>
      </c>
      <c r="J2329">
        <v>0</v>
      </c>
      <c r="K2329">
        <v>1</v>
      </c>
      <c r="L2329">
        <v>5</v>
      </c>
      <c r="BG2329">
        <v>618</v>
      </c>
      <c r="BI2329" t="s">
        <v>122</v>
      </c>
      <c r="BJ2329">
        <v>0</v>
      </c>
      <c r="BL2329" t="s">
        <v>4847</v>
      </c>
      <c r="BM2329" s="4">
        <v>43283.438888888886</v>
      </c>
      <c r="BN2329" s="4">
        <v>43283.441828703704</v>
      </c>
      <c r="BO2329" s="4">
        <v>43283.441828703704</v>
      </c>
      <c r="BP2329" t="s">
        <v>92</v>
      </c>
      <c r="BQ2329" t="s">
        <v>93</v>
      </c>
      <c r="BR2329" t="s">
        <v>94</v>
      </c>
    </row>
    <row r="2330" spans="1:70" x14ac:dyDescent="0.3">
      <c r="A2330" t="str">
        <f>"201572C0200"</f>
        <v>201572C0200</v>
      </c>
      <c r="B2330" t="s">
        <v>4848</v>
      </c>
      <c r="C2330">
        <v>20</v>
      </c>
      <c r="D2330" t="s">
        <v>88</v>
      </c>
      <c r="E2330">
        <v>332</v>
      </c>
      <c r="F2330" t="s">
        <v>4802</v>
      </c>
      <c r="G2330">
        <v>1572</v>
      </c>
      <c r="H2330">
        <v>2</v>
      </c>
      <c r="I2330" t="s">
        <v>98</v>
      </c>
      <c r="J2330">
        <v>0</v>
      </c>
      <c r="K2330">
        <v>1</v>
      </c>
      <c r="L2330">
        <v>5</v>
      </c>
      <c r="M2330">
        <v>260</v>
      </c>
      <c r="N2330">
        <v>380</v>
      </c>
      <c r="O2330">
        <v>6</v>
      </c>
      <c r="P2330">
        <v>379</v>
      </c>
      <c r="Q2330">
        <v>3</v>
      </c>
      <c r="R2330">
        <v>35</v>
      </c>
      <c r="S2330">
        <v>8</v>
      </c>
      <c r="T2330">
        <v>4</v>
      </c>
      <c r="U2330">
        <v>8</v>
      </c>
      <c r="V2330">
        <v>6</v>
      </c>
      <c r="W2330">
        <v>58</v>
      </c>
      <c r="X2330">
        <v>69</v>
      </c>
      <c r="Y2330">
        <v>140</v>
      </c>
      <c r="Z2330">
        <v>8</v>
      </c>
      <c r="AC2330">
        <v>0</v>
      </c>
      <c r="AD2330">
        <v>1</v>
      </c>
      <c r="AE2330">
        <v>1</v>
      </c>
      <c r="AF2330">
        <v>0</v>
      </c>
      <c r="AG2330">
        <v>7</v>
      </c>
      <c r="AH2330">
        <v>1</v>
      </c>
      <c r="AI2330">
        <v>1</v>
      </c>
      <c r="AJ2330">
        <v>0</v>
      </c>
      <c r="AK2330">
        <v>4</v>
      </c>
      <c r="AL2330">
        <v>1</v>
      </c>
      <c r="AM2330">
        <v>0</v>
      </c>
      <c r="AN2330">
        <v>3</v>
      </c>
      <c r="BC2330">
        <v>0</v>
      </c>
      <c r="BD2330">
        <v>21</v>
      </c>
      <c r="BE2330">
        <v>379</v>
      </c>
      <c r="BF2330">
        <v>379</v>
      </c>
      <c r="BG2330">
        <v>617</v>
      </c>
      <c r="BJ2330">
        <v>1</v>
      </c>
      <c r="BL2330" t="s">
        <v>4849</v>
      </c>
      <c r="BM2330" s="4">
        <v>43283.198611111111</v>
      </c>
      <c r="BN2330" s="4">
        <v>43283.216516203705</v>
      </c>
      <c r="BO2330" s="4">
        <v>43283.216516203705</v>
      </c>
      <c r="BP2330" t="s">
        <v>92</v>
      </c>
      <c r="BQ2330" t="s">
        <v>93</v>
      </c>
      <c r="BR2330" t="s">
        <v>94</v>
      </c>
    </row>
    <row r="2331" spans="1:70" x14ac:dyDescent="0.3">
      <c r="A2331" t="str">
        <f>"201573B0100"</f>
        <v>201573B0100</v>
      </c>
      <c r="B2331" t="s">
        <v>4850</v>
      </c>
      <c r="C2331">
        <v>20</v>
      </c>
      <c r="D2331" t="s">
        <v>88</v>
      </c>
      <c r="E2331">
        <v>332</v>
      </c>
      <c r="F2331" t="s">
        <v>4802</v>
      </c>
      <c r="G2331">
        <v>1573</v>
      </c>
      <c r="H2331">
        <v>1</v>
      </c>
      <c r="I2331" t="s">
        <v>90</v>
      </c>
      <c r="J2331">
        <v>0</v>
      </c>
      <c r="K2331">
        <v>1</v>
      </c>
      <c r="L2331">
        <v>5</v>
      </c>
      <c r="M2331">
        <v>254</v>
      </c>
      <c r="N2331">
        <v>460</v>
      </c>
      <c r="O2331">
        <v>5</v>
      </c>
      <c r="P2331">
        <v>460</v>
      </c>
      <c r="Q2331">
        <v>1</v>
      </c>
      <c r="R2331">
        <v>54</v>
      </c>
      <c r="S2331">
        <v>8</v>
      </c>
      <c r="T2331">
        <v>18</v>
      </c>
      <c r="U2331">
        <v>13</v>
      </c>
      <c r="V2331">
        <v>2</v>
      </c>
      <c r="W2331">
        <v>54</v>
      </c>
      <c r="X2331">
        <v>141</v>
      </c>
      <c r="Y2331">
        <v>124</v>
      </c>
      <c r="Z2331">
        <v>9</v>
      </c>
      <c r="AC2331">
        <v>0</v>
      </c>
      <c r="AD2331">
        <v>0</v>
      </c>
      <c r="AE2331">
        <v>0</v>
      </c>
      <c r="AF2331">
        <v>0</v>
      </c>
      <c r="AG2331">
        <v>0</v>
      </c>
      <c r="AH2331">
        <v>10</v>
      </c>
      <c r="AI2331">
        <v>0</v>
      </c>
      <c r="AJ2331">
        <v>0</v>
      </c>
      <c r="AK2331">
        <v>6</v>
      </c>
      <c r="AL2331">
        <v>1</v>
      </c>
      <c r="AM2331">
        <v>0</v>
      </c>
      <c r="AN2331">
        <v>0</v>
      </c>
      <c r="BC2331">
        <v>0</v>
      </c>
      <c r="BD2331">
        <v>19</v>
      </c>
      <c r="BE2331">
        <v>460</v>
      </c>
      <c r="BF2331">
        <v>460</v>
      </c>
      <c r="BG2331">
        <v>692</v>
      </c>
      <c r="BJ2331">
        <v>1</v>
      </c>
      <c r="BL2331" t="s">
        <v>4851</v>
      </c>
      <c r="BM2331" s="4">
        <v>43283.369444444441</v>
      </c>
      <c r="BN2331" s="4">
        <v>43283.377384259256</v>
      </c>
      <c r="BO2331" s="4">
        <v>43283.377384259256</v>
      </c>
      <c r="BP2331" t="s">
        <v>92</v>
      </c>
      <c r="BQ2331" t="s">
        <v>93</v>
      </c>
      <c r="BR2331" t="s">
        <v>94</v>
      </c>
    </row>
    <row r="2332" spans="1:70" x14ac:dyDescent="0.3">
      <c r="A2332" t="str">
        <f>"201573C0100"</f>
        <v>201573C0100</v>
      </c>
      <c r="B2332" t="s">
        <v>4852</v>
      </c>
      <c r="C2332">
        <v>20</v>
      </c>
      <c r="D2332" t="s">
        <v>88</v>
      </c>
      <c r="E2332">
        <v>332</v>
      </c>
      <c r="F2332" t="s">
        <v>4802</v>
      </c>
      <c r="G2332">
        <v>1573</v>
      </c>
      <c r="H2332">
        <v>1</v>
      </c>
      <c r="I2332" t="s">
        <v>98</v>
      </c>
      <c r="J2332">
        <v>0</v>
      </c>
      <c r="K2332">
        <v>1</v>
      </c>
      <c r="L2332">
        <v>5</v>
      </c>
      <c r="M2332">
        <v>288</v>
      </c>
      <c r="N2332">
        <v>426</v>
      </c>
      <c r="O2332">
        <v>7</v>
      </c>
      <c r="P2332">
        <v>426</v>
      </c>
      <c r="Q2332">
        <v>3</v>
      </c>
      <c r="R2332">
        <v>67</v>
      </c>
      <c r="S2332">
        <v>8</v>
      </c>
      <c r="T2332">
        <v>16</v>
      </c>
      <c r="U2332">
        <v>4</v>
      </c>
      <c r="V2332">
        <v>4</v>
      </c>
      <c r="W2332">
        <v>67</v>
      </c>
      <c r="X2332">
        <v>96</v>
      </c>
      <c r="Y2332">
        <v>120</v>
      </c>
      <c r="Z2332">
        <v>6</v>
      </c>
      <c r="AC2332">
        <v>0</v>
      </c>
      <c r="AD2332">
        <v>0</v>
      </c>
      <c r="AE2332">
        <v>0</v>
      </c>
      <c r="AF2332">
        <v>0</v>
      </c>
      <c r="AG2332" t="s">
        <v>127</v>
      </c>
      <c r="AH2332">
        <v>1</v>
      </c>
      <c r="AI2332">
        <v>1</v>
      </c>
      <c r="AJ2332">
        <v>7</v>
      </c>
      <c r="AK2332">
        <v>3</v>
      </c>
      <c r="AL2332">
        <v>0</v>
      </c>
      <c r="AM2332">
        <v>0</v>
      </c>
      <c r="AN2332">
        <v>0</v>
      </c>
      <c r="BC2332">
        <v>0</v>
      </c>
      <c r="BD2332">
        <v>23</v>
      </c>
      <c r="BE2332">
        <v>426</v>
      </c>
      <c r="BF2332">
        <v>426</v>
      </c>
      <c r="BG2332">
        <v>692</v>
      </c>
      <c r="BI2332" t="s">
        <v>106</v>
      </c>
      <c r="BJ2332">
        <v>1</v>
      </c>
      <c r="BL2332" t="s">
        <v>4853</v>
      </c>
      <c r="BM2332" s="4">
        <v>43283.373611111114</v>
      </c>
      <c r="BN2332" s="4">
        <v>43283.396064814813</v>
      </c>
      <c r="BO2332" s="4">
        <v>43283.396064814813</v>
      </c>
      <c r="BP2332" t="s">
        <v>92</v>
      </c>
      <c r="BQ2332" t="s">
        <v>93</v>
      </c>
      <c r="BR2332" t="s">
        <v>94</v>
      </c>
    </row>
    <row r="2333" spans="1:70" x14ac:dyDescent="0.3">
      <c r="A2333" t="str">
        <f>"201573C0200"</f>
        <v>201573C0200</v>
      </c>
      <c r="B2333" t="s">
        <v>4854</v>
      </c>
      <c r="C2333">
        <v>20</v>
      </c>
      <c r="D2333" t="s">
        <v>88</v>
      </c>
      <c r="E2333">
        <v>332</v>
      </c>
      <c r="F2333" t="s">
        <v>4802</v>
      </c>
      <c r="G2333">
        <v>1573</v>
      </c>
      <c r="H2333">
        <v>2</v>
      </c>
      <c r="I2333" t="s">
        <v>98</v>
      </c>
      <c r="J2333">
        <v>0</v>
      </c>
      <c r="K2333">
        <v>1</v>
      </c>
      <c r="L2333">
        <v>5</v>
      </c>
      <c r="M2333">
        <v>299</v>
      </c>
      <c r="N2333">
        <v>415</v>
      </c>
      <c r="O2333">
        <v>3</v>
      </c>
      <c r="P2333" t="s">
        <v>105</v>
      </c>
      <c r="Q2333">
        <v>2</v>
      </c>
      <c r="R2333">
        <v>61</v>
      </c>
      <c r="S2333">
        <v>2</v>
      </c>
      <c r="T2333">
        <v>12</v>
      </c>
      <c r="U2333">
        <v>9</v>
      </c>
      <c r="V2333">
        <v>2</v>
      </c>
      <c r="W2333">
        <v>51</v>
      </c>
      <c r="X2333">
        <v>97</v>
      </c>
      <c r="Y2333">
        <v>135</v>
      </c>
      <c r="Z2333">
        <v>12</v>
      </c>
      <c r="AC2333">
        <v>1</v>
      </c>
      <c r="AD2333">
        <v>1</v>
      </c>
      <c r="AE2333">
        <v>0</v>
      </c>
      <c r="AF2333">
        <v>0</v>
      </c>
      <c r="AG2333">
        <v>6</v>
      </c>
      <c r="AH2333">
        <v>0</v>
      </c>
      <c r="AI2333">
        <v>2</v>
      </c>
      <c r="AJ2333">
        <v>0</v>
      </c>
      <c r="AK2333">
        <v>7</v>
      </c>
      <c r="AL2333">
        <v>0</v>
      </c>
      <c r="AM2333">
        <v>0</v>
      </c>
      <c r="AN2333">
        <v>2</v>
      </c>
      <c r="BC2333">
        <v>0</v>
      </c>
      <c r="BD2333">
        <v>8</v>
      </c>
      <c r="BE2333">
        <v>415</v>
      </c>
      <c r="BF2333">
        <v>410</v>
      </c>
      <c r="BG2333">
        <v>692</v>
      </c>
      <c r="BJ2333">
        <v>1</v>
      </c>
      <c r="BL2333" t="s">
        <v>4855</v>
      </c>
      <c r="BM2333" s="4">
        <v>43283.375</v>
      </c>
      <c r="BN2333" s="4">
        <v>43283.380914351852</v>
      </c>
      <c r="BO2333" s="4">
        <v>43283.380914351852</v>
      </c>
      <c r="BP2333" t="s">
        <v>92</v>
      </c>
      <c r="BQ2333" t="s">
        <v>93</v>
      </c>
      <c r="BR2333" t="s">
        <v>94</v>
      </c>
    </row>
    <row r="2334" spans="1:70" x14ac:dyDescent="0.3">
      <c r="A2334" t="str">
        <f>"201574B0100"</f>
        <v>201574B0100</v>
      </c>
      <c r="B2334" t="s">
        <v>4856</v>
      </c>
      <c r="C2334">
        <v>20</v>
      </c>
      <c r="D2334" t="s">
        <v>88</v>
      </c>
      <c r="E2334">
        <v>332</v>
      </c>
      <c r="F2334" t="s">
        <v>4802</v>
      </c>
      <c r="G2334">
        <v>1574</v>
      </c>
      <c r="H2334">
        <v>1</v>
      </c>
      <c r="I2334" t="s">
        <v>90</v>
      </c>
      <c r="J2334">
        <v>0</v>
      </c>
      <c r="K2334">
        <v>1</v>
      </c>
      <c r="L2334">
        <v>5</v>
      </c>
      <c r="M2334">
        <v>222</v>
      </c>
      <c r="N2334">
        <v>410</v>
      </c>
      <c r="O2334">
        <v>1</v>
      </c>
      <c r="P2334">
        <v>409</v>
      </c>
      <c r="Q2334">
        <v>3</v>
      </c>
      <c r="R2334">
        <v>43</v>
      </c>
      <c r="S2334">
        <v>3</v>
      </c>
      <c r="T2334">
        <v>9</v>
      </c>
      <c r="U2334">
        <v>12</v>
      </c>
      <c r="V2334">
        <v>3</v>
      </c>
      <c r="W2334">
        <v>49</v>
      </c>
      <c r="X2334">
        <v>78</v>
      </c>
      <c r="Y2334">
        <v>175</v>
      </c>
      <c r="Z2334">
        <v>5</v>
      </c>
      <c r="AC2334">
        <v>0</v>
      </c>
      <c r="AD2334">
        <v>0</v>
      </c>
      <c r="AE2334">
        <v>0</v>
      </c>
      <c r="AF2334">
        <v>0</v>
      </c>
      <c r="AG2334">
        <v>4</v>
      </c>
      <c r="AH2334">
        <v>1</v>
      </c>
      <c r="AI2334">
        <v>3</v>
      </c>
      <c r="AJ2334">
        <v>0</v>
      </c>
      <c r="AK2334">
        <v>2</v>
      </c>
      <c r="AL2334">
        <v>3</v>
      </c>
      <c r="AM2334">
        <v>0</v>
      </c>
      <c r="AN2334">
        <v>1</v>
      </c>
      <c r="BC2334">
        <v>1</v>
      </c>
      <c r="BD2334">
        <v>14</v>
      </c>
      <c r="BE2334">
        <v>409</v>
      </c>
      <c r="BF2334">
        <v>409</v>
      </c>
      <c r="BG2334">
        <v>610</v>
      </c>
      <c r="BJ2334">
        <v>1</v>
      </c>
      <c r="BL2334" t="s">
        <v>4857</v>
      </c>
      <c r="BM2334" s="4">
        <v>43283.189583333333</v>
      </c>
      <c r="BN2334" s="4">
        <v>43283.208275462966</v>
      </c>
      <c r="BO2334" s="4">
        <v>43283.208275462966</v>
      </c>
      <c r="BP2334" t="s">
        <v>92</v>
      </c>
      <c r="BQ2334" t="s">
        <v>93</v>
      </c>
      <c r="BR2334" t="s">
        <v>94</v>
      </c>
    </row>
    <row r="2335" spans="1:70" x14ac:dyDescent="0.3">
      <c r="A2335" t="str">
        <f>"201574C0100"</f>
        <v>201574C0100</v>
      </c>
      <c r="B2335" t="s">
        <v>4858</v>
      </c>
      <c r="C2335">
        <v>20</v>
      </c>
      <c r="D2335" t="s">
        <v>88</v>
      </c>
      <c r="E2335">
        <v>332</v>
      </c>
      <c r="F2335" t="s">
        <v>4802</v>
      </c>
      <c r="G2335">
        <v>1574</v>
      </c>
      <c r="H2335">
        <v>1</v>
      </c>
      <c r="I2335" t="s">
        <v>98</v>
      </c>
      <c r="J2335">
        <v>0</v>
      </c>
      <c r="K2335">
        <v>1</v>
      </c>
      <c r="L2335">
        <v>5</v>
      </c>
      <c r="M2335" t="s">
        <v>105</v>
      </c>
      <c r="N2335" t="s">
        <v>105</v>
      </c>
      <c r="O2335" t="s">
        <v>105</v>
      </c>
      <c r="P2335" t="s">
        <v>105</v>
      </c>
      <c r="Q2335">
        <v>3</v>
      </c>
      <c r="R2335">
        <v>37</v>
      </c>
      <c r="S2335">
        <v>5</v>
      </c>
      <c r="T2335">
        <v>12</v>
      </c>
      <c r="U2335">
        <v>6</v>
      </c>
      <c r="V2335">
        <v>0</v>
      </c>
      <c r="W2335">
        <v>43</v>
      </c>
      <c r="X2335">
        <v>73</v>
      </c>
      <c r="Y2335">
        <v>168</v>
      </c>
      <c r="Z2335">
        <v>0</v>
      </c>
      <c r="AC2335">
        <v>0</v>
      </c>
      <c r="AD2335">
        <v>0</v>
      </c>
      <c r="AE2335">
        <v>0</v>
      </c>
      <c r="AF2335">
        <v>0</v>
      </c>
      <c r="AG2335">
        <v>0</v>
      </c>
      <c r="AH2335">
        <v>1</v>
      </c>
      <c r="AI2335">
        <v>0</v>
      </c>
      <c r="AJ2335">
        <v>0</v>
      </c>
      <c r="AK2335">
        <v>12</v>
      </c>
      <c r="AL2335">
        <v>1</v>
      </c>
      <c r="AM2335">
        <v>0</v>
      </c>
      <c r="AN2335">
        <v>3</v>
      </c>
      <c r="BC2335" t="s">
        <v>105</v>
      </c>
      <c r="BD2335" t="s">
        <v>105</v>
      </c>
      <c r="BE2335" t="s">
        <v>105</v>
      </c>
      <c r="BF2335">
        <v>364</v>
      </c>
      <c r="BG2335">
        <v>610</v>
      </c>
      <c r="BI2335" t="s">
        <v>106</v>
      </c>
      <c r="BJ2335">
        <v>1</v>
      </c>
      <c r="BL2335" t="s">
        <v>4859</v>
      </c>
      <c r="BM2335" s="4">
        <v>43283.191666666666</v>
      </c>
      <c r="BN2335" s="4">
        <v>43283.212268518517</v>
      </c>
      <c r="BO2335" s="4">
        <v>43283.212268518517</v>
      </c>
      <c r="BP2335" t="s">
        <v>92</v>
      </c>
      <c r="BQ2335" t="s">
        <v>93</v>
      </c>
      <c r="BR2335" t="s">
        <v>94</v>
      </c>
    </row>
    <row r="2336" spans="1:70" x14ac:dyDescent="0.3">
      <c r="A2336" t="str">
        <f>"201574C0200"</f>
        <v>201574C0200</v>
      </c>
      <c r="B2336" t="s">
        <v>4860</v>
      </c>
      <c r="C2336">
        <v>20</v>
      </c>
      <c r="D2336" t="s">
        <v>88</v>
      </c>
      <c r="E2336">
        <v>332</v>
      </c>
      <c r="F2336" t="s">
        <v>4802</v>
      </c>
      <c r="G2336">
        <v>1574</v>
      </c>
      <c r="H2336">
        <v>2</v>
      </c>
      <c r="I2336" t="s">
        <v>98</v>
      </c>
      <c r="J2336">
        <v>0</v>
      </c>
      <c r="K2336">
        <v>1</v>
      </c>
      <c r="L2336">
        <v>5</v>
      </c>
      <c r="M2336">
        <v>173</v>
      </c>
      <c r="N2336">
        <v>372</v>
      </c>
      <c r="O2336">
        <v>4</v>
      </c>
      <c r="P2336">
        <v>372</v>
      </c>
      <c r="Q2336">
        <v>3</v>
      </c>
      <c r="R2336">
        <v>23</v>
      </c>
      <c r="S2336">
        <v>2</v>
      </c>
      <c r="T2336">
        <v>5</v>
      </c>
      <c r="U2336">
        <v>10</v>
      </c>
      <c r="V2336">
        <v>1</v>
      </c>
      <c r="W2336">
        <v>37</v>
      </c>
      <c r="X2336">
        <v>67</v>
      </c>
      <c r="Y2336">
        <v>175</v>
      </c>
      <c r="Z2336">
        <v>5</v>
      </c>
      <c r="AC2336" t="s">
        <v>105</v>
      </c>
      <c r="AD2336" t="s">
        <v>105</v>
      </c>
      <c r="AE2336" t="s">
        <v>105</v>
      </c>
      <c r="AF2336" t="s">
        <v>105</v>
      </c>
      <c r="AG2336">
        <v>6</v>
      </c>
      <c r="AH2336">
        <v>1</v>
      </c>
      <c r="AI2336" t="s">
        <v>105</v>
      </c>
      <c r="AJ2336">
        <v>1</v>
      </c>
      <c r="AK2336">
        <v>5</v>
      </c>
      <c r="AL2336">
        <v>1</v>
      </c>
      <c r="AM2336" t="s">
        <v>105</v>
      </c>
      <c r="AN2336">
        <v>3</v>
      </c>
      <c r="BC2336" t="s">
        <v>105</v>
      </c>
      <c r="BD2336">
        <v>13</v>
      </c>
      <c r="BE2336">
        <v>372</v>
      </c>
      <c r="BF2336">
        <v>358</v>
      </c>
      <c r="BG2336">
        <v>610</v>
      </c>
      <c r="BI2336" t="s">
        <v>106</v>
      </c>
      <c r="BJ2336">
        <v>1</v>
      </c>
      <c r="BL2336" t="s">
        <v>4861</v>
      </c>
      <c r="BM2336" s="4">
        <v>43283.201388888891</v>
      </c>
      <c r="BN2336" s="4">
        <v>43283.220405092594</v>
      </c>
      <c r="BO2336" s="4">
        <v>43283.220405092594</v>
      </c>
      <c r="BP2336" t="s">
        <v>92</v>
      </c>
      <c r="BQ2336" t="s">
        <v>93</v>
      </c>
      <c r="BR2336" t="s">
        <v>94</v>
      </c>
    </row>
    <row r="2337" spans="1:70" x14ac:dyDescent="0.3">
      <c r="A2337" t="str">
        <f>"201575B0100"</f>
        <v>201575B0100</v>
      </c>
      <c r="B2337" t="s">
        <v>4862</v>
      </c>
      <c r="C2337">
        <v>20</v>
      </c>
      <c r="D2337" t="s">
        <v>88</v>
      </c>
      <c r="E2337">
        <v>332</v>
      </c>
      <c r="F2337" t="s">
        <v>4802</v>
      </c>
      <c r="G2337">
        <v>1575</v>
      </c>
      <c r="H2337">
        <v>1</v>
      </c>
      <c r="I2337" t="s">
        <v>90</v>
      </c>
      <c r="J2337">
        <v>0</v>
      </c>
      <c r="K2337">
        <v>2</v>
      </c>
      <c r="L2337">
        <v>5</v>
      </c>
      <c r="M2337" t="s">
        <v>127</v>
      </c>
      <c r="N2337">
        <v>423</v>
      </c>
      <c r="O2337">
        <v>4</v>
      </c>
      <c r="P2337">
        <v>423</v>
      </c>
      <c r="Q2337">
        <v>1</v>
      </c>
      <c r="R2337">
        <v>60</v>
      </c>
      <c r="S2337">
        <v>8</v>
      </c>
      <c r="T2337">
        <v>2</v>
      </c>
      <c r="U2337">
        <v>7</v>
      </c>
      <c r="V2337">
        <v>1</v>
      </c>
      <c r="W2337">
        <v>69</v>
      </c>
      <c r="X2337">
        <v>62</v>
      </c>
      <c r="Y2337">
        <v>167</v>
      </c>
      <c r="Z2337">
        <v>4</v>
      </c>
      <c r="AC2337">
        <v>0</v>
      </c>
      <c r="AD2337">
        <v>0</v>
      </c>
      <c r="AE2337">
        <v>0</v>
      </c>
      <c r="AF2337">
        <v>0</v>
      </c>
      <c r="AG2337" t="s">
        <v>127</v>
      </c>
      <c r="AH2337">
        <v>2</v>
      </c>
      <c r="AI2337">
        <v>0</v>
      </c>
      <c r="AJ2337">
        <v>0</v>
      </c>
      <c r="AK2337">
        <v>8</v>
      </c>
      <c r="AL2337">
        <v>2</v>
      </c>
      <c r="AM2337">
        <v>1</v>
      </c>
      <c r="AN2337">
        <v>2</v>
      </c>
      <c r="BC2337">
        <v>1</v>
      </c>
      <c r="BD2337">
        <v>26</v>
      </c>
      <c r="BE2337">
        <v>429</v>
      </c>
      <c r="BF2337">
        <v>423</v>
      </c>
      <c r="BG2337">
        <v>664</v>
      </c>
      <c r="BI2337" t="s">
        <v>106</v>
      </c>
      <c r="BJ2337">
        <v>1</v>
      </c>
      <c r="BL2337" t="s">
        <v>4863</v>
      </c>
      <c r="BM2337" s="4">
        <v>43283.160416666666</v>
      </c>
      <c r="BN2337" s="4">
        <v>43283.183958333335</v>
      </c>
      <c r="BO2337" s="4">
        <v>43283.183958333335</v>
      </c>
      <c r="BP2337" t="s">
        <v>92</v>
      </c>
      <c r="BQ2337" t="s">
        <v>93</v>
      </c>
      <c r="BR2337" t="s">
        <v>94</v>
      </c>
    </row>
    <row r="2338" spans="1:70" x14ac:dyDescent="0.3">
      <c r="A2338" t="str">
        <f>"201575C0100"</f>
        <v>201575C0100</v>
      </c>
      <c r="B2338" t="s">
        <v>4864</v>
      </c>
      <c r="C2338">
        <v>20</v>
      </c>
      <c r="D2338" t="s">
        <v>88</v>
      </c>
      <c r="E2338">
        <v>332</v>
      </c>
      <c r="F2338" t="s">
        <v>4802</v>
      </c>
      <c r="G2338">
        <v>1575</v>
      </c>
      <c r="H2338">
        <v>1</v>
      </c>
      <c r="I2338" t="s">
        <v>98</v>
      </c>
      <c r="J2338">
        <v>0</v>
      </c>
      <c r="K2338">
        <v>2</v>
      </c>
      <c r="L2338">
        <v>5</v>
      </c>
      <c r="M2338">
        <v>262</v>
      </c>
      <c r="N2338">
        <v>423</v>
      </c>
      <c r="O2338">
        <v>6</v>
      </c>
      <c r="P2338">
        <v>423</v>
      </c>
      <c r="Q2338">
        <v>3</v>
      </c>
      <c r="R2338">
        <v>54</v>
      </c>
      <c r="S2338">
        <v>7</v>
      </c>
      <c r="T2338">
        <v>5</v>
      </c>
      <c r="U2338">
        <v>9</v>
      </c>
      <c r="V2338">
        <v>0</v>
      </c>
      <c r="W2338">
        <v>87</v>
      </c>
      <c r="X2338">
        <v>48</v>
      </c>
      <c r="Y2338">
        <v>156</v>
      </c>
      <c r="Z2338">
        <v>6</v>
      </c>
      <c r="AC2338">
        <v>0</v>
      </c>
      <c r="AD2338">
        <v>0</v>
      </c>
      <c r="AE2338">
        <v>0</v>
      </c>
      <c r="AF2338">
        <v>0</v>
      </c>
      <c r="AG2338">
        <v>5</v>
      </c>
      <c r="AH2338">
        <v>9</v>
      </c>
      <c r="AI2338">
        <v>0</v>
      </c>
      <c r="AJ2338">
        <v>0</v>
      </c>
      <c r="AK2338">
        <v>7</v>
      </c>
      <c r="AL2338">
        <v>3</v>
      </c>
      <c r="AM2338">
        <v>0</v>
      </c>
      <c r="AN2338">
        <v>1</v>
      </c>
      <c r="BC2338">
        <v>2</v>
      </c>
      <c r="BD2338">
        <v>21</v>
      </c>
      <c r="BE2338">
        <v>423</v>
      </c>
      <c r="BF2338">
        <v>423</v>
      </c>
      <c r="BG2338">
        <v>663</v>
      </c>
      <c r="BJ2338">
        <v>1</v>
      </c>
      <c r="BL2338" t="s">
        <v>4865</v>
      </c>
      <c r="BM2338" s="4">
        <v>43283.167361111111</v>
      </c>
      <c r="BN2338" s="4">
        <v>43283.178946759261</v>
      </c>
      <c r="BO2338" s="4">
        <v>43283.178946759261</v>
      </c>
      <c r="BP2338" t="s">
        <v>92</v>
      </c>
      <c r="BQ2338" t="s">
        <v>93</v>
      </c>
      <c r="BR2338" t="s">
        <v>94</v>
      </c>
    </row>
    <row r="2339" spans="1:70" x14ac:dyDescent="0.3">
      <c r="A2339" t="str">
        <f>"201575C0200"</f>
        <v>201575C0200</v>
      </c>
      <c r="B2339" t="s">
        <v>4866</v>
      </c>
      <c r="C2339">
        <v>20</v>
      </c>
      <c r="D2339" t="s">
        <v>88</v>
      </c>
      <c r="E2339">
        <v>332</v>
      </c>
      <c r="F2339" t="s">
        <v>4802</v>
      </c>
      <c r="G2339">
        <v>1575</v>
      </c>
      <c r="H2339">
        <v>2</v>
      </c>
      <c r="I2339" t="s">
        <v>98</v>
      </c>
      <c r="J2339">
        <v>0</v>
      </c>
      <c r="K2339">
        <v>2</v>
      </c>
      <c r="L2339">
        <v>5</v>
      </c>
      <c r="M2339">
        <v>280</v>
      </c>
      <c r="N2339">
        <v>405</v>
      </c>
      <c r="O2339" t="s">
        <v>105</v>
      </c>
      <c r="P2339">
        <v>405</v>
      </c>
      <c r="Q2339">
        <v>8</v>
      </c>
      <c r="R2339">
        <v>54</v>
      </c>
      <c r="S2339">
        <v>5</v>
      </c>
      <c r="T2339">
        <v>7</v>
      </c>
      <c r="U2339">
        <v>8</v>
      </c>
      <c r="V2339">
        <v>4</v>
      </c>
      <c r="W2339">
        <v>94</v>
      </c>
      <c r="X2339">
        <v>43</v>
      </c>
      <c r="Y2339">
        <v>139</v>
      </c>
      <c r="Z2339">
        <v>6</v>
      </c>
      <c r="AC2339">
        <v>0</v>
      </c>
      <c r="AD2339">
        <v>0</v>
      </c>
      <c r="AE2339">
        <v>0</v>
      </c>
      <c r="AF2339">
        <v>0</v>
      </c>
      <c r="AG2339">
        <v>0</v>
      </c>
      <c r="AH2339">
        <v>7</v>
      </c>
      <c r="AI2339">
        <v>0</v>
      </c>
      <c r="AJ2339">
        <v>0</v>
      </c>
      <c r="AK2339">
        <v>4</v>
      </c>
      <c r="AL2339">
        <v>2</v>
      </c>
      <c r="AM2339">
        <v>1</v>
      </c>
      <c r="AN2339">
        <v>2</v>
      </c>
      <c r="BC2339">
        <v>1</v>
      </c>
      <c r="BD2339">
        <v>20</v>
      </c>
      <c r="BE2339">
        <v>405</v>
      </c>
      <c r="BF2339">
        <v>405</v>
      </c>
      <c r="BG2339">
        <v>663</v>
      </c>
      <c r="BJ2339">
        <v>1</v>
      </c>
      <c r="BL2339" t="s">
        <v>4867</v>
      </c>
      <c r="BM2339" s="4">
        <v>43283.170138888891</v>
      </c>
      <c r="BN2339" s="4">
        <v>43283.187997685185</v>
      </c>
      <c r="BO2339" s="4">
        <v>43283.187997685185</v>
      </c>
      <c r="BP2339" t="s">
        <v>92</v>
      </c>
      <c r="BQ2339" t="s">
        <v>93</v>
      </c>
      <c r="BR2339" t="s">
        <v>94</v>
      </c>
    </row>
    <row r="2340" spans="1:70" x14ac:dyDescent="0.3">
      <c r="A2340" t="str">
        <f>"201576B0100"</f>
        <v>201576B0100</v>
      </c>
      <c r="B2340" t="s">
        <v>4868</v>
      </c>
      <c r="C2340">
        <v>20</v>
      </c>
      <c r="D2340" t="s">
        <v>88</v>
      </c>
      <c r="E2340">
        <v>332</v>
      </c>
      <c r="F2340" t="s">
        <v>4802</v>
      </c>
      <c r="G2340">
        <v>1576</v>
      </c>
      <c r="H2340">
        <v>1</v>
      </c>
      <c r="I2340" t="s">
        <v>90</v>
      </c>
      <c r="J2340">
        <v>0</v>
      </c>
      <c r="K2340">
        <v>2</v>
      </c>
      <c r="L2340">
        <v>5</v>
      </c>
      <c r="M2340">
        <v>261</v>
      </c>
      <c r="N2340" t="s">
        <v>105</v>
      </c>
      <c r="O2340">
        <v>4</v>
      </c>
      <c r="P2340">
        <v>373</v>
      </c>
      <c r="Q2340">
        <v>4</v>
      </c>
      <c r="R2340">
        <v>62</v>
      </c>
      <c r="S2340">
        <v>11</v>
      </c>
      <c r="T2340">
        <v>4</v>
      </c>
      <c r="U2340">
        <v>11</v>
      </c>
      <c r="V2340">
        <v>5</v>
      </c>
      <c r="W2340">
        <v>55</v>
      </c>
      <c r="X2340">
        <v>46</v>
      </c>
      <c r="Y2340">
        <v>150</v>
      </c>
      <c r="Z2340">
        <v>4</v>
      </c>
      <c r="AC2340" t="s">
        <v>105</v>
      </c>
      <c r="AD2340" t="s">
        <v>105</v>
      </c>
      <c r="AE2340" t="s">
        <v>105</v>
      </c>
      <c r="AF2340" t="s">
        <v>105</v>
      </c>
      <c r="AG2340" t="s">
        <v>105</v>
      </c>
      <c r="AH2340" t="s">
        <v>105</v>
      </c>
      <c r="AI2340" t="s">
        <v>105</v>
      </c>
      <c r="AJ2340" t="s">
        <v>105</v>
      </c>
      <c r="AK2340">
        <v>2</v>
      </c>
      <c r="AL2340">
        <v>3</v>
      </c>
      <c r="AM2340" t="s">
        <v>105</v>
      </c>
      <c r="AN2340">
        <v>1</v>
      </c>
      <c r="BC2340" t="s">
        <v>105</v>
      </c>
      <c r="BD2340">
        <v>15</v>
      </c>
      <c r="BE2340" t="s">
        <v>105</v>
      </c>
      <c r="BF2340">
        <v>373</v>
      </c>
      <c r="BG2340">
        <v>620</v>
      </c>
      <c r="BI2340" t="s">
        <v>106</v>
      </c>
      <c r="BJ2340">
        <v>1</v>
      </c>
      <c r="BL2340" t="s">
        <v>4869</v>
      </c>
      <c r="BM2340" s="4">
        <v>43283.147222222222</v>
      </c>
      <c r="BN2340" s="4">
        <v>43283.155219907407</v>
      </c>
      <c r="BO2340" s="4">
        <v>43283.155219907407</v>
      </c>
      <c r="BP2340" t="s">
        <v>92</v>
      </c>
      <c r="BQ2340" t="s">
        <v>93</v>
      </c>
      <c r="BR2340" t="s">
        <v>94</v>
      </c>
    </row>
    <row r="2341" spans="1:70" x14ac:dyDescent="0.3">
      <c r="A2341" t="str">
        <f>"201576C0100"</f>
        <v>201576C0100</v>
      </c>
      <c r="B2341" t="s">
        <v>4870</v>
      </c>
      <c r="C2341">
        <v>20</v>
      </c>
      <c r="D2341" t="s">
        <v>88</v>
      </c>
      <c r="E2341">
        <v>332</v>
      </c>
      <c r="F2341" t="s">
        <v>4802</v>
      </c>
      <c r="G2341">
        <v>1576</v>
      </c>
      <c r="H2341">
        <v>1</v>
      </c>
      <c r="I2341" t="s">
        <v>98</v>
      </c>
      <c r="J2341">
        <v>0</v>
      </c>
      <c r="K2341">
        <v>2</v>
      </c>
      <c r="L2341">
        <v>5</v>
      </c>
      <c r="M2341">
        <v>279</v>
      </c>
      <c r="N2341">
        <v>362</v>
      </c>
      <c r="O2341">
        <v>1</v>
      </c>
      <c r="P2341">
        <v>364</v>
      </c>
      <c r="Q2341">
        <v>4</v>
      </c>
      <c r="R2341">
        <v>72</v>
      </c>
      <c r="S2341">
        <v>12</v>
      </c>
      <c r="T2341">
        <v>6</v>
      </c>
      <c r="U2341">
        <v>7</v>
      </c>
      <c r="V2341">
        <v>4</v>
      </c>
      <c r="W2341">
        <v>57</v>
      </c>
      <c r="X2341">
        <v>43</v>
      </c>
      <c r="Y2341">
        <v>120</v>
      </c>
      <c r="Z2341">
        <v>6</v>
      </c>
      <c r="AC2341">
        <v>0</v>
      </c>
      <c r="AD2341">
        <v>0</v>
      </c>
      <c r="AE2341">
        <v>0</v>
      </c>
      <c r="AF2341">
        <v>0</v>
      </c>
      <c r="AG2341">
        <v>5</v>
      </c>
      <c r="AH2341">
        <v>0</v>
      </c>
      <c r="AI2341">
        <v>3</v>
      </c>
      <c r="AJ2341">
        <v>0</v>
      </c>
      <c r="AK2341">
        <v>2</v>
      </c>
      <c r="AL2341">
        <v>1</v>
      </c>
      <c r="AM2341">
        <v>1</v>
      </c>
      <c r="AN2341">
        <v>2</v>
      </c>
      <c r="BC2341">
        <v>1</v>
      </c>
      <c r="BD2341">
        <v>18</v>
      </c>
      <c r="BE2341">
        <v>364</v>
      </c>
      <c r="BF2341">
        <v>364</v>
      </c>
      <c r="BG2341">
        <v>619</v>
      </c>
      <c r="BJ2341">
        <v>1</v>
      </c>
      <c r="BL2341" t="s">
        <v>4871</v>
      </c>
      <c r="BM2341" s="4">
        <v>43283.148611111108</v>
      </c>
      <c r="BN2341" s="4">
        <v>43283.17114583333</v>
      </c>
      <c r="BO2341" s="4">
        <v>43283.17114583333</v>
      </c>
      <c r="BP2341" t="s">
        <v>92</v>
      </c>
      <c r="BQ2341" t="s">
        <v>93</v>
      </c>
      <c r="BR2341" t="s">
        <v>94</v>
      </c>
    </row>
    <row r="2342" spans="1:70" x14ac:dyDescent="0.3">
      <c r="A2342" t="str">
        <f>"201576C0200"</f>
        <v>201576C0200</v>
      </c>
      <c r="B2342" t="s">
        <v>4872</v>
      </c>
      <c r="C2342">
        <v>20</v>
      </c>
      <c r="D2342" t="s">
        <v>88</v>
      </c>
      <c r="E2342">
        <v>332</v>
      </c>
      <c r="F2342" t="s">
        <v>4802</v>
      </c>
      <c r="G2342">
        <v>1576</v>
      </c>
      <c r="H2342">
        <v>2</v>
      </c>
      <c r="I2342" t="s">
        <v>98</v>
      </c>
      <c r="J2342">
        <v>0</v>
      </c>
      <c r="K2342">
        <v>2</v>
      </c>
      <c r="L2342">
        <v>5</v>
      </c>
      <c r="M2342">
        <v>279</v>
      </c>
      <c r="N2342">
        <v>362</v>
      </c>
      <c r="O2342" t="s">
        <v>127</v>
      </c>
      <c r="P2342">
        <v>362</v>
      </c>
      <c r="Q2342">
        <v>2</v>
      </c>
      <c r="R2342">
        <v>62</v>
      </c>
      <c r="S2342">
        <v>7</v>
      </c>
      <c r="T2342">
        <v>4</v>
      </c>
      <c r="U2342">
        <v>3</v>
      </c>
      <c r="V2342">
        <v>2</v>
      </c>
      <c r="W2342">
        <v>83</v>
      </c>
      <c r="X2342">
        <v>44</v>
      </c>
      <c r="Y2342">
        <v>128</v>
      </c>
      <c r="Z2342">
        <v>3</v>
      </c>
      <c r="AC2342" t="s">
        <v>105</v>
      </c>
      <c r="AD2342" t="s">
        <v>105</v>
      </c>
      <c r="AE2342" t="s">
        <v>105</v>
      </c>
      <c r="AF2342" t="s">
        <v>105</v>
      </c>
      <c r="AG2342">
        <v>6</v>
      </c>
      <c r="AH2342">
        <v>4</v>
      </c>
      <c r="AI2342">
        <v>2</v>
      </c>
      <c r="AJ2342" t="s">
        <v>105</v>
      </c>
      <c r="AK2342" t="s">
        <v>105</v>
      </c>
      <c r="AL2342">
        <v>1</v>
      </c>
      <c r="AM2342" t="s">
        <v>105</v>
      </c>
      <c r="AN2342">
        <v>2</v>
      </c>
      <c r="BC2342" t="s">
        <v>105</v>
      </c>
      <c r="BD2342">
        <v>9</v>
      </c>
      <c r="BE2342" t="s">
        <v>105</v>
      </c>
      <c r="BF2342">
        <v>362</v>
      </c>
      <c r="BG2342">
        <v>619</v>
      </c>
      <c r="BI2342" t="s">
        <v>106</v>
      </c>
      <c r="BJ2342">
        <v>1</v>
      </c>
      <c r="BL2342" t="s">
        <v>4873</v>
      </c>
      <c r="BM2342" s="4">
        <v>43283.149305555555</v>
      </c>
      <c r="BN2342" s="4">
        <v>43283.15934027778</v>
      </c>
      <c r="BO2342" s="4">
        <v>43283.15934027778</v>
      </c>
      <c r="BP2342" t="s">
        <v>92</v>
      </c>
      <c r="BQ2342" t="s">
        <v>93</v>
      </c>
      <c r="BR2342" t="s">
        <v>94</v>
      </c>
    </row>
    <row r="2343" spans="1:70" x14ac:dyDescent="0.3">
      <c r="A2343" t="str">
        <f>"201576C0300"</f>
        <v>201576C0300</v>
      </c>
      <c r="B2343" t="s">
        <v>4874</v>
      </c>
      <c r="C2343">
        <v>20</v>
      </c>
      <c r="D2343" t="s">
        <v>88</v>
      </c>
      <c r="E2343">
        <v>332</v>
      </c>
      <c r="F2343" t="s">
        <v>4802</v>
      </c>
      <c r="G2343">
        <v>1576</v>
      </c>
      <c r="H2343">
        <v>3</v>
      </c>
      <c r="I2343" t="s">
        <v>98</v>
      </c>
      <c r="J2343">
        <v>0</v>
      </c>
      <c r="K2343">
        <v>2</v>
      </c>
      <c r="L2343">
        <v>5</v>
      </c>
      <c r="M2343">
        <v>289</v>
      </c>
      <c r="N2343">
        <v>352</v>
      </c>
      <c r="O2343">
        <v>2</v>
      </c>
      <c r="P2343">
        <v>350</v>
      </c>
      <c r="Q2343">
        <v>4</v>
      </c>
      <c r="R2343">
        <v>57</v>
      </c>
      <c r="S2343">
        <v>7</v>
      </c>
      <c r="T2343">
        <v>8</v>
      </c>
      <c r="U2343">
        <v>11</v>
      </c>
      <c r="V2343">
        <v>4</v>
      </c>
      <c r="W2343">
        <v>56</v>
      </c>
      <c r="X2343">
        <v>37</v>
      </c>
      <c r="Y2343">
        <v>132</v>
      </c>
      <c r="Z2343">
        <v>1</v>
      </c>
      <c r="AC2343">
        <v>0</v>
      </c>
      <c r="AD2343">
        <v>0</v>
      </c>
      <c r="AE2343">
        <v>0</v>
      </c>
      <c r="AF2343">
        <v>0</v>
      </c>
      <c r="AG2343">
        <v>2</v>
      </c>
      <c r="AH2343">
        <v>1</v>
      </c>
      <c r="AI2343">
        <v>2</v>
      </c>
      <c r="AJ2343">
        <v>0</v>
      </c>
      <c r="AK2343">
        <v>8</v>
      </c>
      <c r="AL2343">
        <v>2</v>
      </c>
      <c r="AM2343">
        <v>0</v>
      </c>
      <c r="AN2343">
        <v>1</v>
      </c>
      <c r="BC2343">
        <v>1</v>
      </c>
      <c r="BD2343">
        <v>17</v>
      </c>
      <c r="BE2343">
        <v>350</v>
      </c>
      <c r="BF2343">
        <v>351</v>
      </c>
      <c r="BG2343">
        <v>619</v>
      </c>
      <c r="BJ2343">
        <v>1</v>
      </c>
      <c r="BL2343" t="s">
        <v>4875</v>
      </c>
      <c r="BM2343" s="4">
        <v>43283.150694444441</v>
      </c>
      <c r="BN2343" s="4">
        <v>43283.160173611112</v>
      </c>
      <c r="BO2343" s="4">
        <v>43283.160173611112</v>
      </c>
      <c r="BP2343" t="s">
        <v>92</v>
      </c>
      <c r="BQ2343" t="s">
        <v>93</v>
      </c>
      <c r="BR2343" t="s">
        <v>94</v>
      </c>
    </row>
    <row r="2344" spans="1:70" x14ac:dyDescent="0.3">
      <c r="A2344" t="str">
        <f>"201576C0400"</f>
        <v>201576C0400</v>
      </c>
      <c r="B2344" t="s">
        <v>4876</v>
      </c>
      <c r="C2344">
        <v>20</v>
      </c>
      <c r="D2344" t="s">
        <v>88</v>
      </c>
      <c r="E2344">
        <v>332</v>
      </c>
      <c r="F2344" t="s">
        <v>4802</v>
      </c>
      <c r="G2344">
        <v>1576</v>
      </c>
      <c r="H2344">
        <v>4</v>
      </c>
      <c r="I2344" t="s">
        <v>98</v>
      </c>
      <c r="J2344">
        <v>0</v>
      </c>
      <c r="K2344">
        <v>2</v>
      </c>
      <c r="L2344">
        <v>5</v>
      </c>
      <c r="M2344">
        <v>269</v>
      </c>
      <c r="N2344" t="s">
        <v>105</v>
      </c>
      <c r="O2344" t="s">
        <v>105</v>
      </c>
      <c r="P2344">
        <v>371</v>
      </c>
      <c r="Q2344">
        <v>9</v>
      </c>
      <c r="R2344">
        <v>57</v>
      </c>
      <c r="S2344">
        <v>14</v>
      </c>
      <c r="T2344">
        <v>7</v>
      </c>
      <c r="U2344">
        <v>4</v>
      </c>
      <c r="V2344">
        <v>2</v>
      </c>
      <c r="W2344">
        <v>75</v>
      </c>
      <c r="X2344">
        <v>35</v>
      </c>
      <c r="Y2344">
        <v>135</v>
      </c>
      <c r="Z2344">
        <v>4</v>
      </c>
      <c r="AC2344">
        <v>0</v>
      </c>
      <c r="AD2344">
        <v>0</v>
      </c>
      <c r="AE2344">
        <v>0</v>
      </c>
      <c r="AF2344">
        <v>0</v>
      </c>
      <c r="AG2344">
        <v>7</v>
      </c>
      <c r="AH2344">
        <v>0</v>
      </c>
      <c r="AI2344">
        <v>3</v>
      </c>
      <c r="AJ2344">
        <v>2</v>
      </c>
      <c r="AK2344">
        <v>8</v>
      </c>
      <c r="AL2344">
        <v>0</v>
      </c>
      <c r="AM2344">
        <v>0</v>
      </c>
      <c r="AN2344">
        <v>0</v>
      </c>
      <c r="BC2344" t="s">
        <v>105</v>
      </c>
      <c r="BD2344">
        <v>16</v>
      </c>
      <c r="BE2344">
        <v>371</v>
      </c>
      <c r="BF2344">
        <v>378</v>
      </c>
      <c r="BG2344">
        <v>619</v>
      </c>
      <c r="BI2344" t="s">
        <v>106</v>
      </c>
      <c r="BJ2344">
        <v>1</v>
      </c>
      <c r="BL2344" t="s">
        <v>4877</v>
      </c>
      <c r="BM2344" s="4">
        <v>43283.152777777781</v>
      </c>
      <c r="BN2344" s="4">
        <v>43283.162615740737</v>
      </c>
      <c r="BO2344" s="4">
        <v>43283.162615740737</v>
      </c>
      <c r="BP2344" t="s">
        <v>92</v>
      </c>
      <c r="BQ2344" t="s">
        <v>93</v>
      </c>
      <c r="BR2344" t="s">
        <v>94</v>
      </c>
    </row>
    <row r="2345" spans="1:70" x14ac:dyDescent="0.3">
      <c r="A2345" t="str">
        <f>"201577B0100"</f>
        <v>201577B0100</v>
      </c>
      <c r="B2345" t="s">
        <v>4878</v>
      </c>
      <c r="C2345">
        <v>20</v>
      </c>
      <c r="D2345" t="s">
        <v>88</v>
      </c>
      <c r="E2345">
        <v>332</v>
      </c>
      <c r="F2345" t="s">
        <v>4802</v>
      </c>
      <c r="G2345">
        <v>1577</v>
      </c>
      <c r="H2345">
        <v>1</v>
      </c>
      <c r="I2345" t="s">
        <v>90</v>
      </c>
      <c r="J2345">
        <v>0</v>
      </c>
      <c r="K2345">
        <v>2</v>
      </c>
      <c r="L2345">
        <v>5</v>
      </c>
      <c r="M2345">
        <v>287</v>
      </c>
      <c r="N2345">
        <v>414</v>
      </c>
      <c r="O2345">
        <v>3</v>
      </c>
      <c r="P2345">
        <v>414</v>
      </c>
      <c r="Q2345">
        <v>2</v>
      </c>
      <c r="R2345">
        <v>41</v>
      </c>
      <c r="S2345">
        <v>10</v>
      </c>
      <c r="T2345">
        <v>16</v>
      </c>
      <c r="U2345">
        <v>8</v>
      </c>
      <c r="V2345">
        <v>2</v>
      </c>
      <c r="W2345">
        <v>134</v>
      </c>
      <c r="X2345">
        <v>46</v>
      </c>
      <c r="Y2345">
        <v>129</v>
      </c>
      <c r="Z2345">
        <v>1</v>
      </c>
      <c r="AC2345">
        <v>0</v>
      </c>
      <c r="AD2345">
        <v>0</v>
      </c>
      <c r="AE2345">
        <v>0</v>
      </c>
      <c r="AF2345">
        <v>1</v>
      </c>
      <c r="AG2345">
        <v>1</v>
      </c>
      <c r="AH2345">
        <v>1</v>
      </c>
      <c r="AI2345">
        <v>0</v>
      </c>
      <c r="AJ2345">
        <v>0</v>
      </c>
      <c r="AK2345">
        <v>2</v>
      </c>
      <c r="AL2345">
        <v>3</v>
      </c>
      <c r="AM2345">
        <v>0</v>
      </c>
      <c r="AN2345">
        <v>0</v>
      </c>
      <c r="BC2345">
        <v>5</v>
      </c>
      <c r="BD2345">
        <v>12</v>
      </c>
      <c r="BE2345">
        <v>414</v>
      </c>
      <c r="BF2345">
        <v>414</v>
      </c>
      <c r="BG2345">
        <v>679</v>
      </c>
      <c r="BJ2345">
        <v>1</v>
      </c>
      <c r="BL2345" t="s">
        <v>4879</v>
      </c>
      <c r="BM2345" s="4">
        <v>43283.215277777781</v>
      </c>
      <c r="BN2345" s="4">
        <v>43283.237581018519</v>
      </c>
      <c r="BO2345" s="4">
        <v>43283.237581018519</v>
      </c>
      <c r="BP2345" t="s">
        <v>92</v>
      </c>
      <c r="BQ2345" t="s">
        <v>93</v>
      </c>
      <c r="BR2345" t="s">
        <v>94</v>
      </c>
    </row>
    <row r="2346" spans="1:70" x14ac:dyDescent="0.3">
      <c r="A2346" t="str">
        <f>"201577C0100"</f>
        <v>201577C0100</v>
      </c>
      <c r="B2346" t="s">
        <v>4880</v>
      </c>
      <c r="C2346">
        <v>20</v>
      </c>
      <c r="D2346" t="s">
        <v>88</v>
      </c>
      <c r="E2346">
        <v>332</v>
      </c>
      <c r="F2346" t="s">
        <v>4802</v>
      </c>
      <c r="G2346">
        <v>1577</v>
      </c>
      <c r="H2346">
        <v>1</v>
      </c>
      <c r="I2346" t="s">
        <v>98</v>
      </c>
      <c r="J2346">
        <v>0</v>
      </c>
      <c r="K2346">
        <v>2</v>
      </c>
      <c r="L2346">
        <v>5</v>
      </c>
      <c r="M2346">
        <v>292</v>
      </c>
      <c r="N2346">
        <v>409</v>
      </c>
      <c r="O2346">
        <v>0</v>
      </c>
      <c r="P2346">
        <v>409</v>
      </c>
      <c r="Q2346">
        <v>1</v>
      </c>
      <c r="R2346">
        <v>39</v>
      </c>
      <c r="S2346">
        <v>10</v>
      </c>
      <c r="T2346">
        <v>8</v>
      </c>
      <c r="U2346">
        <v>9</v>
      </c>
      <c r="V2346">
        <v>3</v>
      </c>
      <c r="W2346">
        <v>127</v>
      </c>
      <c r="X2346">
        <v>47</v>
      </c>
      <c r="Y2346">
        <v>131</v>
      </c>
      <c r="Z2346">
        <v>5</v>
      </c>
      <c r="AC2346">
        <v>0</v>
      </c>
      <c r="AD2346">
        <v>0</v>
      </c>
      <c r="AE2346">
        <v>0</v>
      </c>
      <c r="AF2346">
        <v>0</v>
      </c>
      <c r="AG2346">
        <v>0</v>
      </c>
      <c r="AH2346">
        <v>0</v>
      </c>
      <c r="AI2346">
        <v>0</v>
      </c>
      <c r="AJ2346">
        <v>0</v>
      </c>
      <c r="AK2346">
        <v>3</v>
      </c>
      <c r="AL2346">
        <v>1</v>
      </c>
      <c r="AM2346">
        <v>1</v>
      </c>
      <c r="AN2346">
        <v>3</v>
      </c>
      <c r="BC2346">
        <v>1</v>
      </c>
      <c r="BD2346">
        <v>19</v>
      </c>
      <c r="BE2346">
        <v>409</v>
      </c>
      <c r="BF2346">
        <v>408</v>
      </c>
      <c r="BG2346">
        <v>679</v>
      </c>
      <c r="BJ2346">
        <v>1</v>
      </c>
      <c r="BL2346" t="s">
        <v>4881</v>
      </c>
      <c r="BM2346" s="4">
        <v>43283.213194444441</v>
      </c>
      <c r="BN2346" s="4">
        <v>43283.235034722224</v>
      </c>
      <c r="BO2346" s="4">
        <v>43283.235034722224</v>
      </c>
      <c r="BP2346" t="s">
        <v>92</v>
      </c>
      <c r="BQ2346" t="s">
        <v>93</v>
      </c>
      <c r="BR2346" t="s">
        <v>94</v>
      </c>
    </row>
    <row r="2347" spans="1:70" x14ac:dyDescent="0.3">
      <c r="A2347" t="str">
        <f>"201578B0100"</f>
        <v>201578B0100</v>
      </c>
      <c r="B2347" t="s">
        <v>4882</v>
      </c>
      <c r="C2347">
        <v>20</v>
      </c>
      <c r="D2347" t="s">
        <v>88</v>
      </c>
      <c r="E2347">
        <v>332</v>
      </c>
      <c r="F2347" t="s">
        <v>4802</v>
      </c>
      <c r="G2347">
        <v>1578</v>
      </c>
      <c r="H2347">
        <v>1</v>
      </c>
      <c r="I2347" t="s">
        <v>90</v>
      </c>
      <c r="J2347">
        <v>0</v>
      </c>
      <c r="K2347">
        <v>2</v>
      </c>
      <c r="L2347">
        <v>5</v>
      </c>
      <c r="M2347">
        <v>189</v>
      </c>
      <c r="N2347">
        <v>331</v>
      </c>
      <c r="O2347">
        <v>1</v>
      </c>
      <c r="P2347">
        <v>340</v>
      </c>
      <c r="Q2347">
        <v>2</v>
      </c>
      <c r="R2347">
        <v>37</v>
      </c>
      <c r="S2347">
        <v>16</v>
      </c>
      <c r="T2347">
        <v>3</v>
      </c>
      <c r="U2347">
        <v>9</v>
      </c>
      <c r="V2347">
        <v>3</v>
      </c>
      <c r="W2347">
        <v>99</v>
      </c>
      <c r="X2347">
        <v>39</v>
      </c>
      <c r="Y2347">
        <v>103</v>
      </c>
      <c r="Z2347">
        <v>5</v>
      </c>
      <c r="AC2347">
        <v>0</v>
      </c>
      <c r="AD2347">
        <v>0</v>
      </c>
      <c r="AE2347">
        <v>0</v>
      </c>
      <c r="AF2347">
        <v>0</v>
      </c>
      <c r="AG2347">
        <v>0</v>
      </c>
      <c r="AH2347">
        <v>0</v>
      </c>
      <c r="AI2347">
        <v>0</v>
      </c>
      <c r="AJ2347">
        <v>0</v>
      </c>
      <c r="AK2347">
        <v>8</v>
      </c>
      <c r="AL2347">
        <v>0</v>
      </c>
      <c r="AM2347">
        <v>0</v>
      </c>
      <c r="AN2347">
        <v>0</v>
      </c>
      <c r="BC2347">
        <v>0</v>
      </c>
      <c r="BD2347">
        <v>16</v>
      </c>
      <c r="BE2347">
        <v>340</v>
      </c>
      <c r="BF2347">
        <v>340</v>
      </c>
      <c r="BG2347">
        <v>507</v>
      </c>
      <c r="BJ2347">
        <v>1</v>
      </c>
      <c r="BL2347" t="s">
        <v>4883</v>
      </c>
      <c r="BM2347" s="4">
        <v>43283.222916666666</v>
      </c>
      <c r="BN2347" s="4">
        <v>43283.245775462965</v>
      </c>
      <c r="BO2347" s="4">
        <v>43283.245775462965</v>
      </c>
      <c r="BP2347" t="s">
        <v>92</v>
      </c>
      <c r="BQ2347" t="s">
        <v>93</v>
      </c>
      <c r="BR2347" t="s">
        <v>94</v>
      </c>
    </row>
    <row r="2348" spans="1:70" x14ac:dyDescent="0.3">
      <c r="A2348" t="str">
        <f>"201578C0100"</f>
        <v>201578C0100</v>
      </c>
      <c r="B2348" t="s">
        <v>4884</v>
      </c>
      <c r="C2348">
        <v>20</v>
      </c>
      <c r="D2348" t="s">
        <v>88</v>
      </c>
      <c r="E2348">
        <v>332</v>
      </c>
      <c r="F2348" t="s">
        <v>4802</v>
      </c>
      <c r="G2348">
        <v>1578</v>
      </c>
      <c r="H2348">
        <v>1</v>
      </c>
      <c r="I2348" t="s">
        <v>98</v>
      </c>
      <c r="J2348">
        <v>0</v>
      </c>
      <c r="K2348">
        <v>2</v>
      </c>
      <c r="L2348">
        <v>5</v>
      </c>
      <c r="M2348">
        <v>206</v>
      </c>
      <c r="N2348">
        <v>323</v>
      </c>
      <c r="O2348">
        <v>0</v>
      </c>
      <c r="P2348">
        <v>323</v>
      </c>
      <c r="Q2348">
        <v>2</v>
      </c>
      <c r="R2348">
        <v>27</v>
      </c>
      <c r="S2348">
        <v>14</v>
      </c>
      <c r="T2348">
        <v>6</v>
      </c>
      <c r="U2348">
        <v>8</v>
      </c>
      <c r="V2348">
        <v>3</v>
      </c>
      <c r="W2348">
        <v>99</v>
      </c>
      <c r="X2348">
        <v>36</v>
      </c>
      <c r="Y2348">
        <v>104</v>
      </c>
      <c r="Z2348">
        <v>6</v>
      </c>
      <c r="AC2348">
        <v>0</v>
      </c>
      <c r="AD2348">
        <v>0</v>
      </c>
      <c r="AE2348">
        <v>0</v>
      </c>
      <c r="AF2348">
        <v>0</v>
      </c>
      <c r="AG2348">
        <v>1</v>
      </c>
      <c r="AH2348">
        <v>1</v>
      </c>
      <c r="AI2348">
        <v>0</v>
      </c>
      <c r="AJ2348">
        <v>1</v>
      </c>
      <c r="AK2348">
        <v>4</v>
      </c>
      <c r="AL2348">
        <v>0</v>
      </c>
      <c r="AM2348">
        <v>1</v>
      </c>
      <c r="AN2348">
        <v>1</v>
      </c>
      <c r="BC2348">
        <v>0</v>
      </c>
      <c r="BD2348">
        <v>9</v>
      </c>
      <c r="BE2348">
        <v>323</v>
      </c>
      <c r="BF2348">
        <v>323</v>
      </c>
      <c r="BG2348">
        <v>507</v>
      </c>
      <c r="BJ2348">
        <v>1</v>
      </c>
      <c r="BL2348" t="s">
        <v>4885</v>
      </c>
      <c r="BM2348" s="4">
        <v>43283.223611111112</v>
      </c>
      <c r="BN2348" s="4">
        <v>43283.24622685185</v>
      </c>
      <c r="BO2348" s="4">
        <v>43283.24622685185</v>
      </c>
      <c r="BP2348" t="s">
        <v>92</v>
      </c>
      <c r="BQ2348" t="s">
        <v>93</v>
      </c>
      <c r="BR2348" t="s">
        <v>94</v>
      </c>
    </row>
    <row r="2349" spans="1:70" x14ac:dyDescent="0.3">
      <c r="A2349" t="str">
        <f>"201578E0100"</f>
        <v>201578E0100</v>
      </c>
      <c r="B2349" s="2" t="s">
        <v>4886</v>
      </c>
      <c r="C2349">
        <v>20</v>
      </c>
      <c r="D2349" t="s">
        <v>88</v>
      </c>
      <c r="E2349">
        <v>332</v>
      </c>
      <c r="F2349" t="s">
        <v>4802</v>
      </c>
      <c r="G2349">
        <v>1578</v>
      </c>
      <c r="H2349">
        <v>1</v>
      </c>
      <c r="I2349" t="s">
        <v>156</v>
      </c>
      <c r="J2349">
        <v>0</v>
      </c>
      <c r="K2349">
        <v>2</v>
      </c>
      <c r="L2349">
        <v>5</v>
      </c>
      <c r="M2349">
        <v>130</v>
      </c>
      <c r="N2349">
        <v>289</v>
      </c>
      <c r="O2349">
        <v>3</v>
      </c>
      <c r="P2349">
        <v>289</v>
      </c>
      <c r="Q2349">
        <v>0</v>
      </c>
      <c r="R2349">
        <v>30</v>
      </c>
      <c r="S2349">
        <v>8</v>
      </c>
      <c r="T2349">
        <v>2</v>
      </c>
      <c r="U2349">
        <v>8</v>
      </c>
      <c r="V2349">
        <v>6</v>
      </c>
      <c r="W2349">
        <v>102</v>
      </c>
      <c r="X2349">
        <v>42</v>
      </c>
      <c r="Y2349">
        <v>65</v>
      </c>
      <c r="Z2349">
        <v>1</v>
      </c>
      <c r="AC2349">
        <v>0</v>
      </c>
      <c r="AD2349">
        <v>1</v>
      </c>
      <c r="AE2349">
        <v>0</v>
      </c>
      <c r="AF2349">
        <v>0</v>
      </c>
      <c r="AG2349">
        <v>1</v>
      </c>
      <c r="AH2349">
        <v>0</v>
      </c>
      <c r="AI2349">
        <v>0</v>
      </c>
      <c r="AJ2349">
        <v>0</v>
      </c>
      <c r="AK2349">
        <v>2</v>
      </c>
      <c r="AL2349">
        <v>0</v>
      </c>
      <c r="AM2349">
        <v>0</v>
      </c>
      <c r="AN2349">
        <v>0</v>
      </c>
      <c r="BC2349">
        <v>0</v>
      </c>
      <c r="BD2349">
        <v>21</v>
      </c>
      <c r="BE2349">
        <v>289</v>
      </c>
      <c r="BF2349">
        <v>289</v>
      </c>
      <c r="BG2349">
        <v>397</v>
      </c>
      <c r="BJ2349">
        <v>1</v>
      </c>
      <c r="BL2349" t="s">
        <v>4887</v>
      </c>
      <c r="BM2349" s="4">
        <v>43283.209722222222</v>
      </c>
      <c r="BN2349" s="4">
        <v>43283.230173611111</v>
      </c>
      <c r="BO2349" s="4">
        <v>43283.230173611111</v>
      </c>
      <c r="BP2349" t="s">
        <v>92</v>
      </c>
      <c r="BQ2349" t="s">
        <v>93</v>
      </c>
      <c r="BR2349" t="s">
        <v>94</v>
      </c>
    </row>
    <row r="2350" spans="1:70" x14ac:dyDescent="0.3">
      <c r="A2350" t="str">
        <f>"201578E0200"</f>
        <v>201578E0200</v>
      </c>
      <c r="B2350" s="2" t="s">
        <v>4888</v>
      </c>
      <c r="C2350">
        <v>20</v>
      </c>
      <c r="D2350" t="s">
        <v>88</v>
      </c>
      <c r="E2350">
        <v>332</v>
      </c>
      <c r="F2350" t="s">
        <v>4802</v>
      </c>
      <c r="G2350">
        <v>1578</v>
      </c>
      <c r="H2350">
        <v>2</v>
      </c>
      <c r="I2350" t="s">
        <v>156</v>
      </c>
      <c r="J2350">
        <v>0</v>
      </c>
      <c r="K2350">
        <v>2</v>
      </c>
      <c r="L2350">
        <v>5</v>
      </c>
      <c r="M2350">
        <v>222</v>
      </c>
      <c r="N2350">
        <v>400</v>
      </c>
      <c r="O2350">
        <v>2</v>
      </c>
      <c r="P2350">
        <v>400</v>
      </c>
      <c r="Q2350">
        <v>3</v>
      </c>
      <c r="R2350">
        <v>88</v>
      </c>
      <c r="S2350">
        <v>14</v>
      </c>
      <c r="T2350">
        <v>3</v>
      </c>
      <c r="U2350">
        <v>6</v>
      </c>
      <c r="V2350">
        <v>3</v>
      </c>
      <c r="W2350">
        <v>106</v>
      </c>
      <c r="X2350">
        <v>61</v>
      </c>
      <c r="Y2350">
        <v>88</v>
      </c>
      <c r="Z2350">
        <v>1</v>
      </c>
      <c r="AC2350">
        <v>0</v>
      </c>
      <c r="AD2350">
        <v>0</v>
      </c>
      <c r="AE2350">
        <v>0</v>
      </c>
      <c r="AF2350">
        <v>0</v>
      </c>
      <c r="AG2350">
        <v>2</v>
      </c>
      <c r="AH2350">
        <v>0</v>
      </c>
      <c r="AI2350">
        <v>0</v>
      </c>
      <c r="AJ2350">
        <v>0</v>
      </c>
      <c r="AK2350">
        <v>0</v>
      </c>
      <c r="AL2350">
        <v>0</v>
      </c>
      <c r="AM2350">
        <v>0</v>
      </c>
      <c r="AN2350">
        <v>0</v>
      </c>
      <c r="BC2350">
        <v>0</v>
      </c>
      <c r="BD2350">
        <v>20</v>
      </c>
      <c r="BE2350">
        <v>400</v>
      </c>
      <c r="BF2350">
        <v>395</v>
      </c>
      <c r="BG2350">
        <v>600</v>
      </c>
      <c r="BJ2350">
        <v>1</v>
      </c>
      <c r="BL2350" t="s">
        <v>4889</v>
      </c>
      <c r="BM2350" s="4">
        <v>43283.218055555553</v>
      </c>
      <c r="BN2350" s="4">
        <v>43283.246759259258</v>
      </c>
      <c r="BO2350" s="4">
        <v>43283.246759259258</v>
      </c>
      <c r="BP2350" t="s">
        <v>92</v>
      </c>
      <c r="BQ2350" t="s">
        <v>93</v>
      </c>
      <c r="BR2350" t="s">
        <v>94</v>
      </c>
    </row>
    <row r="2351" spans="1:70" x14ac:dyDescent="0.3">
      <c r="A2351" t="str">
        <f>"201579B0100"</f>
        <v>201579B0100</v>
      </c>
      <c r="B2351" t="s">
        <v>4890</v>
      </c>
      <c r="C2351">
        <v>20</v>
      </c>
      <c r="D2351" t="s">
        <v>88</v>
      </c>
      <c r="E2351">
        <v>332</v>
      </c>
      <c r="F2351" t="s">
        <v>4802</v>
      </c>
      <c r="G2351">
        <v>1579</v>
      </c>
      <c r="H2351">
        <v>1</v>
      </c>
      <c r="I2351" t="s">
        <v>90</v>
      </c>
      <c r="J2351">
        <v>0</v>
      </c>
      <c r="K2351">
        <v>2</v>
      </c>
      <c r="L2351">
        <v>5</v>
      </c>
      <c r="M2351">
        <v>251</v>
      </c>
      <c r="N2351">
        <v>436</v>
      </c>
      <c r="O2351">
        <v>0</v>
      </c>
      <c r="P2351">
        <v>0</v>
      </c>
      <c r="Q2351">
        <v>5</v>
      </c>
      <c r="R2351">
        <v>73</v>
      </c>
      <c r="S2351">
        <v>4</v>
      </c>
      <c r="T2351">
        <v>14</v>
      </c>
      <c r="U2351">
        <v>11</v>
      </c>
      <c r="V2351">
        <v>5</v>
      </c>
      <c r="W2351">
        <v>84</v>
      </c>
      <c r="X2351">
        <v>100</v>
      </c>
      <c r="Y2351">
        <v>97</v>
      </c>
      <c r="Z2351">
        <v>5</v>
      </c>
      <c r="AC2351">
        <v>0</v>
      </c>
      <c r="AD2351">
        <v>0</v>
      </c>
      <c r="AE2351">
        <v>0</v>
      </c>
      <c r="AF2351">
        <v>0</v>
      </c>
      <c r="AG2351">
        <v>3</v>
      </c>
      <c r="AH2351">
        <v>1</v>
      </c>
      <c r="AI2351">
        <v>3</v>
      </c>
      <c r="AJ2351">
        <v>2</v>
      </c>
      <c r="AK2351">
        <v>1</v>
      </c>
      <c r="AL2351">
        <v>0</v>
      </c>
      <c r="AM2351">
        <v>0</v>
      </c>
      <c r="AN2351">
        <v>0</v>
      </c>
      <c r="BC2351" t="s">
        <v>127</v>
      </c>
      <c r="BD2351">
        <v>28</v>
      </c>
      <c r="BE2351">
        <v>436</v>
      </c>
      <c r="BF2351">
        <v>436</v>
      </c>
      <c r="BG2351">
        <v>666</v>
      </c>
      <c r="BI2351" t="s">
        <v>106</v>
      </c>
      <c r="BJ2351">
        <v>1</v>
      </c>
      <c r="BL2351" t="s">
        <v>4891</v>
      </c>
      <c r="BM2351" s="4">
        <v>43283.172222222223</v>
      </c>
      <c r="BN2351" s="4">
        <v>43283.189722222225</v>
      </c>
      <c r="BO2351" s="4">
        <v>43283.189722222225</v>
      </c>
      <c r="BP2351" t="s">
        <v>92</v>
      </c>
      <c r="BQ2351" t="s">
        <v>93</v>
      </c>
      <c r="BR2351" t="s">
        <v>94</v>
      </c>
    </row>
    <row r="2352" spans="1:70" x14ac:dyDescent="0.3">
      <c r="A2352" t="str">
        <f>"201579E0100"</f>
        <v>201579E0100</v>
      </c>
      <c r="B2352" s="2" t="s">
        <v>4892</v>
      </c>
      <c r="C2352">
        <v>20</v>
      </c>
      <c r="D2352" t="s">
        <v>88</v>
      </c>
      <c r="E2352">
        <v>332</v>
      </c>
      <c r="F2352" t="s">
        <v>4802</v>
      </c>
      <c r="G2352">
        <v>1579</v>
      </c>
      <c r="H2352">
        <v>1</v>
      </c>
      <c r="I2352" t="s">
        <v>156</v>
      </c>
      <c r="J2352">
        <v>0</v>
      </c>
      <c r="K2352">
        <v>2</v>
      </c>
      <c r="L2352">
        <v>5</v>
      </c>
      <c r="M2352">
        <v>109</v>
      </c>
      <c r="N2352">
        <v>175</v>
      </c>
      <c r="O2352">
        <v>0</v>
      </c>
      <c r="P2352">
        <v>175</v>
      </c>
      <c r="Q2352">
        <v>0</v>
      </c>
      <c r="R2352">
        <v>17</v>
      </c>
      <c r="S2352">
        <v>3</v>
      </c>
      <c r="T2352">
        <v>0</v>
      </c>
      <c r="U2352">
        <v>4</v>
      </c>
      <c r="V2352">
        <v>0</v>
      </c>
      <c r="W2352">
        <v>92</v>
      </c>
      <c r="X2352">
        <v>24</v>
      </c>
      <c r="Y2352">
        <v>23</v>
      </c>
      <c r="Z2352">
        <v>0</v>
      </c>
      <c r="AC2352">
        <v>0</v>
      </c>
      <c r="AD2352">
        <v>0</v>
      </c>
      <c r="AE2352">
        <v>0</v>
      </c>
      <c r="AF2352">
        <v>0</v>
      </c>
      <c r="AG2352">
        <v>6</v>
      </c>
      <c r="AH2352">
        <v>0</v>
      </c>
      <c r="AI2352">
        <v>1</v>
      </c>
      <c r="AJ2352">
        <v>0</v>
      </c>
      <c r="AK2352">
        <v>1</v>
      </c>
      <c r="AL2352">
        <v>0</v>
      </c>
      <c r="AM2352">
        <v>0</v>
      </c>
      <c r="AN2352">
        <v>0</v>
      </c>
      <c r="BC2352">
        <v>0</v>
      </c>
      <c r="BD2352">
        <v>4</v>
      </c>
      <c r="BE2352">
        <v>175</v>
      </c>
      <c r="BF2352">
        <v>175</v>
      </c>
      <c r="BG2352">
        <v>262</v>
      </c>
      <c r="BJ2352">
        <v>1</v>
      </c>
      <c r="BL2352" t="s">
        <v>4893</v>
      </c>
      <c r="BM2352" s="4">
        <v>43283.092361111114</v>
      </c>
      <c r="BN2352" s="4">
        <v>43283.09915509259</v>
      </c>
      <c r="BO2352" s="4">
        <v>43283.09915509259</v>
      </c>
      <c r="BP2352" t="s">
        <v>92</v>
      </c>
      <c r="BQ2352" t="s">
        <v>93</v>
      </c>
      <c r="BR2352" t="s">
        <v>94</v>
      </c>
    </row>
    <row r="2353" spans="1:70" x14ac:dyDescent="0.3">
      <c r="A2353" t="str">
        <f>"201579E0200"</f>
        <v>201579E0200</v>
      </c>
      <c r="B2353" s="2" t="s">
        <v>4894</v>
      </c>
      <c r="C2353">
        <v>20</v>
      </c>
      <c r="D2353" t="s">
        <v>88</v>
      </c>
      <c r="E2353">
        <v>332</v>
      </c>
      <c r="F2353" t="s">
        <v>4802</v>
      </c>
      <c r="G2353">
        <v>1579</v>
      </c>
      <c r="H2353">
        <v>2</v>
      </c>
      <c r="I2353" t="s">
        <v>156</v>
      </c>
      <c r="J2353">
        <v>0</v>
      </c>
      <c r="K2353">
        <v>2</v>
      </c>
      <c r="L2353">
        <v>5</v>
      </c>
      <c r="BG2353">
        <v>405</v>
      </c>
      <c r="BI2353" t="s">
        <v>122</v>
      </c>
      <c r="BJ2353">
        <v>0</v>
      </c>
      <c r="BL2353" t="s">
        <v>4895</v>
      </c>
      <c r="BM2353" s="4">
        <v>43283.439583333333</v>
      </c>
      <c r="BN2353" s="4">
        <v>43283.44295138889</v>
      </c>
      <c r="BO2353" s="4">
        <v>43283.44295138889</v>
      </c>
      <c r="BP2353" t="s">
        <v>92</v>
      </c>
      <c r="BQ2353" t="s">
        <v>93</v>
      </c>
      <c r="BR2353" t="s">
        <v>94</v>
      </c>
    </row>
    <row r="2354" spans="1:70" x14ac:dyDescent="0.3">
      <c r="A2354" t="str">
        <f>"201580B0100"</f>
        <v>201580B0100</v>
      </c>
      <c r="B2354" t="s">
        <v>4896</v>
      </c>
      <c r="C2354">
        <v>20</v>
      </c>
      <c r="D2354" t="s">
        <v>88</v>
      </c>
      <c r="E2354">
        <v>332</v>
      </c>
      <c r="F2354" t="s">
        <v>4802</v>
      </c>
      <c r="G2354">
        <v>1580</v>
      </c>
      <c r="H2354">
        <v>1</v>
      </c>
      <c r="I2354" t="s">
        <v>90</v>
      </c>
      <c r="J2354">
        <v>0</v>
      </c>
      <c r="K2354">
        <v>2</v>
      </c>
      <c r="L2354">
        <v>5</v>
      </c>
      <c r="M2354">
        <v>253</v>
      </c>
      <c r="N2354">
        <v>210</v>
      </c>
      <c r="O2354">
        <v>0</v>
      </c>
      <c r="P2354">
        <v>210</v>
      </c>
      <c r="Q2354">
        <v>0</v>
      </c>
      <c r="R2354">
        <v>60</v>
      </c>
      <c r="S2354">
        <v>7</v>
      </c>
      <c r="T2354">
        <v>5</v>
      </c>
      <c r="U2354">
        <v>4</v>
      </c>
      <c r="V2354">
        <v>0</v>
      </c>
      <c r="W2354">
        <v>42</v>
      </c>
      <c r="X2354">
        <v>20</v>
      </c>
      <c r="Y2354">
        <v>40</v>
      </c>
      <c r="Z2354">
        <v>1</v>
      </c>
      <c r="AC2354">
        <v>0</v>
      </c>
      <c r="AD2354">
        <v>0</v>
      </c>
      <c r="AE2354">
        <v>0</v>
      </c>
      <c r="AF2354">
        <v>0</v>
      </c>
      <c r="AG2354">
        <v>1</v>
      </c>
      <c r="AH2354">
        <v>1</v>
      </c>
      <c r="AI2354">
        <v>3</v>
      </c>
      <c r="AJ2354">
        <v>0</v>
      </c>
      <c r="AK2354">
        <v>1</v>
      </c>
      <c r="AL2354">
        <v>1</v>
      </c>
      <c r="AM2354">
        <v>0</v>
      </c>
      <c r="AN2354">
        <v>1</v>
      </c>
      <c r="BC2354">
        <v>0</v>
      </c>
      <c r="BD2354">
        <v>21</v>
      </c>
      <c r="BE2354">
        <v>209</v>
      </c>
      <c r="BF2354">
        <v>208</v>
      </c>
      <c r="BG2354">
        <v>441</v>
      </c>
      <c r="BJ2354">
        <v>1</v>
      </c>
      <c r="BL2354" t="s">
        <v>4897</v>
      </c>
      <c r="BM2354" s="4">
        <v>43283.354861111111</v>
      </c>
      <c r="BN2354" s="4">
        <v>43283.387662037036</v>
      </c>
      <c r="BO2354" s="4">
        <v>43283.387662037036</v>
      </c>
      <c r="BP2354" t="s">
        <v>92</v>
      </c>
      <c r="BQ2354" t="s">
        <v>93</v>
      </c>
      <c r="BR2354" t="s">
        <v>94</v>
      </c>
    </row>
    <row r="2355" spans="1:70" x14ac:dyDescent="0.3">
      <c r="A2355" t="str">
        <f>"201580C0100"</f>
        <v>201580C0100</v>
      </c>
      <c r="B2355" t="s">
        <v>4898</v>
      </c>
      <c r="C2355">
        <v>20</v>
      </c>
      <c r="D2355" t="s">
        <v>88</v>
      </c>
      <c r="E2355">
        <v>332</v>
      </c>
      <c r="F2355" t="s">
        <v>4802</v>
      </c>
      <c r="G2355">
        <v>1580</v>
      </c>
      <c r="H2355">
        <v>1</v>
      </c>
      <c r="I2355" t="s">
        <v>98</v>
      </c>
      <c r="J2355">
        <v>0</v>
      </c>
      <c r="K2355">
        <v>2</v>
      </c>
      <c r="L2355">
        <v>5</v>
      </c>
      <c r="M2355">
        <v>247</v>
      </c>
      <c r="N2355">
        <v>216</v>
      </c>
      <c r="O2355">
        <v>0</v>
      </c>
      <c r="P2355">
        <v>216</v>
      </c>
      <c r="Q2355">
        <v>2</v>
      </c>
      <c r="R2355">
        <v>5</v>
      </c>
      <c r="S2355">
        <v>7</v>
      </c>
      <c r="T2355">
        <v>1</v>
      </c>
      <c r="U2355">
        <v>5</v>
      </c>
      <c r="V2355">
        <v>1</v>
      </c>
      <c r="W2355">
        <v>49</v>
      </c>
      <c r="X2355">
        <v>21</v>
      </c>
      <c r="Y2355">
        <v>32</v>
      </c>
      <c r="Z2355">
        <v>5</v>
      </c>
      <c r="AC2355">
        <v>0</v>
      </c>
      <c r="AD2355">
        <v>1</v>
      </c>
      <c r="AE2355">
        <v>0</v>
      </c>
      <c r="AF2355">
        <v>0</v>
      </c>
      <c r="AG2355">
        <v>4</v>
      </c>
      <c r="AH2355">
        <v>0</v>
      </c>
      <c r="AI2355">
        <v>2</v>
      </c>
      <c r="AJ2355">
        <v>1</v>
      </c>
      <c r="AK2355">
        <v>4</v>
      </c>
      <c r="AL2355">
        <v>1</v>
      </c>
      <c r="AM2355">
        <v>0</v>
      </c>
      <c r="AN2355">
        <v>0</v>
      </c>
      <c r="BC2355" t="s">
        <v>105</v>
      </c>
      <c r="BD2355">
        <v>16</v>
      </c>
      <c r="BE2355">
        <v>216</v>
      </c>
      <c r="BF2355">
        <v>157</v>
      </c>
      <c r="BG2355">
        <v>441</v>
      </c>
      <c r="BI2355" t="s">
        <v>106</v>
      </c>
      <c r="BJ2355">
        <v>1</v>
      </c>
      <c r="BL2355" t="s">
        <v>4899</v>
      </c>
      <c r="BM2355" s="4">
        <v>43283.357638888891</v>
      </c>
      <c r="BN2355" s="4">
        <v>43283.389490740738</v>
      </c>
      <c r="BO2355" s="4">
        <v>43283.389490740738</v>
      </c>
      <c r="BP2355" t="s">
        <v>92</v>
      </c>
      <c r="BQ2355" t="s">
        <v>93</v>
      </c>
      <c r="BR2355" t="s">
        <v>94</v>
      </c>
    </row>
    <row r="2356" spans="1:70" x14ac:dyDescent="0.3">
      <c r="A2356" t="str">
        <f>"201580E0100"</f>
        <v>201580E0100</v>
      </c>
      <c r="B2356" s="2" t="s">
        <v>4900</v>
      </c>
      <c r="C2356">
        <v>20</v>
      </c>
      <c r="D2356" t="s">
        <v>88</v>
      </c>
      <c r="E2356">
        <v>332</v>
      </c>
      <c r="F2356" t="s">
        <v>4802</v>
      </c>
      <c r="G2356">
        <v>1580</v>
      </c>
      <c r="H2356">
        <v>1</v>
      </c>
      <c r="I2356" t="s">
        <v>156</v>
      </c>
      <c r="J2356">
        <v>0</v>
      </c>
      <c r="K2356">
        <v>2</v>
      </c>
      <c r="L2356">
        <v>5</v>
      </c>
      <c r="M2356">
        <v>166</v>
      </c>
      <c r="N2356">
        <v>321</v>
      </c>
      <c r="O2356">
        <v>0</v>
      </c>
      <c r="P2356">
        <v>321</v>
      </c>
      <c r="Q2356">
        <v>3</v>
      </c>
      <c r="R2356">
        <v>56</v>
      </c>
      <c r="S2356">
        <v>3</v>
      </c>
      <c r="T2356">
        <v>3</v>
      </c>
      <c r="U2356">
        <v>13</v>
      </c>
      <c r="V2356">
        <v>1</v>
      </c>
      <c r="W2356">
        <v>97</v>
      </c>
      <c r="X2356">
        <v>24</v>
      </c>
      <c r="Y2356">
        <v>88</v>
      </c>
      <c r="Z2356" t="s">
        <v>105</v>
      </c>
      <c r="AC2356">
        <v>1</v>
      </c>
      <c r="AD2356" t="s">
        <v>105</v>
      </c>
      <c r="AE2356" t="s">
        <v>105</v>
      </c>
      <c r="AF2356" t="s">
        <v>105</v>
      </c>
      <c r="AG2356">
        <v>1</v>
      </c>
      <c r="AH2356">
        <v>4</v>
      </c>
      <c r="AI2356">
        <v>1</v>
      </c>
      <c r="AJ2356" t="s">
        <v>127</v>
      </c>
      <c r="AK2356">
        <v>2</v>
      </c>
      <c r="AL2356" t="s">
        <v>105</v>
      </c>
      <c r="AM2356" t="s">
        <v>105</v>
      </c>
      <c r="AN2356">
        <v>4</v>
      </c>
      <c r="BC2356" t="s">
        <v>105</v>
      </c>
      <c r="BD2356" t="s">
        <v>105</v>
      </c>
      <c r="BE2356" t="s">
        <v>105</v>
      </c>
      <c r="BF2356">
        <v>301</v>
      </c>
      <c r="BG2356">
        <v>465</v>
      </c>
      <c r="BI2356" t="s">
        <v>106</v>
      </c>
      <c r="BJ2356">
        <v>1</v>
      </c>
      <c r="BL2356" t="s">
        <v>4901</v>
      </c>
      <c r="BM2356" s="4">
        <v>43283.179166666669</v>
      </c>
      <c r="BN2356" s="4">
        <v>43283.198692129627</v>
      </c>
      <c r="BO2356" s="4">
        <v>43283.198692129627</v>
      </c>
      <c r="BP2356" t="s">
        <v>92</v>
      </c>
      <c r="BQ2356" t="s">
        <v>93</v>
      </c>
      <c r="BR2356" t="s">
        <v>254</v>
      </c>
    </row>
    <row r="2357" spans="1:70" x14ac:dyDescent="0.3">
      <c r="A2357" t="str">
        <f>"201581B0100"</f>
        <v>201581B0100</v>
      </c>
      <c r="B2357" t="s">
        <v>4902</v>
      </c>
      <c r="C2357">
        <v>20</v>
      </c>
      <c r="D2357" t="s">
        <v>88</v>
      </c>
      <c r="E2357">
        <v>332</v>
      </c>
      <c r="F2357" t="s">
        <v>4802</v>
      </c>
      <c r="G2357">
        <v>1581</v>
      </c>
      <c r="H2357">
        <v>1</v>
      </c>
      <c r="I2357" t="s">
        <v>90</v>
      </c>
      <c r="J2357">
        <v>0</v>
      </c>
      <c r="K2357">
        <v>2</v>
      </c>
      <c r="L2357">
        <v>5</v>
      </c>
      <c r="M2357">
        <v>297</v>
      </c>
      <c r="N2357">
        <v>431</v>
      </c>
      <c r="O2357">
        <v>0</v>
      </c>
      <c r="P2357">
        <v>431</v>
      </c>
      <c r="Q2357">
        <v>5</v>
      </c>
      <c r="R2357">
        <v>59</v>
      </c>
      <c r="S2357">
        <v>11</v>
      </c>
      <c r="T2357">
        <v>10</v>
      </c>
      <c r="U2357">
        <v>15</v>
      </c>
      <c r="V2357">
        <v>3</v>
      </c>
      <c r="W2357">
        <v>103</v>
      </c>
      <c r="X2357">
        <v>39</v>
      </c>
      <c r="Y2357">
        <v>143</v>
      </c>
      <c r="Z2357">
        <v>4</v>
      </c>
      <c r="AC2357">
        <v>0</v>
      </c>
      <c r="AD2357">
        <v>0</v>
      </c>
      <c r="AE2357">
        <v>0</v>
      </c>
      <c r="AF2357">
        <v>0</v>
      </c>
      <c r="AG2357">
        <v>5</v>
      </c>
      <c r="AH2357">
        <v>0</v>
      </c>
      <c r="AI2357">
        <v>3</v>
      </c>
      <c r="AJ2357">
        <v>1</v>
      </c>
      <c r="AK2357">
        <v>4</v>
      </c>
      <c r="AL2357">
        <v>1</v>
      </c>
      <c r="AM2357">
        <v>0</v>
      </c>
      <c r="AN2357">
        <v>3</v>
      </c>
      <c r="BC2357">
        <v>0</v>
      </c>
      <c r="BD2357">
        <v>22</v>
      </c>
      <c r="BE2357">
        <v>431</v>
      </c>
      <c r="BF2357">
        <v>431</v>
      </c>
      <c r="BG2357">
        <v>707</v>
      </c>
      <c r="BJ2357">
        <v>1</v>
      </c>
      <c r="BL2357" t="s">
        <v>4903</v>
      </c>
      <c r="BM2357" s="4">
        <v>43283.273611111108</v>
      </c>
      <c r="BN2357" s="4">
        <v>43283.308240740742</v>
      </c>
      <c r="BO2357" s="4">
        <v>43283.308240740742</v>
      </c>
      <c r="BP2357" t="s">
        <v>92</v>
      </c>
      <c r="BQ2357" t="s">
        <v>93</v>
      </c>
      <c r="BR2357" t="s">
        <v>94</v>
      </c>
    </row>
    <row r="2358" spans="1:70" x14ac:dyDescent="0.3">
      <c r="A2358" t="str">
        <f>"201581C0100"</f>
        <v>201581C0100</v>
      </c>
      <c r="B2358" t="s">
        <v>4904</v>
      </c>
      <c r="C2358">
        <v>20</v>
      </c>
      <c r="D2358" t="s">
        <v>88</v>
      </c>
      <c r="E2358">
        <v>332</v>
      </c>
      <c r="F2358" t="s">
        <v>4802</v>
      </c>
      <c r="G2358">
        <v>1581</v>
      </c>
      <c r="H2358">
        <v>1</v>
      </c>
      <c r="I2358" t="s">
        <v>98</v>
      </c>
      <c r="J2358">
        <v>0</v>
      </c>
      <c r="K2358">
        <v>2</v>
      </c>
      <c r="L2358">
        <v>5</v>
      </c>
      <c r="M2358">
        <v>327</v>
      </c>
      <c r="N2358">
        <v>402</v>
      </c>
      <c r="O2358">
        <v>0</v>
      </c>
      <c r="P2358">
        <v>402</v>
      </c>
      <c r="Q2358">
        <v>3</v>
      </c>
      <c r="R2358">
        <v>77</v>
      </c>
      <c r="S2358">
        <v>17</v>
      </c>
      <c r="T2358">
        <v>5</v>
      </c>
      <c r="U2358">
        <v>10</v>
      </c>
      <c r="V2358">
        <v>3</v>
      </c>
      <c r="W2358">
        <v>79</v>
      </c>
      <c r="X2358">
        <v>33</v>
      </c>
      <c r="Y2358">
        <v>123</v>
      </c>
      <c r="Z2358">
        <v>5</v>
      </c>
      <c r="AC2358">
        <v>0</v>
      </c>
      <c r="AD2358">
        <v>0</v>
      </c>
      <c r="AE2358">
        <v>0</v>
      </c>
      <c r="AF2358">
        <v>0</v>
      </c>
      <c r="AG2358">
        <v>4</v>
      </c>
      <c r="AH2358">
        <v>7</v>
      </c>
      <c r="AI2358">
        <v>1</v>
      </c>
      <c r="AJ2358">
        <v>0</v>
      </c>
      <c r="AK2358">
        <v>4</v>
      </c>
      <c r="AL2358">
        <v>1</v>
      </c>
      <c r="AM2358">
        <v>0</v>
      </c>
      <c r="AN2358">
        <v>0</v>
      </c>
      <c r="BC2358">
        <v>0</v>
      </c>
      <c r="BD2358">
        <v>30</v>
      </c>
      <c r="BE2358">
        <v>402</v>
      </c>
      <c r="BF2358">
        <v>402</v>
      </c>
      <c r="BG2358">
        <v>707</v>
      </c>
      <c r="BJ2358">
        <v>1</v>
      </c>
      <c r="BL2358" t="s">
        <v>4905</v>
      </c>
      <c r="BM2358" s="4">
        <v>43283.28125</v>
      </c>
      <c r="BN2358" s="4">
        <v>43283.311874999999</v>
      </c>
      <c r="BO2358" s="4">
        <v>43283.311874999999</v>
      </c>
      <c r="BP2358" t="s">
        <v>92</v>
      </c>
      <c r="BQ2358" t="s">
        <v>93</v>
      </c>
      <c r="BR2358" t="s">
        <v>94</v>
      </c>
    </row>
    <row r="2359" spans="1:70" x14ac:dyDescent="0.3">
      <c r="A2359" t="str">
        <f>"201582B0100"</f>
        <v>201582B0100</v>
      </c>
      <c r="B2359" t="s">
        <v>4906</v>
      </c>
      <c r="C2359">
        <v>20</v>
      </c>
      <c r="D2359" t="s">
        <v>88</v>
      </c>
      <c r="E2359">
        <v>332</v>
      </c>
      <c r="F2359" t="s">
        <v>4802</v>
      </c>
      <c r="G2359">
        <v>1582</v>
      </c>
      <c r="H2359">
        <v>1</v>
      </c>
      <c r="I2359" t="s">
        <v>90</v>
      </c>
      <c r="J2359">
        <v>0</v>
      </c>
      <c r="K2359">
        <v>2</v>
      </c>
      <c r="L2359">
        <v>5</v>
      </c>
      <c r="M2359">
        <v>220</v>
      </c>
      <c r="N2359">
        <v>220</v>
      </c>
      <c r="O2359">
        <v>0</v>
      </c>
      <c r="P2359">
        <v>0</v>
      </c>
      <c r="Q2359">
        <v>3</v>
      </c>
      <c r="R2359">
        <v>30</v>
      </c>
      <c r="S2359">
        <v>17</v>
      </c>
      <c r="T2359">
        <v>0</v>
      </c>
      <c r="U2359">
        <v>9</v>
      </c>
      <c r="V2359">
        <v>3</v>
      </c>
      <c r="W2359">
        <v>33</v>
      </c>
      <c r="X2359">
        <v>26</v>
      </c>
      <c r="Y2359">
        <v>64</v>
      </c>
      <c r="Z2359">
        <v>4</v>
      </c>
      <c r="AC2359">
        <v>0</v>
      </c>
      <c r="AD2359">
        <v>0</v>
      </c>
      <c r="AE2359">
        <v>0</v>
      </c>
      <c r="AF2359">
        <v>0</v>
      </c>
      <c r="AG2359">
        <v>0</v>
      </c>
      <c r="AH2359">
        <v>3</v>
      </c>
      <c r="AI2359">
        <v>3</v>
      </c>
      <c r="AJ2359">
        <v>1</v>
      </c>
      <c r="AK2359">
        <v>2</v>
      </c>
      <c r="AL2359">
        <v>1</v>
      </c>
      <c r="AM2359">
        <v>1</v>
      </c>
      <c r="AN2359">
        <v>3</v>
      </c>
      <c r="BC2359">
        <v>0</v>
      </c>
      <c r="BD2359">
        <v>17</v>
      </c>
      <c r="BE2359">
        <v>220</v>
      </c>
      <c r="BF2359">
        <v>220</v>
      </c>
      <c r="BG2359">
        <v>420</v>
      </c>
      <c r="BJ2359">
        <v>1</v>
      </c>
      <c r="BL2359" t="s">
        <v>4907</v>
      </c>
      <c r="BM2359" s="4">
        <v>43283.29791666667</v>
      </c>
      <c r="BN2359" s="4">
        <v>43283.345023148147</v>
      </c>
      <c r="BO2359" s="4">
        <v>43283.345023148147</v>
      </c>
      <c r="BP2359" t="s">
        <v>92</v>
      </c>
      <c r="BQ2359" t="s">
        <v>93</v>
      </c>
      <c r="BR2359" t="s">
        <v>94</v>
      </c>
    </row>
    <row r="2360" spans="1:70" x14ac:dyDescent="0.3">
      <c r="A2360" t="str">
        <f>"201582C0100"</f>
        <v>201582C0100</v>
      </c>
      <c r="B2360" t="s">
        <v>4908</v>
      </c>
      <c r="C2360">
        <v>20</v>
      </c>
      <c r="D2360" t="s">
        <v>88</v>
      </c>
      <c r="E2360">
        <v>332</v>
      </c>
      <c r="F2360" t="s">
        <v>4802</v>
      </c>
      <c r="G2360">
        <v>1582</v>
      </c>
      <c r="H2360">
        <v>1</v>
      </c>
      <c r="I2360" t="s">
        <v>98</v>
      </c>
      <c r="J2360">
        <v>0</v>
      </c>
      <c r="K2360">
        <v>2</v>
      </c>
      <c r="L2360">
        <v>5</v>
      </c>
      <c r="M2360">
        <v>202</v>
      </c>
      <c r="N2360">
        <v>239</v>
      </c>
      <c r="O2360">
        <v>1</v>
      </c>
      <c r="P2360">
        <v>239</v>
      </c>
      <c r="Q2360" t="s">
        <v>127</v>
      </c>
      <c r="R2360">
        <v>31</v>
      </c>
      <c r="S2360">
        <v>8</v>
      </c>
      <c r="T2360">
        <v>3</v>
      </c>
      <c r="U2360">
        <v>5</v>
      </c>
      <c r="V2360">
        <v>3</v>
      </c>
      <c r="W2360">
        <v>43</v>
      </c>
      <c r="X2360">
        <v>32</v>
      </c>
      <c r="Y2360">
        <v>79</v>
      </c>
      <c r="Z2360">
        <v>6</v>
      </c>
      <c r="AC2360">
        <v>0</v>
      </c>
      <c r="AD2360">
        <v>0</v>
      </c>
      <c r="AE2360">
        <v>0</v>
      </c>
      <c r="AF2360">
        <v>0</v>
      </c>
      <c r="AG2360">
        <v>4</v>
      </c>
      <c r="AH2360">
        <v>0</v>
      </c>
      <c r="AI2360">
        <v>3</v>
      </c>
      <c r="AJ2360">
        <v>0</v>
      </c>
      <c r="AK2360">
        <v>2</v>
      </c>
      <c r="AL2360">
        <v>1</v>
      </c>
      <c r="AM2360">
        <v>0</v>
      </c>
      <c r="AN2360">
        <v>0</v>
      </c>
      <c r="BC2360">
        <v>0</v>
      </c>
      <c r="BD2360">
        <v>17</v>
      </c>
      <c r="BE2360">
        <v>239</v>
      </c>
      <c r="BF2360">
        <v>237</v>
      </c>
      <c r="BG2360">
        <v>419</v>
      </c>
      <c r="BI2360" t="s">
        <v>106</v>
      </c>
      <c r="BJ2360">
        <v>1</v>
      </c>
      <c r="BL2360" t="s">
        <v>4909</v>
      </c>
      <c r="BM2360" s="4">
        <v>43283.286805555559</v>
      </c>
      <c r="BN2360" s="4">
        <v>43283.334490740737</v>
      </c>
      <c r="BO2360" s="4">
        <v>43283.334490740737</v>
      </c>
      <c r="BP2360" t="s">
        <v>92</v>
      </c>
      <c r="BQ2360" t="s">
        <v>93</v>
      </c>
      <c r="BR2360" t="s">
        <v>94</v>
      </c>
    </row>
    <row r="2361" spans="1:70" x14ac:dyDescent="0.3">
      <c r="A2361" t="str">
        <f>"201583B0100"</f>
        <v>201583B0100</v>
      </c>
      <c r="B2361" t="s">
        <v>4910</v>
      </c>
      <c r="C2361">
        <v>20</v>
      </c>
      <c r="D2361" t="s">
        <v>88</v>
      </c>
      <c r="E2361">
        <v>332</v>
      </c>
      <c r="F2361" t="s">
        <v>4802</v>
      </c>
      <c r="G2361">
        <v>1583</v>
      </c>
      <c r="H2361">
        <v>1</v>
      </c>
      <c r="I2361" t="s">
        <v>90</v>
      </c>
      <c r="J2361">
        <v>0</v>
      </c>
      <c r="K2361">
        <v>2</v>
      </c>
      <c r="L2361">
        <v>5</v>
      </c>
      <c r="M2361">
        <v>202</v>
      </c>
      <c r="N2361">
        <v>347</v>
      </c>
      <c r="O2361">
        <v>0</v>
      </c>
      <c r="P2361" t="s">
        <v>105</v>
      </c>
      <c r="Q2361">
        <v>2</v>
      </c>
      <c r="R2361">
        <v>49</v>
      </c>
      <c r="S2361">
        <v>7</v>
      </c>
      <c r="T2361">
        <v>4</v>
      </c>
      <c r="U2361">
        <v>6</v>
      </c>
      <c r="V2361">
        <v>4</v>
      </c>
      <c r="W2361">
        <v>93</v>
      </c>
      <c r="X2361">
        <v>59</v>
      </c>
      <c r="Y2361">
        <v>81</v>
      </c>
      <c r="Z2361">
        <v>4</v>
      </c>
      <c r="AC2361">
        <v>1</v>
      </c>
      <c r="AD2361">
        <v>0</v>
      </c>
      <c r="AE2361">
        <v>0</v>
      </c>
      <c r="AF2361">
        <v>0</v>
      </c>
      <c r="AG2361">
        <v>2</v>
      </c>
      <c r="AH2361">
        <v>0</v>
      </c>
      <c r="AI2361">
        <v>2</v>
      </c>
      <c r="AJ2361">
        <v>0</v>
      </c>
      <c r="AK2361">
        <v>2</v>
      </c>
      <c r="AL2361">
        <v>0</v>
      </c>
      <c r="AM2361">
        <v>0</v>
      </c>
      <c r="AN2361">
        <v>1</v>
      </c>
      <c r="BC2361">
        <v>1</v>
      </c>
      <c r="BD2361">
        <v>28</v>
      </c>
      <c r="BE2361">
        <v>346</v>
      </c>
      <c r="BF2361">
        <v>346</v>
      </c>
      <c r="BG2361">
        <v>528</v>
      </c>
      <c r="BJ2361">
        <v>1</v>
      </c>
      <c r="BL2361" t="s">
        <v>4911</v>
      </c>
      <c r="BM2361" s="4">
        <v>43283.291666666664</v>
      </c>
      <c r="BN2361" s="4">
        <v>43283.318124999998</v>
      </c>
      <c r="BO2361" s="4">
        <v>43283.318124999998</v>
      </c>
      <c r="BP2361" t="s">
        <v>92</v>
      </c>
      <c r="BQ2361" t="s">
        <v>93</v>
      </c>
      <c r="BR2361" t="s">
        <v>94</v>
      </c>
    </row>
    <row r="2362" spans="1:70" x14ac:dyDescent="0.3">
      <c r="A2362" t="str">
        <f>"201583C0100"</f>
        <v>201583C0100</v>
      </c>
      <c r="B2362" t="s">
        <v>4912</v>
      </c>
      <c r="C2362">
        <v>20</v>
      </c>
      <c r="D2362" t="s">
        <v>88</v>
      </c>
      <c r="E2362">
        <v>332</v>
      </c>
      <c r="F2362" t="s">
        <v>4802</v>
      </c>
      <c r="G2362">
        <v>1583</v>
      </c>
      <c r="H2362">
        <v>1</v>
      </c>
      <c r="I2362" t="s">
        <v>98</v>
      </c>
      <c r="J2362">
        <v>0</v>
      </c>
      <c r="K2362">
        <v>2</v>
      </c>
      <c r="L2362">
        <v>5</v>
      </c>
      <c r="M2362">
        <v>218</v>
      </c>
      <c r="N2362">
        <v>331</v>
      </c>
      <c r="O2362">
        <v>0</v>
      </c>
      <c r="P2362">
        <v>331</v>
      </c>
      <c r="Q2362">
        <v>0</v>
      </c>
      <c r="R2362">
        <v>41</v>
      </c>
      <c r="S2362">
        <v>5</v>
      </c>
      <c r="T2362">
        <v>2</v>
      </c>
      <c r="U2362">
        <v>10</v>
      </c>
      <c r="V2362">
        <v>2</v>
      </c>
      <c r="W2362">
        <v>93</v>
      </c>
      <c r="X2362">
        <v>48</v>
      </c>
      <c r="Y2362">
        <v>93</v>
      </c>
      <c r="Z2362">
        <v>4</v>
      </c>
      <c r="AC2362">
        <v>0</v>
      </c>
      <c r="AD2362">
        <v>0</v>
      </c>
      <c r="AE2362">
        <v>0</v>
      </c>
      <c r="AF2362">
        <v>0</v>
      </c>
      <c r="AG2362">
        <v>1</v>
      </c>
      <c r="AH2362">
        <v>2</v>
      </c>
      <c r="AI2362">
        <v>3</v>
      </c>
      <c r="AJ2362">
        <v>0</v>
      </c>
      <c r="AK2362">
        <v>4</v>
      </c>
      <c r="AL2362">
        <v>1</v>
      </c>
      <c r="AM2362">
        <v>0</v>
      </c>
      <c r="AN2362">
        <v>0</v>
      </c>
      <c r="BC2362">
        <v>1</v>
      </c>
      <c r="BD2362">
        <v>21</v>
      </c>
      <c r="BE2362">
        <v>331</v>
      </c>
      <c r="BF2362">
        <v>331</v>
      </c>
      <c r="BG2362">
        <v>527</v>
      </c>
      <c r="BJ2362">
        <v>1</v>
      </c>
      <c r="BL2362" t="s">
        <v>4913</v>
      </c>
      <c r="BM2362" s="4">
        <v>43283.289583333331</v>
      </c>
      <c r="BN2362" s="4">
        <v>43283.318449074075</v>
      </c>
      <c r="BO2362" s="4">
        <v>43283.318449074075</v>
      </c>
      <c r="BP2362" t="s">
        <v>92</v>
      </c>
      <c r="BQ2362" t="s">
        <v>93</v>
      </c>
      <c r="BR2362" t="s">
        <v>94</v>
      </c>
    </row>
    <row r="2363" spans="1:70" x14ac:dyDescent="0.3">
      <c r="A2363" t="str">
        <f>"201583E0100"</f>
        <v>201583E0100</v>
      </c>
      <c r="B2363" s="2" t="s">
        <v>4914</v>
      </c>
      <c r="C2363">
        <v>20</v>
      </c>
      <c r="D2363" t="s">
        <v>88</v>
      </c>
      <c r="E2363">
        <v>332</v>
      </c>
      <c r="F2363" t="s">
        <v>4802</v>
      </c>
      <c r="G2363">
        <v>1583</v>
      </c>
      <c r="H2363">
        <v>1</v>
      </c>
      <c r="I2363" t="s">
        <v>156</v>
      </c>
      <c r="J2363">
        <v>0</v>
      </c>
      <c r="K2363">
        <v>2</v>
      </c>
      <c r="L2363">
        <v>5</v>
      </c>
      <c r="M2363">
        <v>115</v>
      </c>
      <c r="N2363">
        <v>244</v>
      </c>
      <c r="O2363">
        <v>1</v>
      </c>
      <c r="P2363">
        <v>244</v>
      </c>
      <c r="Q2363" t="s">
        <v>105</v>
      </c>
      <c r="R2363">
        <v>22</v>
      </c>
      <c r="S2363">
        <v>10</v>
      </c>
      <c r="T2363" t="s">
        <v>105</v>
      </c>
      <c r="U2363">
        <v>6</v>
      </c>
      <c r="V2363">
        <v>3</v>
      </c>
      <c r="W2363">
        <v>74</v>
      </c>
      <c r="X2363">
        <v>26</v>
      </c>
      <c r="Y2363">
        <v>72</v>
      </c>
      <c r="Z2363">
        <v>4</v>
      </c>
      <c r="AC2363">
        <v>2</v>
      </c>
      <c r="AD2363" t="s">
        <v>105</v>
      </c>
      <c r="AE2363" t="s">
        <v>105</v>
      </c>
      <c r="AF2363" t="s">
        <v>105</v>
      </c>
      <c r="AG2363">
        <v>5</v>
      </c>
      <c r="AH2363" t="s">
        <v>105</v>
      </c>
      <c r="AI2363">
        <v>1</v>
      </c>
      <c r="AJ2363" t="s">
        <v>105</v>
      </c>
      <c r="AK2363">
        <v>1</v>
      </c>
      <c r="AL2363" t="s">
        <v>105</v>
      </c>
      <c r="AM2363" t="s">
        <v>105</v>
      </c>
      <c r="AN2363">
        <v>1</v>
      </c>
      <c r="BC2363" t="s">
        <v>105</v>
      </c>
      <c r="BD2363">
        <v>17</v>
      </c>
      <c r="BE2363">
        <v>244</v>
      </c>
      <c r="BF2363">
        <v>244</v>
      </c>
      <c r="BG2363">
        <v>337</v>
      </c>
      <c r="BI2363" t="s">
        <v>106</v>
      </c>
      <c r="BJ2363">
        <v>1</v>
      </c>
      <c r="BL2363" t="s">
        <v>4915</v>
      </c>
      <c r="BM2363" s="4">
        <v>43283.298611111109</v>
      </c>
      <c r="BN2363" s="4">
        <v>43283.325624999998</v>
      </c>
      <c r="BO2363" s="4">
        <v>43283.325624999998</v>
      </c>
      <c r="BP2363" t="s">
        <v>92</v>
      </c>
      <c r="BQ2363" t="s">
        <v>93</v>
      </c>
      <c r="BR2363" t="s">
        <v>94</v>
      </c>
    </row>
    <row r="2364" spans="1:70" x14ac:dyDescent="0.3">
      <c r="A2364" t="str">
        <f>"201584B0100"</f>
        <v>201584B0100</v>
      </c>
      <c r="B2364" t="s">
        <v>4916</v>
      </c>
      <c r="C2364">
        <v>20</v>
      </c>
      <c r="D2364" t="s">
        <v>88</v>
      </c>
      <c r="E2364">
        <v>332</v>
      </c>
      <c r="F2364" t="s">
        <v>4802</v>
      </c>
      <c r="G2364">
        <v>1584</v>
      </c>
      <c r="H2364">
        <v>1</v>
      </c>
      <c r="I2364" t="s">
        <v>90</v>
      </c>
      <c r="J2364">
        <v>0</v>
      </c>
      <c r="K2364">
        <v>2</v>
      </c>
      <c r="L2364">
        <v>5</v>
      </c>
      <c r="M2364">
        <v>214</v>
      </c>
      <c r="N2364">
        <v>392</v>
      </c>
      <c r="O2364">
        <v>0</v>
      </c>
      <c r="P2364">
        <v>388</v>
      </c>
      <c r="Q2364">
        <v>5</v>
      </c>
      <c r="R2364">
        <v>54</v>
      </c>
      <c r="S2364">
        <v>4</v>
      </c>
      <c r="T2364">
        <v>4</v>
      </c>
      <c r="U2364">
        <v>15</v>
      </c>
      <c r="V2364">
        <v>2</v>
      </c>
      <c r="W2364">
        <v>81</v>
      </c>
      <c r="X2364">
        <v>59</v>
      </c>
      <c r="Y2364">
        <v>154</v>
      </c>
      <c r="Z2364">
        <v>8</v>
      </c>
      <c r="AC2364">
        <v>0</v>
      </c>
      <c r="AD2364">
        <v>0</v>
      </c>
      <c r="AE2364">
        <v>0</v>
      </c>
      <c r="AF2364">
        <v>0</v>
      </c>
      <c r="AG2364">
        <v>2</v>
      </c>
      <c r="AH2364">
        <v>0</v>
      </c>
      <c r="AI2364">
        <v>1</v>
      </c>
      <c r="AJ2364">
        <v>0</v>
      </c>
      <c r="AK2364">
        <v>3</v>
      </c>
      <c r="AL2364">
        <v>0</v>
      </c>
      <c r="AM2364">
        <v>1</v>
      </c>
      <c r="AN2364">
        <v>3</v>
      </c>
      <c r="BC2364">
        <v>0</v>
      </c>
      <c r="BD2364">
        <v>16</v>
      </c>
      <c r="BE2364">
        <v>392</v>
      </c>
      <c r="BF2364">
        <v>412</v>
      </c>
      <c r="BG2364">
        <v>586</v>
      </c>
      <c r="BJ2364">
        <v>1</v>
      </c>
      <c r="BL2364" t="s">
        <v>4917</v>
      </c>
      <c r="BM2364" s="4">
        <v>43283.275694444441</v>
      </c>
      <c r="BN2364" s="4">
        <v>43283.303124999999</v>
      </c>
      <c r="BO2364" s="4">
        <v>43283.303124999999</v>
      </c>
      <c r="BP2364" t="s">
        <v>92</v>
      </c>
      <c r="BQ2364" t="s">
        <v>93</v>
      </c>
      <c r="BR2364" t="s">
        <v>94</v>
      </c>
    </row>
    <row r="2365" spans="1:70" x14ac:dyDescent="0.3">
      <c r="A2365" t="str">
        <f>"201584C0100"</f>
        <v>201584C0100</v>
      </c>
      <c r="B2365" t="s">
        <v>4918</v>
      </c>
      <c r="C2365">
        <v>20</v>
      </c>
      <c r="D2365" t="s">
        <v>88</v>
      </c>
      <c r="E2365">
        <v>332</v>
      </c>
      <c r="F2365" t="s">
        <v>4802</v>
      </c>
      <c r="G2365">
        <v>1584</v>
      </c>
      <c r="H2365">
        <v>1</v>
      </c>
      <c r="I2365" t="s">
        <v>98</v>
      </c>
      <c r="J2365">
        <v>0</v>
      </c>
      <c r="K2365">
        <v>2</v>
      </c>
      <c r="L2365">
        <v>5</v>
      </c>
      <c r="BG2365">
        <v>586</v>
      </c>
      <c r="BI2365" t="s">
        <v>407</v>
      </c>
      <c r="BJ2365">
        <v>0</v>
      </c>
      <c r="BL2365" t="s">
        <v>4919</v>
      </c>
      <c r="BM2365" s="4">
        <v>43283.277083333334</v>
      </c>
      <c r="BN2365" s="4">
        <v>43283.319212962961</v>
      </c>
      <c r="BO2365" s="4">
        <v>43283.319212962961</v>
      </c>
      <c r="BP2365" t="s">
        <v>92</v>
      </c>
      <c r="BQ2365" t="s">
        <v>93</v>
      </c>
      <c r="BR2365" t="s">
        <v>94</v>
      </c>
    </row>
    <row r="2366" spans="1:70" x14ac:dyDescent="0.3">
      <c r="A2366" t="str">
        <f>"201589B0100"</f>
        <v>201589B0100</v>
      </c>
      <c r="B2366" t="s">
        <v>4920</v>
      </c>
      <c r="C2366">
        <v>20</v>
      </c>
      <c r="D2366" t="s">
        <v>88</v>
      </c>
      <c r="E2366">
        <v>334</v>
      </c>
      <c r="F2366" t="s">
        <v>4921</v>
      </c>
      <c r="G2366">
        <v>1589</v>
      </c>
      <c r="H2366">
        <v>1</v>
      </c>
      <c r="I2366" t="s">
        <v>90</v>
      </c>
      <c r="J2366">
        <v>0</v>
      </c>
      <c r="K2366">
        <v>2</v>
      </c>
      <c r="L2366">
        <v>5</v>
      </c>
      <c r="M2366">
        <v>113</v>
      </c>
      <c r="N2366">
        <v>296</v>
      </c>
      <c r="O2366">
        <v>1</v>
      </c>
      <c r="P2366">
        <v>296</v>
      </c>
      <c r="Q2366">
        <v>0</v>
      </c>
      <c r="R2366">
        <v>99</v>
      </c>
      <c r="S2366">
        <v>1</v>
      </c>
      <c r="T2366">
        <v>14</v>
      </c>
      <c r="U2366">
        <v>6</v>
      </c>
      <c r="V2366">
        <v>2</v>
      </c>
      <c r="W2366">
        <v>0</v>
      </c>
      <c r="X2366">
        <v>2</v>
      </c>
      <c r="Y2366">
        <v>163</v>
      </c>
      <c r="Z2366">
        <v>1</v>
      </c>
      <c r="AC2366">
        <v>0</v>
      </c>
      <c r="AD2366">
        <v>0</v>
      </c>
      <c r="AE2366">
        <v>0</v>
      </c>
      <c r="AF2366">
        <v>0</v>
      </c>
      <c r="AG2366">
        <v>3</v>
      </c>
      <c r="AH2366">
        <v>1</v>
      </c>
      <c r="AI2366">
        <v>0</v>
      </c>
      <c r="AJ2366">
        <v>0</v>
      </c>
      <c r="AK2366">
        <v>2</v>
      </c>
      <c r="AL2366">
        <v>0</v>
      </c>
      <c r="AM2366">
        <v>0</v>
      </c>
      <c r="AN2366">
        <v>1</v>
      </c>
      <c r="BC2366">
        <v>0</v>
      </c>
      <c r="BD2366">
        <v>1</v>
      </c>
      <c r="BE2366">
        <v>296</v>
      </c>
      <c r="BF2366">
        <v>296</v>
      </c>
      <c r="BG2366">
        <v>387</v>
      </c>
      <c r="BJ2366">
        <v>1</v>
      </c>
      <c r="BL2366" t="s">
        <v>4922</v>
      </c>
      <c r="BM2366" s="4">
        <v>43283.170138888891</v>
      </c>
      <c r="BN2366" s="4">
        <v>43283.183761574073</v>
      </c>
      <c r="BO2366" s="4">
        <v>43283.183761574073</v>
      </c>
      <c r="BP2366" t="s">
        <v>92</v>
      </c>
      <c r="BQ2366" t="s">
        <v>93</v>
      </c>
      <c r="BR2366" t="s">
        <v>94</v>
      </c>
    </row>
    <row r="2367" spans="1:70" x14ac:dyDescent="0.3">
      <c r="A2367" t="str">
        <f>"201589C0100"</f>
        <v>201589C0100</v>
      </c>
      <c r="B2367" t="s">
        <v>4923</v>
      </c>
      <c r="C2367">
        <v>20</v>
      </c>
      <c r="D2367" t="s">
        <v>88</v>
      </c>
      <c r="E2367">
        <v>334</v>
      </c>
      <c r="F2367" t="s">
        <v>4921</v>
      </c>
      <c r="G2367">
        <v>1589</v>
      </c>
      <c r="H2367">
        <v>1</v>
      </c>
      <c r="I2367" t="s">
        <v>98</v>
      </c>
      <c r="J2367">
        <v>0</v>
      </c>
      <c r="K2367">
        <v>2</v>
      </c>
      <c r="L2367">
        <v>5</v>
      </c>
      <c r="M2367">
        <v>125</v>
      </c>
      <c r="N2367">
        <v>409</v>
      </c>
      <c r="O2367" t="s">
        <v>127</v>
      </c>
      <c r="P2367">
        <v>284</v>
      </c>
      <c r="Q2367">
        <v>0</v>
      </c>
      <c r="R2367">
        <v>121</v>
      </c>
      <c r="S2367">
        <v>0</v>
      </c>
      <c r="T2367">
        <v>17</v>
      </c>
      <c r="U2367">
        <v>6</v>
      </c>
      <c r="V2367">
        <v>3</v>
      </c>
      <c r="W2367">
        <v>0</v>
      </c>
      <c r="X2367">
        <v>1</v>
      </c>
      <c r="Y2367">
        <v>108</v>
      </c>
      <c r="Z2367">
        <v>4</v>
      </c>
      <c r="AC2367">
        <v>0</v>
      </c>
      <c r="AD2367">
        <v>0</v>
      </c>
      <c r="AE2367">
        <v>0</v>
      </c>
      <c r="AF2367">
        <v>0</v>
      </c>
      <c r="AG2367">
        <v>1</v>
      </c>
      <c r="AH2367">
        <v>7</v>
      </c>
      <c r="AI2367">
        <v>1</v>
      </c>
      <c r="AJ2367">
        <v>0</v>
      </c>
      <c r="AK2367">
        <v>5</v>
      </c>
      <c r="AL2367">
        <v>1</v>
      </c>
      <c r="AM2367">
        <v>0</v>
      </c>
      <c r="AN2367">
        <v>0</v>
      </c>
      <c r="BC2367">
        <v>1</v>
      </c>
      <c r="BD2367">
        <v>8</v>
      </c>
      <c r="BE2367">
        <v>284</v>
      </c>
      <c r="BF2367">
        <v>284</v>
      </c>
      <c r="BG2367">
        <v>387</v>
      </c>
      <c r="BJ2367">
        <v>1</v>
      </c>
      <c r="BL2367" t="s">
        <v>4924</v>
      </c>
      <c r="BM2367" s="4">
        <v>43283.15902777778</v>
      </c>
      <c r="BN2367" s="4">
        <v>43283.177824074075</v>
      </c>
      <c r="BO2367" s="4">
        <v>43283.177824074075</v>
      </c>
      <c r="BP2367" t="s">
        <v>92</v>
      </c>
      <c r="BQ2367" t="s">
        <v>93</v>
      </c>
      <c r="BR2367" t="s">
        <v>94</v>
      </c>
    </row>
    <row r="2368" spans="1:70" x14ac:dyDescent="0.3">
      <c r="A2368" t="str">
        <f>"201589E0100"</f>
        <v>201589E0100</v>
      </c>
      <c r="B2368" s="2" t="s">
        <v>4925</v>
      </c>
      <c r="C2368">
        <v>20</v>
      </c>
      <c r="D2368" t="s">
        <v>88</v>
      </c>
      <c r="E2368">
        <v>334</v>
      </c>
      <c r="F2368" t="s">
        <v>4921</v>
      </c>
      <c r="G2368">
        <v>1589</v>
      </c>
      <c r="H2368">
        <v>1</v>
      </c>
      <c r="I2368" t="s">
        <v>156</v>
      </c>
      <c r="J2368">
        <v>0</v>
      </c>
      <c r="K2368">
        <v>2</v>
      </c>
      <c r="L2368">
        <v>5</v>
      </c>
      <c r="M2368">
        <v>131</v>
      </c>
      <c r="N2368">
        <v>293</v>
      </c>
      <c r="O2368">
        <v>7</v>
      </c>
      <c r="P2368">
        <v>293</v>
      </c>
      <c r="Q2368">
        <v>2</v>
      </c>
      <c r="R2368">
        <v>72</v>
      </c>
      <c r="S2368">
        <v>7</v>
      </c>
      <c r="T2368">
        <v>13</v>
      </c>
      <c r="U2368">
        <v>15</v>
      </c>
      <c r="V2368">
        <v>2</v>
      </c>
      <c r="W2368">
        <v>1</v>
      </c>
      <c r="X2368">
        <v>1</v>
      </c>
      <c r="Y2368">
        <v>149</v>
      </c>
      <c r="Z2368">
        <v>3</v>
      </c>
      <c r="AC2368">
        <v>0</v>
      </c>
      <c r="AD2368">
        <v>0</v>
      </c>
      <c r="AE2368">
        <v>0</v>
      </c>
      <c r="AF2368">
        <v>0</v>
      </c>
      <c r="AG2368">
        <v>1</v>
      </c>
      <c r="AH2368">
        <v>1</v>
      </c>
      <c r="AI2368">
        <v>0</v>
      </c>
      <c r="AJ2368">
        <v>0</v>
      </c>
      <c r="AK2368">
        <v>6</v>
      </c>
      <c r="AL2368">
        <v>3</v>
      </c>
      <c r="AM2368">
        <v>1</v>
      </c>
      <c r="AN2368">
        <v>0</v>
      </c>
      <c r="BC2368">
        <v>0</v>
      </c>
      <c r="BD2368">
        <v>16</v>
      </c>
      <c r="BE2368">
        <v>293</v>
      </c>
      <c r="BF2368">
        <v>293</v>
      </c>
      <c r="BG2368">
        <v>402</v>
      </c>
      <c r="BJ2368">
        <v>1</v>
      </c>
      <c r="BL2368" t="s">
        <v>4926</v>
      </c>
      <c r="BM2368" s="4">
        <v>43283.161805555559</v>
      </c>
      <c r="BN2368" s="4">
        <v>43283.174722222226</v>
      </c>
      <c r="BO2368" s="4">
        <v>43283.174722222226</v>
      </c>
      <c r="BP2368" t="s">
        <v>92</v>
      </c>
      <c r="BQ2368" t="s">
        <v>93</v>
      </c>
      <c r="BR2368" t="s">
        <v>94</v>
      </c>
    </row>
    <row r="2369" spans="1:70" x14ac:dyDescent="0.3">
      <c r="A2369" t="str">
        <f>"201590B0100"</f>
        <v>201590B0100</v>
      </c>
      <c r="B2369" t="s">
        <v>4927</v>
      </c>
      <c r="C2369">
        <v>20</v>
      </c>
      <c r="D2369" t="s">
        <v>88</v>
      </c>
      <c r="E2369">
        <v>334</v>
      </c>
      <c r="F2369" t="s">
        <v>4921</v>
      </c>
      <c r="G2369">
        <v>1590</v>
      </c>
      <c r="H2369">
        <v>1</v>
      </c>
      <c r="I2369" t="s">
        <v>90</v>
      </c>
      <c r="J2369">
        <v>0</v>
      </c>
      <c r="K2369">
        <v>2</v>
      </c>
      <c r="L2369">
        <v>5</v>
      </c>
      <c r="M2369">
        <v>188</v>
      </c>
      <c r="N2369">
        <v>382</v>
      </c>
      <c r="O2369">
        <v>1</v>
      </c>
      <c r="P2369">
        <v>381</v>
      </c>
      <c r="Q2369">
        <v>0</v>
      </c>
      <c r="R2369">
        <v>159</v>
      </c>
      <c r="S2369">
        <v>2</v>
      </c>
      <c r="T2369">
        <v>23</v>
      </c>
      <c r="U2369">
        <v>12</v>
      </c>
      <c r="V2369">
        <v>2</v>
      </c>
      <c r="W2369">
        <v>1</v>
      </c>
      <c r="X2369">
        <v>6</v>
      </c>
      <c r="Y2369">
        <v>140</v>
      </c>
      <c r="Z2369">
        <v>4</v>
      </c>
      <c r="AC2369">
        <v>0</v>
      </c>
      <c r="AD2369">
        <v>0</v>
      </c>
      <c r="AE2369">
        <v>0</v>
      </c>
      <c r="AF2369">
        <v>0</v>
      </c>
      <c r="AG2369">
        <v>4</v>
      </c>
      <c r="AH2369">
        <v>10</v>
      </c>
      <c r="AI2369">
        <v>1</v>
      </c>
      <c r="AJ2369">
        <v>0</v>
      </c>
      <c r="AK2369">
        <v>3</v>
      </c>
      <c r="AL2369">
        <v>1</v>
      </c>
      <c r="AM2369">
        <v>0</v>
      </c>
      <c r="AN2369">
        <v>3</v>
      </c>
      <c r="BC2369">
        <v>0</v>
      </c>
      <c r="BD2369">
        <v>10</v>
      </c>
      <c r="BE2369" t="s">
        <v>105</v>
      </c>
      <c r="BF2369">
        <v>381</v>
      </c>
      <c r="BG2369">
        <v>548</v>
      </c>
      <c r="BJ2369">
        <v>1</v>
      </c>
      <c r="BL2369" t="s">
        <v>4928</v>
      </c>
      <c r="BM2369" s="4">
        <v>43283.162499999999</v>
      </c>
      <c r="BN2369" s="4">
        <v>43283.175486111111</v>
      </c>
      <c r="BO2369" s="4">
        <v>43283.175486111111</v>
      </c>
      <c r="BP2369" t="s">
        <v>92</v>
      </c>
      <c r="BQ2369" t="s">
        <v>93</v>
      </c>
      <c r="BR2369" t="s">
        <v>94</v>
      </c>
    </row>
    <row r="2370" spans="1:70" x14ac:dyDescent="0.3">
      <c r="A2370" t="str">
        <f>"201590C0100"</f>
        <v>201590C0100</v>
      </c>
      <c r="B2370" t="s">
        <v>4929</v>
      </c>
      <c r="C2370">
        <v>20</v>
      </c>
      <c r="D2370" t="s">
        <v>88</v>
      </c>
      <c r="E2370">
        <v>334</v>
      </c>
      <c r="F2370" t="s">
        <v>4921</v>
      </c>
      <c r="G2370">
        <v>1590</v>
      </c>
      <c r="H2370">
        <v>1</v>
      </c>
      <c r="I2370" t="s">
        <v>98</v>
      </c>
      <c r="J2370">
        <v>0</v>
      </c>
      <c r="K2370">
        <v>2</v>
      </c>
      <c r="L2370">
        <v>5</v>
      </c>
      <c r="M2370" t="s">
        <v>105</v>
      </c>
      <c r="N2370" t="s">
        <v>105</v>
      </c>
      <c r="O2370">
        <v>417</v>
      </c>
      <c r="P2370">
        <v>417</v>
      </c>
      <c r="Q2370">
        <v>2</v>
      </c>
      <c r="R2370">
        <v>187</v>
      </c>
      <c r="S2370">
        <v>3</v>
      </c>
      <c r="T2370">
        <v>39</v>
      </c>
      <c r="U2370">
        <v>18</v>
      </c>
      <c r="V2370">
        <v>0</v>
      </c>
      <c r="W2370">
        <v>1</v>
      </c>
      <c r="X2370">
        <v>0</v>
      </c>
      <c r="Y2370">
        <v>131</v>
      </c>
      <c r="Z2370">
        <v>1</v>
      </c>
      <c r="AC2370">
        <v>0</v>
      </c>
      <c r="AD2370">
        <v>0</v>
      </c>
      <c r="AE2370">
        <v>0</v>
      </c>
      <c r="AF2370">
        <v>0</v>
      </c>
      <c r="AG2370">
        <v>3</v>
      </c>
      <c r="AH2370">
        <v>10</v>
      </c>
      <c r="AI2370">
        <v>1</v>
      </c>
      <c r="AJ2370">
        <v>1</v>
      </c>
      <c r="AK2370">
        <v>2</v>
      </c>
      <c r="AL2370">
        <v>1</v>
      </c>
      <c r="AM2370">
        <v>0</v>
      </c>
      <c r="AN2370">
        <v>5</v>
      </c>
      <c r="BC2370">
        <v>0</v>
      </c>
      <c r="BD2370">
        <v>0</v>
      </c>
      <c r="BE2370" t="s">
        <v>105</v>
      </c>
      <c r="BF2370">
        <v>405</v>
      </c>
      <c r="BG2370">
        <v>548</v>
      </c>
      <c r="BJ2370">
        <v>1</v>
      </c>
      <c r="BL2370" t="s">
        <v>4930</v>
      </c>
      <c r="BM2370" s="4">
        <v>43283.158333333333</v>
      </c>
      <c r="BN2370" s="4">
        <v>43283.171064814815</v>
      </c>
      <c r="BO2370" s="4">
        <v>43283.171064814815</v>
      </c>
      <c r="BP2370" t="s">
        <v>92</v>
      </c>
      <c r="BQ2370" t="s">
        <v>93</v>
      </c>
      <c r="BR2370" t="s">
        <v>94</v>
      </c>
    </row>
    <row r="2371" spans="1:70" x14ac:dyDescent="0.3">
      <c r="A2371" t="str">
        <f>"201591B0100"</f>
        <v>201591B0100</v>
      </c>
      <c r="B2371" t="s">
        <v>4931</v>
      </c>
      <c r="C2371">
        <v>20</v>
      </c>
      <c r="D2371" t="s">
        <v>88</v>
      </c>
      <c r="E2371">
        <v>334</v>
      </c>
      <c r="F2371" t="s">
        <v>4921</v>
      </c>
      <c r="G2371">
        <v>1591</v>
      </c>
      <c r="H2371">
        <v>1</v>
      </c>
      <c r="I2371" t="s">
        <v>90</v>
      </c>
      <c r="J2371">
        <v>0</v>
      </c>
      <c r="K2371">
        <v>2</v>
      </c>
      <c r="L2371">
        <v>5</v>
      </c>
      <c r="M2371">
        <v>121</v>
      </c>
      <c r="N2371">
        <v>231</v>
      </c>
      <c r="O2371">
        <v>0</v>
      </c>
      <c r="P2371">
        <v>228</v>
      </c>
      <c r="Q2371">
        <v>1</v>
      </c>
      <c r="R2371">
        <v>87</v>
      </c>
      <c r="S2371">
        <v>1</v>
      </c>
      <c r="T2371">
        <v>5</v>
      </c>
      <c r="U2371">
        <v>6</v>
      </c>
      <c r="V2371">
        <v>1</v>
      </c>
      <c r="W2371">
        <v>0</v>
      </c>
      <c r="X2371">
        <v>1</v>
      </c>
      <c r="Y2371">
        <v>108</v>
      </c>
      <c r="Z2371">
        <v>2</v>
      </c>
      <c r="AC2371">
        <v>0</v>
      </c>
      <c r="AD2371">
        <v>0</v>
      </c>
      <c r="AE2371">
        <v>0</v>
      </c>
      <c r="AF2371">
        <v>0</v>
      </c>
      <c r="AG2371">
        <v>0</v>
      </c>
      <c r="AH2371">
        <v>2</v>
      </c>
      <c r="AI2371">
        <v>1</v>
      </c>
      <c r="AJ2371">
        <v>0</v>
      </c>
      <c r="AK2371">
        <v>2</v>
      </c>
      <c r="AL2371">
        <v>0</v>
      </c>
      <c r="AM2371">
        <v>0</v>
      </c>
      <c r="AN2371">
        <v>2</v>
      </c>
      <c r="BC2371">
        <v>0</v>
      </c>
      <c r="BD2371">
        <v>9</v>
      </c>
      <c r="BE2371">
        <v>228</v>
      </c>
      <c r="BF2371">
        <v>228</v>
      </c>
      <c r="BG2371">
        <v>330</v>
      </c>
      <c r="BJ2371">
        <v>1</v>
      </c>
      <c r="BL2371" t="s">
        <v>4932</v>
      </c>
      <c r="BM2371" s="4">
        <v>43283.170138888891</v>
      </c>
      <c r="BN2371" s="4">
        <v>43283.204062500001</v>
      </c>
      <c r="BO2371" s="4">
        <v>43283.204062500001</v>
      </c>
      <c r="BP2371" t="s">
        <v>92</v>
      </c>
      <c r="BQ2371" t="s">
        <v>93</v>
      </c>
      <c r="BR2371" t="s">
        <v>94</v>
      </c>
    </row>
    <row r="2372" spans="1:70" x14ac:dyDescent="0.3">
      <c r="A2372" t="str">
        <f>"201592B0100"</f>
        <v>201592B0100</v>
      </c>
      <c r="B2372" t="s">
        <v>4933</v>
      </c>
      <c r="C2372">
        <v>20</v>
      </c>
      <c r="D2372" t="s">
        <v>88</v>
      </c>
      <c r="E2372">
        <v>334</v>
      </c>
      <c r="F2372" t="s">
        <v>4921</v>
      </c>
      <c r="G2372">
        <v>1592</v>
      </c>
      <c r="H2372">
        <v>1</v>
      </c>
      <c r="I2372" t="s">
        <v>90</v>
      </c>
      <c r="J2372">
        <v>0</v>
      </c>
      <c r="K2372">
        <v>2</v>
      </c>
      <c r="L2372">
        <v>5</v>
      </c>
      <c r="M2372">
        <v>174</v>
      </c>
      <c r="N2372">
        <v>381</v>
      </c>
      <c r="O2372">
        <v>1</v>
      </c>
      <c r="P2372">
        <v>380</v>
      </c>
      <c r="Q2372">
        <v>4</v>
      </c>
      <c r="R2372">
        <v>87</v>
      </c>
      <c r="S2372">
        <v>3</v>
      </c>
      <c r="T2372">
        <v>13</v>
      </c>
      <c r="U2372">
        <v>22</v>
      </c>
      <c r="V2372">
        <v>4</v>
      </c>
      <c r="W2372">
        <v>0</v>
      </c>
      <c r="X2372">
        <v>4</v>
      </c>
      <c r="Y2372">
        <v>214</v>
      </c>
      <c r="Z2372">
        <v>3</v>
      </c>
      <c r="AC2372">
        <v>0</v>
      </c>
      <c r="AD2372">
        <v>0</v>
      </c>
      <c r="AE2372">
        <v>0</v>
      </c>
      <c r="AF2372">
        <v>0</v>
      </c>
      <c r="AG2372">
        <v>3</v>
      </c>
      <c r="AH2372">
        <v>3</v>
      </c>
      <c r="AI2372">
        <v>0</v>
      </c>
      <c r="AJ2372">
        <v>0</v>
      </c>
      <c r="AK2372">
        <v>3</v>
      </c>
      <c r="AL2372">
        <v>5</v>
      </c>
      <c r="AM2372">
        <v>0</v>
      </c>
      <c r="AN2372">
        <v>1</v>
      </c>
      <c r="BC2372">
        <v>0</v>
      </c>
      <c r="BD2372">
        <v>11</v>
      </c>
      <c r="BE2372">
        <v>380</v>
      </c>
      <c r="BF2372">
        <v>380</v>
      </c>
      <c r="BG2372">
        <v>534</v>
      </c>
      <c r="BJ2372">
        <v>1</v>
      </c>
      <c r="BL2372" t="s">
        <v>4934</v>
      </c>
      <c r="BM2372" s="4">
        <v>43283.154861111114</v>
      </c>
      <c r="BN2372" s="4">
        <v>43283.170624999999</v>
      </c>
      <c r="BO2372" s="4">
        <v>43283.170624999999</v>
      </c>
      <c r="BP2372" t="s">
        <v>92</v>
      </c>
      <c r="BQ2372" t="s">
        <v>93</v>
      </c>
      <c r="BR2372" t="s">
        <v>94</v>
      </c>
    </row>
    <row r="2373" spans="1:70" x14ac:dyDescent="0.3">
      <c r="A2373" t="str">
        <f>"201593B0100"</f>
        <v>201593B0100</v>
      </c>
      <c r="B2373" t="s">
        <v>4935</v>
      </c>
      <c r="C2373">
        <v>20</v>
      </c>
      <c r="D2373" t="s">
        <v>88</v>
      </c>
      <c r="E2373">
        <v>334</v>
      </c>
      <c r="F2373" t="s">
        <v>4921</v>
      </c>
      <c r="G2373">
        <v>1593</v>
      </c>
      <c r="H2373">
        <v>1</v>
      </c>
      <c r="I2373" t="s">
        <v>90</v>
      </c>
      <c r="J2373">
        <v>0</v>
      </c>
      <c r="K2373">
        <v>2</v>
      </c>
      <c r="L2373">
        <v>5</v>
      </c>
      <c r="BG2373">
        <v>69</v>
      </c>
      <c r="BI2373" t="s">
        <v>365</v>
      </c>
      <c r="BJ2373">
        <v>0</v>
      </c>
      <c r="BL2373" t="s">
        <v>4936</v>
      </c>
      <c r="BM2373" s="4">
        <v>43283.3</v>
      </c>
      <c r="BN2373" s="4">
        <v>43283.307615740741</v>
      </c>
      <c r="BO2373" s="4">
        <v>43283.307615740741</v>
      </c>
      <c r="BP2373" t="s">
        <v>92</v>
      </c>
      <c r="BQ2373" t="s">
        <v>93</v>
      </c>
      <c r="BR2373" t="s">
        <v>94</v>
      </c>
    </row>
    <row r="2374" spans="1:70" x14ac:dyDescent="0.3">
      <c r="A2374" t="str">
        <f>"201609B0100"</f>
        <v>201609B0100</v>
      </c>
      <c r="B2374" t="s">
        <v>4937</v>
      </c>
      <c r="C2374">
        <v>20</v>
      </c>
      <c r="D2374" t="s">
        <v>88</v>
      </c>
      <c r="E2374">
        <v>342</v>
      </c>
      <c r="F2374" t="s">
        <v>4938</v>
      </c>
      <c r="G2374">
        <v>1609</v>
      </c>
      <c r="H2374">
        <v>1</v>
      </c>
      <c r="I2374" t="s">
        <v>90</v>
      </c>
      <c r="J2374">
        <v>0</v>
      </c>
      <c r="K2374">
        <v>1</v>
      </c>
      <c r="L2374">
        <v>5</v>
      </c>
      <c r="M2374">
        <v>124</v>
      </c>
      <c r="N2374">
        <v>399</v>
      </c>
      <c r="O2374">
        <v>0</v>
      </c>
      <c r="P2374">
        <v>399</v>
      </c>
      <c r="Q2374">
        <v>1</v>
      </c>
      <c r="R2374">
        <v>190</v>
      </c>
      <c r="S2374">
        <v>135</v>
      </c>
      <c r="T2374">
        <v>0</v>
      </c>
      <c r="U2374">
        <v>1</v>
      </c>
      <c r="V2374">
        <v>0</v>
      </c>
      <c r="X2374">
        <v>1</v>
      </c>
      <c r="Y2374">
        <v>45</v>
      </c>
      <c r="Z2374">
        <v>3</v>
      </c>
      <c r="AC2374">
        <v>2</v>
      </c>
      <c r="AD2374">
        <v>0</v>
      </c>
      <c r="AE2374">
        <v>0</v>
      </c>
      <c r="AF2374">
        <v>0</v>
      </c>
      <c r="AK2374">
        <v>1</v>
      </c>
      <c r="AL2374">
        <v>0</v>
      </c>
      <c r="AM2374">
        <v>0</v>
      </c>
      <c r="AN2374">
        <v>0</v>
      </c>
      <c r="AS2374">
        <v>1</v>
      </c>
      <c r="AT2374">
        <v>0</v>
      </c>
      <c r="AU2374">
        <v>0</v>
      </c>
      <c r="AV2374">
        <v>0</v>
      </c>
      <c r="BC2374">
        <v>19</v>
      </c>
      <c r="BD2374">
        <v>19</v>
      </c>
      <c r="BE2374">
        <v>399</v>
      </c>
      <c r="BF2374">
        <v>418</v>
      </c>
      <c r="BG2374">
        <v>501</v>
      </c>
      <c r="BJ2374">
        <v>1</v>
      </c>
      <c r="BL2374" t="s">
        <v>4939</v>
      </c>
      <c r="BM2374" s="4">
        <v>43283.156944444447</v>
      </c>
      <c r="BN2374" s="4">
        <v>43283.173206018517</v>
      </c>
      <c r="BO2374" s="4">
        <v>43283.173206018517</v>
      </c>
      <c r="BP2374" t="s">
        <v>92</v>
      </c>
      <c r="BQ2374" t="s">
        <v>93</v>
      </c>
      <c r="BR2374" t="s">
        <v>94</v>
      </c>
    </row>
    <row r="2375" spans="1:70" x14ac:dyDescent="0.3">
      <c r="A2375" t="str">
        <f>"201609C0100"</f>
        <v>201609C0100</v>
      </c>
      <c r="B2375" t="s">
        <v>4940</v>
      </c>
      <c r="C2375">
        <v>20</v>
      </c>
      <c r="D2375" t="s">
        <v>88</v>
      </c>
      <c r="E2375">
        <v>342</v>
      </c>
      <c r="F2375" t="s">
        <v>4938</v>
      </c>
      <c r="G2375">
        <v>1609</v>
      </c>
      <c r="H2375">
        <v>1</v>
      </c>
      <c r="I2375" t="s">
        <v>98</v>
      </c>
      <c r="J2375">
        <v>0</v>
      </c>
      <c r="K2375">
        <v>1</v>
      </c>
      <c r="L2375">
        <v>5</v>
      </c>
      <c r="M2375">
        <v>124</v>
      </c>
      <c r="N2375">
        <v>398</v>
      </c>
      <c r="O2375">
        <v>5</v>
      </c>
      <c r="P2375">
        <v>398</v>
      </c>
      <c r="Q2375">
        <v>4</v>
      </c>
      <c r="R2375">
        <v>194</v>
      </c>
      <c r="S2375">
        <v>151</v>
      </c>
      <c r="T2375">
        <v>0</v>
      </c>
      <c r="U2375">
        <v>0</v>
      </c>
      <c r="V2375">
        <v>0</v>
      </c>
      <c r="X2375">
        <v>0</v>
      </c>
      <c r="Y2375">
        <v>39</v>
      </c>
      <c r="Z2375">
        <v>0</v>
      </c>
      <c r="AC2375">
        <v>0</v>
      </c>
      <c r="AD2375">
        <v>0</v>
      </c>
      <c r="AE2375">
        <v>0</v>
      </c>
      <c r="AF2375">
        <v>0</v>
      </c>
      <c r="AK2375">
        <v>1</v>
      </c>
      <c r="AL2375">
        <v>0</v>
      </c>
      <c r="AM2375">
        <v>0</v>
      </c>
      <c r="AN2375">
        <v>0</v>
      </c>
      <c r="AS2375">
        <v>1</v>
      </c>
      <c r="AT2375">
        <v>1</v>
      </c>
      <c r="AU2375">
        <v>0</v>
      </c>
      <c r="AV2375">
        <v>0</v>
      </c>
      <c r="BC2375">
        <v>0</v>
      </c>
      <c r="BD2375">
        <v>7</v>
      </c>
      <c r="BE2375">
        <v>398</v>
      </c>
      <c r="BF2375">
        <v>398</v>
      </c>
      <c r="BG2375">
        <v>501</v>
      </c>
      <c r="BJ2375">
        <v>1</v>
      </c>
      <c r="BL2375" t="s">
        <v>4941</v>
      </c>
      <c r="BM2375" s="4">
        <v>43283.156944444447</v>
      </c>
      <c r="BN2375" s="4">
        <v>43283.173993055556</v>
      </c>
      <c r="BO2375" s="4">
        <v>43283.173993055556</v>
      </c>
      <c r="BP2375" t="s">
        <v>92</v>
      </c>
      <c r="BQ2375" t="s">
        <v>93</v>
      </c>
      <c r="BR2375" t="s">
        <v>94</v>
      </c>
    </row>
    <row r="2376" spans="1:70" x14ac:dyDescent="0.3">
      <c r="A2376" t="str">
        <f>"201610B0100"</f>
        <v>201610B0100</v>
      </c>
      <c r="B2376" t="s">
        <v>4942</v>
      </c>
      <c r="C2376">
        <v>20</v>
      </c>
      <c r="D2376" t="s">
        <v>88</v>
      </c>
      <c r="E2376">
        <v>342</v>
      </c>
      <c r="F2376" t="s">
        <v>4938</v>
      </c>
      <c r="G2376">
        <v>1610</v>
      </c>
      <c r="H2376">
        <v>1</v>
      </c>
      <c r="I2376" t="s">
        <v>90</v>
      </c>
      <c r="J2376">
        <v>0</v>
      </c>
      <c r="K2376">
        <v>2</v>
      </c>
      <c r="L2376">
        <v>5</v>
      </c>
      <c r="M2376">
        <v>123</v>
      </c>
      <c r="N2376">
        <v>281</v>
      </c>
      <c r="O2376">
        <v>3</v>
      </c>
      <c r="P2376">
        <v>281</v>
      </c>
      <c r="Q2376">
        <v>0</v>
      </c>
      <c r="R2376">
        <v>131</v>
      </c>
      <c r="S2376">
        <v>23</v>
      </c>
      <c r="T2376">
        <v>0</v>
      </c>
      <c r="U2376">
        <v>1</v>
      </c>
      <c r="V2376">
        <v>1</v>
      </c>
      <c r="X2376">
        <v>1</v>
      </c>
      <c r="Y2376">
        <v>117</v>
      </c>
      <c r="Z2376">
        <v>0</v>
      </c>
      <c r="AC2376">
        <v>0</v>
      </c>
      <c r="AD2376">
        <v>0</v>
      </c>
      <c r="AE2376">
        <v>0</v>
      </c>
      <c r="AF2376">
        <v>0</v>
      </c>
      <c r="AK2376">
        <v>1</v>
      </c>
      <c r="AL2376">
        <v>1</v>
      </c>
      <c r="AM2376">
        <v>0</v>
      </c>
      <c r="AN2376">
        <v>0</v>
      </c>
      <c r="AS2376">
        <v>1</v>
      </c>
      <c r="AT2376">
        <v>1</v>
      </c>
      <c r="AU2376">
        <v>0</v>
      </c>
      <c r="AV2376">
        <v>0</v>
      </c>
      <c r="BC2376">
        <v>0</v>
      </c>
      <c r="BD2376">
        <v>3</v>
      </c>
      <c r="BE2376">
        <v>281</v>
      </c>
      <c r="BF2376">
        <v>281</v>
      </c>
      <c r="BG2376">
        <v>382</v>
      </c>
      <c r="BJ2376">
        <v>1</v>
      </c>
      <c r="BL2376" t="s">
        <v>4943</v>
      </c>
      <c r="BM2376" s="4">
        <v>43283.154861111114</v>
      </c>
      <c r="BN2376" s="4">
        <v>43283.171354166669</v>
      </c>
      <c r="BO2376" s="4">
        <v>43283.171354166669</v>
      </c>
      <c r="BP2376" t="s">
        <v>92</v>
      </c>
      <c r="BQ2376" t="s">
        <v>93</v>
      </c>
      <c r="BR2376" t="s">
        <v>94</v>
      </c>
    </row>
    <row r="2377" spans="1:70" x14ac:dyDescent="0.3">
      <c r="A2377" t="str">
        <f>"201610C0100"</f>
        <v>201610C0100</v>
      </c>
      <c r="B2377" t="s">
        <v>4944</v>
      </c>
      <c r="C2377">
        <v>20</v>
      </c>
      <c r="D2377" t="s">
        <v>88</v>
      </c>
      <c r="E2377">
        <v>342</v>
      </c>
      <c r="F2377" t="s">
        <v>4938</v>
      </c>
      <c r="G2377">
        <v>1610</v>
      </c>
      <c r="H2377">
        <v>1</v>
      </c>
      <c r="I2377" t="s">
        <v>98</v>
      </c>
      <c r="J2377">
        <v>0</v>
      </c>
      <c r="K2377">
        <v>2</v>
      </c>
      <c r="L2377">
        <v>5</v>
      </c>
      <c r="M2377">
        <v>122</v>
      </c>
      <c r="N2377">
        <v>280</v>
      </c>
      <c r="O2377">
        <v>1</v>
      </c>
      <c r="P2377">
        <v>280</v>
      </c>
      <c r="Q2377">
        <v>1</v>
      </c>
      <c r="R2377">
        <v>124</v>
      </c>
      <c r="S2377">
        <v>24</v>
      </c>
      <c r="T2377">
        <v>0</v>
      </c>
      <c r="U2377">
        <v>1</v>
      </c>
      <c r="V2377">
        <v>0</v>
      </c>
      <c r="X2377">
        <v>0</v>
      </c>
      <c r="Y2377">
        <v>122</v>
      </c>
      <c r="Z2377">
        <v>2</v>
      </c>
      <c r="AC2377">
        <v>0</v>
      </c>
      <c r="AD2377">
        <v>0</v>
      </c>
      <c r="AE2377">
        <v>0</v>
      </c>
      <c r="AF2377">
        <v>0</v>
      </c>
      <c r="AK2377">
        <v>0</v>
      </c>
      <c r="AL2377">
        <v>0</v>
      </c>
      <c r="AM2377">
        <v>0</v>
      </c>
      <c r="AN2377">
        <v>1</v>
      </c>
      <c r="AS2377">
        <v>0</v>
      </c>
      <c r="AT2377">
        <v>1</v>
      </c>
      <c r="AU2377">
        <v>0</v>
      </c>
      <c r="AV2377">
        <v>0</v>
      </c>
      <c r="BC2377">
        <v>0</v>
      </c>
      <c r="BD2377">
        <v>4</v>
      </c>
      <c r="BE2377">
        <v>280</v>
      </c>
      <c r="BF2377">
        <v>280</v>
      </c>
      <c r="BG2377">
        <v>381</v>
      </c>
      <c r="BJ2377">
        <v>1</v>
      </c>
      <c r="BL2377" t="s">
        <v>4945</v>
      </c>
      <c r="BM2377" s="4">
        <v>43283.15625</v>
      </c>
      <c r="BN2377" s="4">
        <v>43283.172569444447</v>
      </c>
      <c r="BO2377" s="4">
        <v>43283.172569444447</v>
      </c>
      <c r="BP2377" t="s">
        <v>92</v>
      </c>
      <c r="BQ2377" t="s">
        <v>93</v>
      </c>
      <c r="BR2377" t="s">
        <v>94</v>
      </c>
    </row>
    <row r="2378" spans="1:70" x14ac:dyDescent="0.3">
      <c r="A2378" t="str">
        <f>"201611B0100"</f>
        <v>201611B0100</v>
      </c>
      <c r="B2378" t="s">
        <v>4946</v>
      </c>
      <c r="C2378">
        <v>20</v>
      </c>
      <c r="D2378" t="s">
        <v>88</v>
      </c>
      <c r="E2378">
        <v>342</v>
      </c>
      <c r="F2378" t="s">
        <v>4938</v>
      </c>
      <c r="G2378">
        <v>1611</v>
      </c>
      <c r="H2378">
        <v>1</v>
      </c>
      <c r="I2378" t="s">
        <v>90</v>
      </c>
      <c r="J2378">
        <v>0</v>
      </c>
      <c r="K2378">
        <v>2</v>
      </c>
      <c r="L2378">
        <v>5</v>
      </c>
      <c r="M2378">
        <v>114</v>
      </c>
      <c r="N2378">
        <v>260</v>
      </c>
      <c r="O2378">
        <v>0</v>
      </c>
      <c r="P2378">
        <v>260</v>
      </c>
      <c r="Q2378">
        <v>2</v>
      </c>
      <c r="R2378">
        <v>92</v>
      </c>
      <c r="S2378">
        <v>49</v>
      </c>
      <c r="T2378">
        <v>0</v>
      </c>
      <c r="U2378">
        <v>2</v>
      </c>
      <c r="V2378">
        <v>3</v>
      </c>
      <c r="X2378">
        <v>0</v>
      </c>
      <c r="Y2378">
        <v>105</v>
      </c>
      <c r="Z2378">
        <v>0</v>
      </c>
      <c r="AC2378">
        <v>0</v>
      </c>
      <c r="AD2378">
        <v>0</v>
      </c>
      <c r="AE2378">
        <v>0</v>
      </c>
      <c r="AF2378">
        <v>0</v>
      </c>
      <c r="AK2378">
        <v>1</v>
      </c>
      <c r="AL2378">
        <v>0</v>
      </c>
      <c r="AM2378">
        <v>0</v>
      </c>
      <c r="AN2378">
        <v>0</v>
      </c>
      <c r="AS2378">
        <v>0</v>
      </c>
      <c r="AT2378">
        <v>0</v>
      </c>
      <c r="AU2378">
        <v>0</v>
      </c>
      <c r="AV2378">
        <v>0</v>
      </c>
      <c r="BC2378">
        <v>0</v>
      </c>
      <c r="BD2378">
        <v>6</v>
      </c>
      <c r="BE2378">
        <v>260</v>
      </c>
      <c r="BF2378">
        <v>260</v>
      </c>
      <c r="BG2378">
        <v>353</v>
      </c>
      <c r="BJ2378">
        <v>1</v>
      </c>
      <c r="BL2378" t="s">
        <v>4947</v>
      </c>
      <c r="BM2378" s="4">
        <v>43283.234722222223</v>
      </c>
      <c r="BN2378" s="4">
        <v>43283.258773148147</v>
      </c>
      <c r="BO2378" s="4">
        <v>43283.258773148147</v>
      </c>
      <c r="BP2378" t="s">
        <v>92</v>
      </c>
      <c r="BQ2378" t="s">
        <v>93</v>
      </c>
      <c r="BR2378" t="s">
        <v>94</v>
      </c>
    </row>
    <row r="2379" spans="1:70" x14ac:dyDescent="0.3">
      <c r="A2379" t="str">
        <f>"201612B0100"</f>
        <v>201612B0100</v>
      </c>
      <c r="B2379" t="s">
        <v>4948</v>
      </c>
      <c r="C2379">
        <v>20</v>
      </c>
      <c r="D2379" t="s">
        <v>88</v>
      </c>
      <c r="E2379">
        <v>342</v>
      </c>
      <c r="F2379" t="s">
        <v>4938</v>
      </c>
      <c r="G2379">
        <v>1612</v>
      </c>
      <c r="H2379">
        <v>1</v>
      </c>
      <c r="I2379" t="s">
        <v>90</v>
      </c>
      <c r="J2379">
        <v>0</v>
      </c>
      <c r="K2379">
        <v>2</v>
      </c>
      <c r="L2379">
        <v>5</v>
      </c>
      <c r="M2379">
        <v>92</v>
      </c>
      <c r="N2379">
        <v>256</v>
      </c>
      <c r="O2379">
        <v>1</v>
      </c>
      <c r="P2379">
        <v>256</v>
      </c>
      <c r="Q2379">
        <v>0</v>
      </c>
      <c r="R2379">
        <v>135</v>
      </c>
      <c r="S2379">
        <v>70</v>
      </c>
      <c r="T2379">
        <v>0</v>
      </c>
      <c r="U2379">
        <v>2</v>
      </c>
      <c r="V2379">
        <v>0</v>
      </c>
      <c r="X2379">
        <v>0</v>
      </c>
      <c r="Y2379">
        <v>39</v>
      </c>
      <c r="Z2379">
        <v>1</v>
      </c>
      <c r="AC2379">
        <v>0</v>
      </c>
      <c r="AD2379">
        <v>0</v>
      </c>
      <c r="AE2379">
        <v>0</v>
      </c>
      <c r="AF2379">
        <v>0</v>
      </c>
      <c r="AK2379">
        <v>1</v>
      </c>
      <c r="AL2379">
        <v>0</v>
      </c>
      <c r="AM2379">
        <v>0</v>
      </c>
      <c r="AN2379">
        <v>0</v>
      </c>
      <c r="AS2379">
        <v>0</v>
      </c>
      <c r="AT2379">
        <v>1</v>
      </c>
      <c r="AU2379">
        <v>0</v>
      </c>
      <c r="AV2379">
        <v>0</v>
      </c>
      <c r="BC2379">
        <v>0</v>
      </c>
      <c r="BD2379">
        <v>5</v>
      </c>
      <c r="BE2379">
        <v>256</v>
      </c>
      <c r="BF2379">
        <v>254</v>
      </c>
      <c r="BG2379">
        <v>326</v>
      </c>
      <c r="BJ2379">
        <v>1</v>
      </c>
      <c r="BL2379" t="s">
        <v>4949</v>
      </c>
      <c r="BM2379" s="4">
        <v>43283.322916666664</v>
      </c>
      <c r="BN2379" s="4">
        <v>43283.343472222223</v>
      </c>
      <c r="BO2379" s="4">
        <v>43283.343472222223</v>
      </c>
      <c r="BP2379" t="s">
        <v>92</v>
      </c>
      <c r="BQ2379" t="s">
        <v>93</v>
      </c>
      <c r="BR2379" t="s">
        <v>94</v>
      </c>
    </row>
    <row r="2380" spans="1:70" x14ac:dyDescent="0.3">
      <c r="A2380" t="str">
        <f>"201612E0100"</f>
        <v>201612E0100</v>
      </c>
      <c r="B2380" s="2" t="s">
        <v>4950</v>
      </c>
      <c r="C2380">
        <v>20</v>
      </c>
      <c r="D2380" t="s">
        <v>88</v>
      </c>
      <c r="E2380">
        <v>342</v>
      </c>
      <c r="F2380" t="s">
        <v>4938</v>
      </c>
      <c r="G2380">
        <v>1612</v>
      </c>
      <c r="H2380">
        <v>1</v>
      </c>
      <c r="I2380" t="s">
        <v>156</v>
      </c>
      <c r="J2380">
        <v>0</v>
      </c>
      <c r="K2380">
        <v>2</v>
      </c>
      <c r="L2380">
        <v>5</v>
      </c>
      <c r="M2380">
        <v>161</v>
      </c>
      <c r="N2380">
        <v>395</v>
      </c>
      <c r="O2380">
        <v>10</v>
      </c>
      <c r="P2380">
        <v>395</v>
      </c>
      <c r="Q2380">
        <v>0</v>
      </c>
      <c r="R2380">
        <v>114</v>
      </c>
      <c r="S2380">
        <v>138</v>
      </c>
      <c r="T2380">
        <v>0</v>
      </c>
      <c r="U2380">
        <v>2</v>
      </c>
      <c r="V2380">
        <v>1</v>
      </c>
      <c r="X2380">
        <v>1</v>
      </c>
      <c r="Y2380">
        <v>125</v>
      </c>
      <c r="Z2380">
        <v>1</v>
      </c>
      <c r="AC2380">
        <v>0</v>
      </c>
      <c r="AD2380">
        <v>0</v>
      </c>
      <c r="AE2380">
        <v>0</v>
      </c>
      <c r="AF2380">
        <v>0</v>
      </c>
      <c r="AK2380">
        <v>2</v>
      </c>
      <c r="AL2380">
        <v>1</v>
      </c>
      <c r="AM2380">
        <v>0</v>
      </c>
      <c r="AN2380">
        <v>0</v>
      </c>
      <c r="AS2380">
        <v>1</v>
      </c>
      <c r="AT2380">
        <v>0</v>
      </c>
      <c r="AU2380">
        <v>0</v>
      </c>
      <c r="AV2380">
        <v>0</v>
      </c>
      <c r="BC2380">
        <v>0</v>
      </c>
      <c r="BD2380">
        <v>9</v>
      </c>
      <c r="BE2380">
        <v>395</v>
      </c>
      <c r="BF2380">
        <v>395</v>
      </c>
      <c r="BG2380">
        <v>534</v>
      </c>
      <c r="BJ2380">
        <v>1</v>
      </c>
      <c r="BL2380" t="s">
        <v>4951</v>
      </c>
      <c r="BM2380" s="4">
        <v>43283.156944444447</v>
      </c>
      <c r="BN2380" s="4">
        <v>43283.173263888886</v>
      </c>
      <c r="BO2380" s="4">
        <v>43283.173263888886</v>
      </c>
      <c r="BP2380" t="s">
        <v>92</v>
      </c>
      <c r="BQ2380" t="s">
        <v>93</v>
      </c>
      <c r="BR2380" t="s">
        <v>94</v>
      </c>
    </row>
    <row r="2381" spans="1:70" x14ac:dyDescent="0.3">
      <c r="A2381" t="str">
        <f>"201650B0100"</f>
        <v>201650B0100</v>
      </c>
      <c r="B2381" t="s">
        <v>4952</v>
      </c>
      <c r="C2381">
        <v>20</v>
      </c>
      <c r="D2381" t="s">
        <v>88</v>
      </c>
      <c r="E2381">
        <v>360</v>
      </c>
      <c r="F2381" t="s">
        <v>4953</v>
      </c>
      <c r="G2381">
        <v>1650</v>
      </c>
      <c r="H2381">
        <v>1</v>
      </c>
      <c r="I2381" t="s">
        <v>90</v>
      </c>
      <c r="J2381">
        <v>0</v>
      </c>
      <c r="K2381">
        <v>2</v>
      </c>
      <c r="L2381">
        <v>5</v>
      </c>
      <c r="M2381">
        <v>222</v>
      </c>
      <c r="N2381">
        <v>522</v>
      </c>
      <c r="O2381">
        <v>0</v>
      </c>
      <c r="P2381">
        <v>522</v>
      </c>
      <c r="Q2381">
        <v>10</v>
      </c>
      <c r="R2381">
        <v>5</v>
      </c>
      <c r="S2381">
        <v>257</v>
      </c>
      <c r="T2381">
        <v>9</v>
      </c>
      <c r="U2381">
        <v>4</v>
      </c>
      <c r="V2381">
        <v>3</v>
      </c>
      <c r="X2381">
        <v>167</v>
      </c>
      <c r="Y2381">
        <v>30</v>
      </c>
      <c r="Z2381">
        <v>0</v>
      </c>
      <c r="AA2381">
        <v>1</v>
      </c>
      <c r="AC2381">
        <v>0</v>
      </c>
      <c r="AD2381">
        <v>1</v>
      </c>
      <c r="AE2381">
        <v>0</v>
      </c>
      <c r="AF2381">
        <v>2</v>
      </c>
      <c r="AK2381">
        <v>2</v>
      </c>
      <c r="AL2381">
        <v>0</v>
      </c>
      <c r="AM2381">
        <v>0</v>
      </c>
      <c r="AN2381">
        <v>1</v>
      </c>
      <c r="AV2381">
        <v>1</v>
      </c>
      <c r="BC2381">
        <v>0</v>
      </c>
      <c r="BD2381">
        <v>29</v>
      </c>
      <c r="BE2381">
        <v>522</v>
      </c>
      <c r="BF2381">
        <v>522</v>
      </c>
      <c r="BG2381">
        <v>722</v>
      </c>
      <c r="BJ2381">
        <v>1</v>
      </c>
      <c r="BL2381" t="s">
        <v>4954</v>
      </c>
      <c r="BM2381" s="4">
        <v>43283.207638888889</v>
      </c>
      <c r="BN2381" s="4">
        <v>43283.229548611111</v>
      </c>
      <c r="BO2381" s="4">
        <v>43283.229548611111</v>
      </c>
      <c r="BP2381" t="s">
        <v>92</v>
      </c>
      <c r="BQ2381" t="s">
        <v>93</v>
      </c>
      <c r="BR2381" t="s">
        <v>94</v>
      </c>
    </row>
    <row r="2382" spans="1:70" x14ac:dyDescent="0.3">
      <c r="A2382" t="str">
        <f>"201650C0100"</f>
        <v>201650C0100</v>
      </c>
      <c r="B2382" t="s">
        <v>4955</v>
      </c>
      <c r="C2382">
        <v>20</v>
      </c>
      <c r="D2382" t="s">
        <v>88</v>
      </c>
      <c r="E2382">
        <v>360</v>
      </c>
      <c r="F2382" t="s">
        <v>4953</v>
      </c>
      <c r="G2382">
        <v>1650</v>
      </c>
      <c r="H2382">
        <v>1</v>
      </c>
      <c r="I2382" t="s">
        <v>98</v>
      </c>
      <c r="J2382">
        <v>0</v>
      </c>
      <c r="K2382">
        <v>2</v>
      </c>
      <c r="L2382">
        <v>5</v>
      </c>
      <c r="M2382">
        <v>227</v>
      </c>
      <c r="N2382">
        <v>10</v>
      </c>
      <c r="O2382">
        <v>10</v>
      </c>
      <c r="P2382">
        <v>512</v>
      </c>
      <c r="Q2382">
        <v>11</v>
      </c>
      <c r="R2382">
        <v>8</v>
      </c>
      <c r="S2382">
        <v>290</v>
      </c>
      <c r="T2382">
        <v>3</v>
      </c>
      <c r="U2382">
        <v>10</v>
      </c>
      <c r="V2382">
        <v>5</v>
      </c>
      <c r="X2382">
        <v>111</v>
      </c>
      <c r="Y2382">
        <v>42</v>
      </c>
      <c r="Z2382">
        <v>0</v>
      </c>
      <c r="AA2382">
        <v>1</v>
      </c>
      <c r="AC2382">
        <v>3</v>
      </c>
      <c r="AD2382">
        <v>2</v>
      </c>
      <c r="AE2382">
        <v>1</v>
      </c>
      <c r="AF2382">
        <v>1</v>
      </c>
      <c r="AK2382">
        <v>3</v>
      </c>
      <c r="AL2382">
        <v>1</v>
      </c>
      <c r="AM2382">
        <v>0</v>
      </c>
      <c r="AN2382">
        <v>0</v>
      </c>
      <c r="AV2382">
        <v>0</v>
      </c>
      <c r="BC2382">
        <v>0</v>
      </c>
      <c r="BD2382">
        <v>25</v>
      </c>
      <c r="BE2382">
        <v>517</v>
      </c>
      <c r="BF2382">
        <v>517</v>
      </c>
      <c r="BG2382">
        <v>722</v>
      </c>
      <c r="BJ2382">
        <v>1</v>
      </c>
      <c r="BL2382" t="s">
        <v>4956</v>
      </c>
      <c r="BM2382" s="4">
        <v>43283.206250000003</v>
      </c>
      <c r="BN2382" s="4">
        <v>43283.224849537037</v>
      </c>
      <c r="BO2382" s="4">
        <v>43283.224849537037</v>
      </c>
      <c r="BP2382" t="s">
        <v>92</v>
      </c>
      <c r="BQ2382" t="s">
        <v>93</v>
      </c>
      <c r="BR2382" t="s">
        <v>94</v>
      </c>
    </row>
    <row r="2383" spans="1:70" x14ac:dyDescent="0.3">
      <c r="A2383" t="str">
        <f>"201650E0100"</f>
        <v>201650E0100</v>
      </c>
      <c r="B2383" s="2" t="s">
        <v>4957</v>
      </c>
      <c r="C2383">
        <v>20</v>
      </c>
      <c r="D2383" t="s">
        <v>88</v>
      </c>
      <c r="E2383">
        <v>360</v>
      </c>
      <c r="F2383" t="s">
        <v>4953</v>
      </c>
      <c r="G2383">
        <v>1650</v>
      </c>
      <c r="H2383">
        <v>1</v>
      </c>
      <c r="I2383" t="s">
        <v>156</v>
      </c>
      <c r="J2383">
        <v>0</v>
      </c>
      <c r="K2383">
        <v>2</v>
      </c>
      <c r="L2383">
        <v>5</v>
      </c>
      <c r="M2383">
        <v>88</v>
      </c>
      <c r="N2383">
        <v>199</v>
      </c>
      <c r="O2383">
        <v>6</v>
      </c>
      <c r="P2383">
        <v>199</v>
      </c>
      <c r="Q2383">
        <v>5</v>
      </c>
      <c r="R2383">
        <v>2</v>
      </c>
      <c r="S2383">
        <v>137</v>
      </c>
      <c r="T2383">
        <v>1</v>
      </c>
      <c r="U2383">
        <v>1</v>
      </c>
      <c r="V2383">
        <v>4</v>
      </c>
      <c r="X2383">
        <v>26</v>
      </c>
      <c r="Y2383">
        <v>14</v>
      </c>
      <c r="Z2383">
        <v>0</v>
      </c>
      <c r="AA2383">
        <v>0</v>
      </c>
      <c r="AC2383">
        <v>1</v>
      </c>
      <c r="AD2383">
        <v>2</v>
      </c>
      <c r="AE2383">
        <v>1</v>
      </c>
      <c r="AF2383">
        <v>0</v>
      </c>
      <c r="AK2383">
        <v>1</v>
      </c>
      <c r="AL2383">
        <v>0</v>
      </c>
      <c r="AM2383">
        <v>0</v>
      </c>
      <c r="AN2383">
        <v>0</v>
      </c>
      <c r="AV2383">
        <v>0</v>
      </c>
      <c r="BC2383">
        <v>0</v>
      </c>
      <c r="BD2383">
        <v>4</v>
      </c>
      <c r="BE2383">
        <v>199</v>
      </c>
      <c r="BF2383">
        <v>199</v>
      </c>
      <c r="BG2383">
        <v>265</v>
      </c>
      <c r="BJ2383">
        <v>1</v>
      </c>
      <c r="BL2383" t="s">
        <v>4958</v>
      </c>
      <c r="BM2383" s="4">
        <v>43283.204861111109</v>
      </c>
      <c r="BN2383" s="4">
        <v>43283.22146990741</v>
      </c>
      <c r="BO2383" s="4">
        <v>43283.22146990741</v>
      </c>
      <c r="BP2383" t="s">
        <v>92</v>
      </c>
      <c r="BQ2383" t="s">
        <v>93</v>
      </c>
      <c r="BR2383" t="s">
        <v>94</v>
      </c>
    </row>
    <row r="2384" spans="1:70" x14ac:dyDescent="0.3">
      <c r="A2384" t="str">
        <f>"201651B0100"</f>
        <v>201651B0100</v>
      </c>
      <c r="B2384" t="s">
        <v>4959</v>
      </c>
      <c r="C2384">
        <v>20</v>
      </c>
      <c r="D2384" t="s">
        <v>88</v>
      </c>
      <c r="E2384">
        <v>360</v>
      </c>
      <c r="F2384" t="s">
        <v>4953</v>
      </c>
      <c r="G2384">
        <v>1651</v>
      </c>
      <c r="H2384">
        <v>1</v>
      </c>
      <c r="I2384" t="s">
        <v>90</v>
      </c>
      <c r="J2384">
        <v>0</v>
      </c>
      <c r="K2384">
        <v>2</v>
      </c>
      <c r="L2384">
        <v>5</v>
      </c>
      <c r="M2384">
        <v>166</v>
      </c>
      <c r="N2384">
        <v>467</v>
      </c>
      <c r="O2384">
        <v>3</v>
      </c>
      <c r="P2384">
        <v>464</v>
      </c>
      <c r="Q2384">
        <v>8</v>
      </c>
      <c r="R2384">
        <v>48</v>
      </c>
      <c r="S2384">
        <v>213</v>
      </c>
      <c r="T2384">
        <v>5</v>
      </c>
      <c r="U2384">
        <v>5</v>
      </c>
      <c r="V2384">
        <v>3</v>
      </c>
      <c r="X2384">
        <v>86</v>
      </c>
      <c r="Y2384">
        <v>65</v>
      </c>
      <c r="Z2384">
        <v>2</v>
      </c>
      <c r="AA2384">
        <v>2</v>
      </c>
      <c r="AC2384">
        <v>0</v>
      </c>
      <c r="AD2384">
        <v>0</v>
      </c>
      <c r="AE2384">
        <v>0</v>
      </c>
      <c r="AF2384">
        <v>0</v>
      </c>
      <c r="AK2384">
        <v>0</v>
      </c>
      <c r="AL2384">
        <v>1</v>
      </c>
      <c r="AM2384">
        <v>0</v>
      </c>
      <c r="AN2384">
        <v>0</v>
      </c>
      <c r="AV2384">
        <v>8</v>
      </c>
      <c r="BC2384">
        <v>1</v>
      </c>
      <c r="BD2384">
        <v>21</v>
      </c>
      <c r="BE2384">
        <v>468</v>
      </c>
      <c r="BF2384">
        <v>468</v>
      </c>
      <c r="BG2384">
        <v>612</v>
      </c>
      <c r="BJ2384">
        <v>1</v>
      </c>
      <c r="BL2384" t="s">
        <v>4960</v>
      </c>
      <c r="BM2384" s="4">
        <v>43283.228472222225</v>
      </c>
      <c r="BN2384" s="4">
        <v>43283.287673611114</v>
      </c>
      <c r="BO2384" s="4">
        <v>43283.287673611114</v>
      </c>
      <c r="BP2384" t="s">
        <v>92</v>
      </c>
      <c r="BQ2384" t="s">
        <v>93</v>
      </c>
      <c r="BR2384" t="s">
        <v>94</v>
      </c>
    </row>
    <row r="2385" spans="1:70" x14ac:dyDescent="0.3">
      <c r="A2385" t="str">
        <f>"201651C0100"</f>
        <v>201651C0100</v>
      </c>
      <c r="B2385" t="s">
        <v>4961</v>
      </c>
      <c r="C2385">
        <v>20</v>
      </c>
      <c r="D2385" t="s">
        <v>88</v>
      </c>
      <c r="E2385">
        <v>360</v>
      </c>
      <c r="F2385" t="s">
        <v>4953</v>
      </c>
      <c r="G2385">
        <v>1651</v>
      </c>
      <c r="H2385">
        <v>1</v>
      </c>
      <c r="I2385" t="s">
        <v>98</v>
      </c>
      <c r="J2385">
        <v>0</v>
      </c>
      <c r="K2385">
        <v>2</v>
      </c>
      <c r="L2385">
        <v>5</v>
      </c>
      <c r="M2385">
        <v>180</v>
      </c>
      <c r="N2385">
        <v>454</v>
      </c>
      <c r="O2385">
        <v>0</v>
      </c>
      <c r="P2385" t="s">
        <v>127</v>
      </c>
      <c r="Q2385">
        <v>4</v>
      </c>
      <c r="R2385">
        <v>8</v>
      </c>
      <c r="S2385">
        <v>287</v>
      </c>
      <c r="T2385">
        <v>7</v>
      </c>
      <c r="U2385">
        <v>6</v>
      </c>
      <c r="V2385">
        <v>2</v>
      </c>
      <c r="X2385">
        <v>88</v>
      </c>
      <c r="Y2385">
        <v>25</v>
      </c>
      <c r="Z2385">
        <v>0</v>
      </c>
      <c r="AA2385">
        <v>1</v>
      </c>
      <c r="AC2385">
        <v>1</v>
      </c>
      <c r="AD2385">
        <v>4</v>
      </c>
      <c r="AE2385">
        <v>0</v>
      </c>
      <c r="AF2385">
        <v>1</v>
      </c>
      <c r="AK2385">
        <v>1</v>
      </c>
      <c r="AL2385">
        <v>0</v>
      </c>
      <c r="AM2385">
        <v>1</v>
      </c>
      <c r="AN2385">
        <v>1</v>
      </c>
      <c r="AV2385">
        <v>0</v>
      </c>
      <c r="BC2385">
        <v>0</v>
      </c>
      <c r="BD2385">
        <v>17</v>
      </c>
      <c r="BE2385" t="s">
        <v>105</v>
      </c>
      <c r="BF2385">
        <v>454</v>
      </c>
      <c r="BG2385">
        <v>612</v>
      </c>
      <c r="BJ2385">
        <v>1</v>
      </c>
      <c r="BL2385" t="s">
        <v>4962</v>
      </c>
      <c r="BM2385" s="4">
        <v>43283.203472222223</v>
      </c>
      <c r="BN2385" s="4">
        <v>43283.219259259262</v>
      </c>
      <c r="BO2385" s="4">
        <v>43283.219259259262</v>
      </c>
      <c r="BP2385" t="s">
        <v>92</v>
      </c>
      <c r="BQ2385" t="s">
        <v>93</v>
      </c>
      <c r="BR2385" t="s">
        <v>94</v>
      </c>
    </row>
    <row r="2386" spans="1:70" x14ac:dyDescent="0.3">
      <c r="A2386" t="str">
        <f>"201658B0100"</f>
        <v>201658B0100</v>
      </c>
      <c r="B2386" t="s">
        <v>4963</v>
      </c>
      <c r="C2386">
        <v>20</v>
      </c>
      <c r="D2386" t="s">
        <v>88</v>
      </c>
      <c r="E2386">
        <v>364</v>
      </c>
      <c r="F2386" t="s">
        <v>4964</v>
      </c>
      <c r="G2386">
        <v>1658</v>
      </c>
      <c r="H2386">
        <v>1</v>
      </c>
      <c r="I2386" t="s">
        <v>90</v>
      </c>
      <c r="J2386">
        <v>0</v>
      </c>
      <c r="K2386">
        <v>1</v>
      </c>
      <c r="L2386">
        <v>5</v>
      </c>
      <c r="M2386">
        <v>171</v>
      </c>
      <c r="N2386">
        <v>744</v>
      </c>
      <c r="O2386">
        <v>1</v>
      </c>
      <c r="P2386" t="s">
        <v>105</v>
      </c>
      <c r="Q2386">
        <v>116</v>
      </c>
      <c r="R2386">
        <v>113</v>
      </c>
      <c r="S2386">
        <v>14</v>
      </c>
      <c r="T2386">
        <v>1</v>
      </c>
      <c r="U2386">
        <v>173</v>
      </c>
      <c r="V2386">
        <v>8</v>
      </c>
      <c r="X2386">
        <v>1</v>
      </c>
      <c r="Y2386">
        <v>124</v>
      </c>
      <c r="Z2386">
        <v>0</v>
      </c>
      <c r="AC2386">
        <v>1</v>
      </c>
      <c r="AD2386">
        <v>0</v>
      </c>
      <c r="AE2386">
        <v>0</v>
      </c>
      <c r="AF2386">
        <v>0</v>
      </c>
      <c r="AG2386">
        <v>0</v>
      </c>
      <c r="AH2386" t="s">
        <v>105</v>
      </c>
      <c r="AI2386" t="s">
        <v>105</v>
      </c>
      <c r="AJ2386" t="s">
        <v>105</v>
      </c>
      <c r="AK2386">
        <v>4</v>
      </c>
      <c r="AL2386">
        <v>2</v>
      </c>
      <c r="AM2386">
        <v>0</v>
      </c>
      <c r="AN2386">
        <v>0</v>
      </c>
      <c r="BC2386">
        <v>0</v>
      </c>
      <c r="BD2386">
        <v>13</v>
      </c>
      <c r="BE2386">
        <v>577</v>
      </c>
      <c r="BF2386">
        <v>570</v>
      </c>
      <c r="BG2386">
        <v>722</v>
      </c>
      <c r="BI2386" t="s">
        <v>106</v>
      </c>
      <c r="BJ2386">
        <v>1</v>
      </c>
      <c r="BL2386" t="s">
        <v>4965</v>
      </c>
      <c r="BM2386" s="4">
        <v>43283.208796296298</v>
      </c>
      <c r="BN2386" s="4">
        <v>43283.230069444442</v>
      </c>
      <c r="BO2386" s="4">
        <v>43283.230069444442</v>
      </c>
      <c r="BP2386" t="s">
        <v>92</v>
      </c>
      <c r="BQ2386" t="s">
        <v>93</v>
      </c>
      <c r="BR2386" t="s">
        <v>94</v>
      </c>
    </row>
    <row r="2387" spans="1:70" x14ac:dyDescent="0.3">
      <c r="A2387" t="str">
        <f>"201658C0100"</f>
        <v>201658C0100</v>
      </c>
      <c r="B2387" t="s">
        <v>4966</v>
      </c>
      <c r="C2387">
        <v>20</v>
      </c>
      <c r="D2387" t="s">
        <v>88</v>
      </c>
      <c r="E2387">
        <v>364</v>
      </c>
      <c r="F2387" t="s">
        <v>4964</v>
      </c>
      <c r="G2387">
        <v>1658</v>
      </c>
      <c r="H2387">
        <v>1</v>
      </c>
      <c r="I2387" t="s">
        <v>98</v>
      </c>
      <c r="J2387">
        <v>0</v>
      </c>
      <c r="K2387">
        <v>1</v>
      </c>
      <c r="L2387">
        <v>5</v>
      </c>
      <c r="M2387">
        <v>558</v>
      </c>
      <c r="N2387">
        <v>562</v>
      </c>
      <c r="O2387">
        <v>562</v>
      </c>
      <c r="P2387">
        <v>562</v>
      </c>
      <c r="Q2387">
        <v>98</v>
      </c>
      <c r="R2387">
        <v>143</v>
      </c>
      <c r="S2387">
        <v>14</v>
      </c>
      <c r="T2387">
        <v>3</v>
      </c>
      <c r="U2387">
        <v>143</v>
      </c>
      <c r="V2387">
        <v>3</v>
      </c>
      <c r="X2387">
        <v>2</v>
      </c>
      <c r="Y2387">
        <v>127</v>
      </c>
      <c r="Z2387">
        <v>1</v>
      </c>
      <c r="AC2387">
        <v>1</v>
      </c>
      <c r="AD2387">
        <v>0</v>
      </c>
      <c r="AE2387">
        <v>0</v>
      </c>
      <c r="AF2387">
        <v>0</v>
      </c>
      <c r="AG2387">
        <v>1</v>
      </c>
      <c r="AH2387">
        <v>1</v>
      </c>
      <c r="AI2387">
        <v>0</v>
      </c>
      <c r="AJ2387">
        <v>0</v>
      </c>
      <c r="AK2387">
        <v>1</v>
      </c>
      <c r="AL2387">
        <v>4</v>
      </c>
      <c r="AM2387">
        <v>0</v>
      </c>
      <c r="AN2387">
        <v>1</v>
      </c>
      <c r="BC2387">
        <v>0</v>
      </c>
      <c r="BD2387">
        <v>15</v>
      </c>
      <c r="BE2387" t="s">
        <v>105</v>
      </c>
      <c r="BF2387">
        <v>558</v>
      </c>
      <c r="BG2387">
        <v>721</v>
      </c>
      <c r="BJ2387">
        <v>1</v>
      </c>
      <c r="BL2387" t="s">
        <v>4967</v>
      </c>
      <c r="BM2387" s="4">
        <v>43283.21738425926</v>
      </c>
      <c r="BN2387" s="4">
        <v>43283.237592592595</v>
      </c>
      <c r="BO2387" s="4">
        <v>43283.237592592595</v>
      </c>
      <c r="BP2387" t="s">
        <v>92</v>
      </c>
      <c r="BQ2387" t="s">
        <v>93</v>
      </c>
      <c r="BR2387" t="s">
        <v>94</v>
      </c>
    </row>
    <row r="2388" spans="1:70" x14ac:dyDescent="0.3">
      <c r="A2388" t="str">
        <f>"201658C0200"</f>
        <v>201658C0200</v>
      </c>
      <c r="B2388" t="s">
        <v>4968</v>
      </c>
      <c r="C2388">
        <v>20</v>
      </c>
      <c r="D2388" t="s">
        <v>88</v>
      </c>
      <c r="E2388">
        <v>364</v>
      </c>
      <c r="F2388" t="s">
        <v>4964</v>
      </c>
      <c r="G2388">
        <v>1658</v>
      </c>
      <c r="H2388">
        <v>2</v>
      </c>
      <c r="I2388" t="s">
        <v>98</v>
      </c>
      <c r="J2388">
        <v>0</v>
      </c>
      <c r="K2388">
        <v>1</v>
      </c>
      <c r="L2388">
        <v>5</v>
      </c>
      <c r="M2388">
        <v>198</v>
      </c>
      <c r="N2388" t="s">
        <v>105</v>
      </c>
      <c r="O2388" t="s">
        <v>105</v>
      </c>
      <c r="P2388" t="s">
        <v>105</v>
      </c>
      <c r="Q2388">
        <v>103</v>
      </c>
      <c r="R2388">
        <v>127</v>
      </c>
      <c r="S2388">
        <v>14</v>
      </c>
      <c r="T2388">
        <v>5</v>
      </c>
      <c r="U2388">
        <v>130</v>
      </c>
      <c r="V2388">
        <v>5</v>
      </c>
      <c r="X2388">
        <v>0</v>
      </c>
      <c r="Y2388">
        <v>115</v>
      </c>
      <c r="Z2388">
        <v>1</v>
      </c>
      <c r="AC2388">
        <v>6</v>
      </c>
      <c r="AD2388">
        <v>2</v>
      </c>
      <c r="AE2388">
        <v>0</v>
      </c>
      <c r="AF2388">
        <v>0</v>
      </c>
      <c r="AG2388">
        <v>3</v>
      </c>
      <c r="AH2388">
        <v>3</v>
      </c>
      <c r="AI2388">
        <v>0</v>
      </c>
      <c r="AJ2388">
        <v>0</v>
      </c>
      <c r="AK2388">
        <v>6</v>
      </c>
      <c r="AL2388">
        <v>7</v>
      </c>
      <c r="AM2388">
        <v>0</v>
      </c>
      <c r="AN2388">
        <v>0</v>
      </c>
      <c r="BC2388">
        <v>0</v>
      </c>
      <c r="BD2388">
        <v>17</v>
      </c>
      <c r="BE2388" t="s">
        <v>105</v>
      </c>
      <c r="BF2388">
        <v>544</v>
      </c>
      <c r="BG2388">
        <v>721</v>
      </c>
      <c r="BJ2388">
        <v>1</v>
      </c>
      <c r="BL2388" t="s">
        <v>4969</v>
      </c>
      <c r="BM2388" s="4">
        <v>43283.214849537035</v>
      </c>
      <c r="BN2388" s="4">
        <v>43283.236701388887</v>
      </c>
      <c r="BO2388" s="4">
        <v>43283.236701388887</v>
      </c>
      <c r="BP2388" t="s">
        <v>92</v>
      </c>
      <c r="BQ2388" t="s">
        <v>93</v>
      </c>
      <c r="BR2388" t="s">
        <v>94</v>
      </c>
    </row>
    <row r="2389" spans="1:70" x14ac:dyDescent="0.3">
      <c r="A2389" t="str">
        <f>"201658S0100"</f>
        <v>201658S0100</v>
      </c>
      <c r="B2389" t="s">
        <v>4970</v>
      </c>
      <c r="C2389">
        <v>20</v>
      </c>
      <c r="D2389" t="s">
        <v>88</v>
      </c>
      <c r="E2389">
        <v>364</v>
      </c>
      <c r="F2389" t="s">
        <v>4964</v>
      </c>
      <c r="G2389">
        <v>1658</v>
      </c>
      <c r="H2389">
        <v>1</v>
      </c>
      <c r="I2389" t="s">
        <v>113</v>
      </c>
      <c r="J2389">
        <v>0</v>
      </c>
      <c r="K2389">
        <v>1</v>
      </c>
      <c r="L2389">
        <v>6</v>
      </c>
      <c r="M2389">
        <v>662</v>
      </c>
      <c r="N2389">
        <v>110</v>
      </c>
      <c r="O2389">
        <v>0</v>
      </c>
      <c r="P2389">
        <v>110</v>
      </c>
      <c r="Q2389">
        <v>16</v>
      </c>
      <c r="R2389">
        <v>10</v>
      </c>
      <c r="S2389">
        <v>4</v>
      </c>
      <c r="T2389">
        <v>1</v>
      </c>
      <c r="U2389">
        <v>42</v>
      </c>
      <c r="V2389">
        <v>1</v>
      </c>
      <c r="X2389">
        <v>0</v>
      </c>
      <c r="Y2389">
        <v>29</v>
      </c>
      <c r="Z2389">
        <v>0</v>
      </c>
      <c r="AC2389">
        <v>1</v>
      </c>
      <c r="AD2389">
        <v>0</v>
      </c>
      <c r="AE2389">
        <v>0</v>
      </c>
      <c r="AF2389">
        <v>0</v>
      </c>
      <c r="AG2389">
        <v>0</v>
      </c>
      <c r="AH2389">
        <v>1</v>
      </c>
      <c r="AI2389">
        <v>0</v>
      </c>
      <c r="AJ2389">
        <v>0</v>
      </c>
      <c r="AK2389">
        <v>1</v>
      </c>
      <c r="AL2389">
        <v>2</v>
      </c>
      <c r="AM2389">
        <v>0</v>
      </c>
      <c r="AN2389">
        <v>0</v>
      </c>
      <c r="BC2389">
        <v>0</v>
      </c>
      <c r="BD2389">
        <v>2</v>
      </c>
      <c r="BE2389">
        <v>110</v>
      </c>
      <c r="BF2389">
        <v>110</v>
      </c>
      <c r="BG2389">
        <v>0</v>
      </c>
      <c r="BJ2389">
        <v>1</v>
      </c>
      <c r="BL2389" t="s">
        <v>4971</v>
      </c>
      <c r="BM2389" s="4">
        <v>43283.223136574074</v>
      </c>
      <c r="BN2389" s="4">
        <v>43283.24423611111</v>
      </c>
      <c r="BO2389" s="4">
        <v>43283.24423611111</v>
      </c>
      <c r="BP2389" t="s">
        <v>92</v>
      </c>
      <c r="BQ2389" t="s">
        <v>93</v>
      </c>
      <c r="BR2389" t="s">
        <v>94</v>
      </c>
    </row>
    <row r="2390" spans="1:70" x14ac:dyDescent="0.3">
      <c r="A2390" t="str">
        <f>"201659B0100"</f>
        <v>201659B0100</v>
      </c>
      <c r="B2390" t="s">
        <v>4972</v>
      </c>
      <c r="C2390">
        <v>20</v>
      </c>
      <c r="D2390" t="s">
        <v>88</v>
      </c>
      <c r="E2390">
        <v>364</v>
      </c>
      <c r="F2390" t="s">
        <v>4964</v>
      </c>
      <c r="G2390">
        <v>1659</v>
      </c>
      <c r="H2390">
        <v>1</v>
      </c>
      <c r="I2390" t="s">
        <v>90</v>
      </c>
      <c r="J2390">
        <v>0</v>
      </c>
      <c r="K2390">
        <v>2</v>
      </c>
      <c r="L2390">
        <v>5</v>
      </c>
      <c r="M2390">
        <v>153</v>
      </c>
      <c r="N2390">
        <v>497</v>
      </c>
      <c r="O2390">
        <v>4</v>
      </c>
      <c r="P2390">
        <v>497</v>
      </c>
      <c r="Q2390">
        <v>88</v>
      </c>
      <c r="R2390">
        <v>82</v>
      </c>
      <c r="S2390">
        <v>13</v>
      </c>
      <c r="T2390">
        <v>0</v>
      </c>
      <c r="U2390">
        <v>167</v>
      </c>
      <c r="V2390">
        <v>7</v>
      </c>
      <c r="X2390">
        <v>2</v>
      </c>
      <c r="Y2390">
        <v>116</v>
      </c>
      <c r="Z2390">
        <v>0</v>
      </c>
      <c r="AC2390">
        <v>0</v>
      </c>
      <c r="AD2390">
        <v>0</v>
      </c>
      <c r="AE2390">
        <v>0</v>
      </c>
      <c r="AF2390">
        <v>0</v>
      </c>
      <c r="AG2390">
        <v>0</v>
      </c>
      <c r="AH2390">
        <v>3</v>
      </c>
      <c r="AI2390">
        <v>0</v>
      </c>
      <c r="AJ2390">
        <v>0</v>
      </c>
      <c r="AK2390">
        <v>4</v>
      </c>
      <c r="AL2390">
        <v>3</v>
      </c>
      <c r="AM2390">
        <v>0</v>
      </c>
      <c r="AN2390">
        <v>0</v>
      </c>
      <c r="BC2390" t="s">
        <v>105</v>
      </c>
      <c r="BD2390">
        <v>12</v>
      </c>
      <c r="BE2390">
        <v>497</v>
      </c>
      <c r="BF2390">
        <v>497</v>
      </c>
      <c r="BG2390">
        <v>629</v>
      </c>
      <c r="BI2390" t="s">
        <v>106</v>
      </c>
      <c r="BJ2390">
        <v>1</v>
      </c>
      <c r="BL2390" t="s">
        <v>4973</v>
      </c>
      <c r="BM2390" s="4">
        <v>43283.039861111109</v>
      </c>
      <c r="BN2390" s="4">
        <v>43283.048449074071</v>
      </c>
      <c r="BO2390" s="4">
        <v>43283.048449074071</v>
      </c>
      <c r="BP2390" t="s">
        <v>92</v>
      </c>
      <c r="BQ2390" t="s">
        <v>93</v>
      </c>
      <c r="BR2390" t="s">
        <v>94</v>
      </c>
    </row>
    <row r="2391" spans="1:70" x14ac:dyDescent="0.3">
      <c r="A2391" t="str">
        <f>"201659C0100"</f>
        <v>201659C0100</v>
      </c>
      <c r="B2391" t="s">
        <v>4974</v>
      </c>
      <c r="C2391">
        <v>20</v>
      </c>
      <c r="D2391" t="s">
        <v>88</v>
      </c>
      <c r="E2391">
        <v>364</v>
      </c>
      <c r="F2391" t="s">
        <v>4964</v>
      </c>
      <c r="G2391">
        <v>1659</v>
      </c>
      <c r="H2391">
        <v>1</v>
      </c>
      <c r="I2391" t="s">
        <v>98</v>
      </c>
      <c r="J2391">
        <v>0</v>
      </c>
      <c r="K2391">
        <v>2</v>
      </c>
      <c r="L2391">
        <v>5</v>
      </c>
      <c r="M2391">
        <v>131</v>
      </c>
      <c r="N2391">
        <v>519</v>
      </c>
      <c r="O2391">
        <v>4</v>
      </c>
      <c r="P2391">
        <v>521</v>
      </c>
      <c r="Q2391">
        <v>77</v>
      </c>
      <c r="R2391">
        <v>72</v>
      </c>
      <c r="S2391">
        <v>20</v>
      </c>
      <c r="T2391">
        <v>2</v>
      </c>
      <c r="U2391">
        <v>197</v>
      </c>
      <c r="V2391">
        <v>8</v>
      </c>
      <c r="X2391">
        <v>0</v>
      </c>
      <c r="Y2391">
        <v>105</v>
      </c>
      <c r="Z2391">
        <v>0</v>
      </c>
      <c r="AC2391">
        <v>1</v>
      </c>
      <c r="AD2391">
        <v>4</v>
      </c>
      <c r="AE2391">
        <v>1</v>
      </c>
      <c r="AF2391">
        <v>0</v>
      </c>
      <c r="AG2391">
        <v>1</v>
      </c>
      <c r="AH2391">
        <v>3</v>
      </c>
      <c r="AI2391">
        <v>0</v>
      </c>
      <c r="AJ2391">
        <v>0</v>
      </c>
      <c r="AK2391">
        <v>4</v>
      </c>
      <c r="AL2391">
        <v>10</v>
      </c>
      <c r="AM2391">
        <v>0</v>
      </c>
      <c r="AN2391">
        <v>0</v>
      </c>
      <c r="BC2391">
        <v>0</v>
      </c>
      <c r="BD2391">
        <v>16</v>
      </c>
      <c r="BE2391">
        <v>521</v>
      </c>
      <c r="BF2391">
        <v>521</v>
      </c>
      <c r="BG2391">
        <v>629</v>
      </c>
      <c r="BJ2391">
        <v>1</v>
      </c>
      <c r="BL2391" t="s">
        <v>4975</v>
      </c>
      <c r="BM2391" s="4">
        <v>43283.184166666666</v>
      </c>
      <c r="BN2391" s="4">
        <v>43283.202986111108</v>
      </c>
      <c r="BO2391" s="4">
        <v>43283.202986111108</v>
      </c>
      <c r="BP2391" t="s">
        <v>92</v>
      </c>
      <c r="BQ2391" t="s">
        <v>93</v>
      </c>
      <c r="BR2391" t="s">
        <v>94</v>
      </c>
    </row>
    <row r="2392" spans="1:70" x14ac:dyDescent="0.3">
      <c r="A2392" t="str">
        <f>"201659C0200"</f>
        <v>201659C0200</v>
      </c>
      <c r="B2392" t="s">
        <v>4976</v>
      </c>
      <c r="C2392">
        <v>20</v>
      </c>
      <c r="D2392" t="s">
        <v>88</v>
      </c>
      <c r="E2392">
        <v>364</v>
      </c>
      <c r="F2392" t="s">
        <v>4964</v>
      </c>
      <c r="G2392">
        <v>1659</v>
      </c>
      <c r="H2392">
        <v>2</v>
      </c>
      <c r="I2392" t="s">
        <v>98</v>
      </c>
      <c r="J2392">
        <v>0</v>
      </c>
      <c r="K2392">
        <v>2</v>
      </c>
      <c r="L2392">
        <v>5</v>
      </c>
      <c r="M2392">
        <v>146</v>
      </c>
      <c r="N2392">
        <v>503</v>
      </c>
      <c r="O2392">
        <v>6</v>
      </c>
      <c r="P2392">
        <v>502</v>
      </c>
      <c r="Q2392">
        <v>86</v>
      </c>
      <c r="R2392">
        <v>121</v>
      </c>
      <c r="S2392">
        <v>12</v>
      </c>
      <c r="T2392">
        <v>4</v>
      </c>
      <c r="U2392">
        <v>146</v>
      </c>
      <c r="V2392">
        <v>6</v>
      </c>
      <c r="X2392">
        <v>0</v>
      </c>
      <c r="Y2392">
        <v>95</v>
      </c>
      <c r="Z2392">
        <v>2</v>
      </c>
      <c r="AC2392">
        <v>3</v>
      </c>
      <c r="AD2392">
        <v>1</v>
      </c>
      <c r="AE2392">
        <v>0</v>
      </c>
      <c r="AF2392">
        <v>0</v>
      </c>
      <c r="AG2392">
        <v>1</v>
      </c>
      <c r="AH2392">
        <v>1</v>
      </c>
      <c r="AI2392">
        <v>0</v>
      </c>
      <c r="AJ2392">
        <v>0</v>
      </c>
      <c r="AK2392">
        <v>4</v>
      </c>
      <c r="AL2392">
        <v>3</v>
      </c>
      <c r="AM2392">
        <v>0</v>
      </c>
      <c r="AN2392">
        <v>0</v>
      </c>
      <c r="BC2392">
        <v>0</v>
      </c>
      <c r="BD2392">
        <v>17</v>
      </c>
      <c r="BE2392">
        <v>502</v>
      </c>
      <c r="BF2392">
        <v>502</v>
      </c>
      <c r="BG2392">
        <v>629</v>
      </c>
      <c r="BJ2392">
        <v>1</v>
      </c>
      <c r="BL2392" t="s">
        <v>4977</v>
      </c>
      <c r="BM2392" s="4">
        <v>43283.182187500002</v>
      </c>
      <c r="BN2392" s="4">
        <v>43283.199930555558</v>
      </c>
      <c r="BO2392" s="4">
        <v>43283.199930555558</v>
      </c>
      <c r="BP2392" t="s">
        <v>92</v>
      </c>
      <c r="BQ2392" t="s">
        <v>93</v>
      </c>
      <c r="BR2392" t="s">
        <v>94</v>
      </c>
    </row>
    <row r="2393" spans="1:70" x14ac:dyDescent="0.3">
      <c r="A2393" t="str">
        <f>"201659C0300"</f>
        <v>201659C0300</v>
      </c>
      <c r="B2393" t="s">
        <v>4978</v>
      </c>
      <c r="C2393">
        <v>20</v>
      </c>
      <c r="D2393" t="s">
        <v>88</v>
      </c>
      <c r="E2393">
        <v>364</v>
      </c>
      <c r="F2393" t="s">
        <v>4964</v>
      </c>
      <c r="G2393">
        <v>1659</v>
      </c>
      <c r="H2393">
        <v>3</v>
      </c>
      <c r="I2393" t="s">
        <v>98</v>
      </c>
      <c r="J2393">
        <v>0</v>
      </c>
      <c r="K2393">
        <v>2</v>
      </c>
      <c r="L2393">
        <v>5</v>
      </c>
      <c r="M2393">
        <v>161</v>
      </c>
      <c r="N2393">
        <v>513</v>
      </c>
      <c r="O2393">
        <v>0</v>
      </c>
      <c r="P2393">
        <v>488</v>
      </c>
      <c r="Q2393">
        <v>90</v>
      </c>
      <c r="R2393">
        <v>84</v>
      </c>
      <c r="S2393">
        <v>9</v>
      </c>
      <c r="T2393">
        <v>3</v>
      </c>
      <c r="U2393">
        <v>144</v>
      </c>
      <c r="V2393">
        <v>6</v>
      </c>
      <c r="X2393">
        <v>1</v>
      </c>
      <c r="Y2393">
        <v>109</v>
      </c>
      <c r="Z2393">
        <v>2</v>
      </c>
      <c r="AC2393">
        <v>5</v>
      </c>
      <c r="AD2393">
        <v>3</v>
      </c>
      <c r="AE2393">
        <v>0</v>
      </c>
      <c r="AF2393">
        <v>0</v>
      </c>
      <c r="AG2393">
        <v>0</v>
      </c>
      <c r="AH2393">
        <v>0</v>
      </c>
      <c r="AI2393">
        <v>0</v>
      </c>
      <c r="AJ2393">
        <v>0</v>
      </c>
      <c r="AK2393">
        <v>3</v>
      </c>
      <c r="AL2393">
        <v>8</v>
      </c>
      <c r="AM2393">
        <v>1</v>
      </c>
      <c r="AN2393">
        <v>1</v>
      </c>
      <c r="BC2393">
        <v>0</v>
      </c>
      <c r="BD2393">
        <v>19</v>
      </c>
      <c r="BE2393">
        <v>488</v>
      </c>
      <c r="BF2393">
        <v>488</v>
      </c>
      <c r="BG2393">
        <v>628</v>
      </c>
      <c r="BJ2393">
        <v>1</v>
      </c>
      <c r="BL2393" t="s">
        <v>4979</v>
      </c>
      <c r="BM2393" s="4">
        <v>43283.178495370368</v>
      </c>
      <c r="BN2393" s="4">
        <v>43283.193831018521</v>
      </c>
      <c r="BO2393" s="4">
        <v>43283.193831018521</v>
      </c>
      <c r="BP2393" t="s">
        <v>92</v>
      </c>
      <c r="BQ2393" t="s">
        <v>93</v>
      </c>
      <c r="BR2393" t="s">
        <v>94</v>
      </c>
    </row>
    <row r="2394" spans="1:70" x14ac:dyDescent="0.3">
      <c r="A2394" t="str">
        <f>"201659C0400"</f>
        <v>201659C0400</v>
      </c>
      <c r="B2394" t="s">
        <v>4980</v>
      </c>
      <c r="C2394">
        <v>20</v>
      </c>
      <c r="D2394" t="s">
        <v>88</v>
      </c>
      <c r="E2394">
        <v>364</v>
      </c>
      <c r="F2394" t="s">
        <v>4964</v>
      </c>
      <c r="G2394">
        <v>1659</v>
      </c>
      <c r="H2394">
        <v>4</v>
      </c>
      <c r="I2394" t="s">
        <v>98</v>
      </c>
      <c r="J2394">
        <v>0</v>
      </c>
      <c r="K2394">
        <v>2</v>
      </c>
      <c r="L2394">
        <v>5</v>
      </c>
      <c r="M2394">
        <v>142</v>
      </c>
      <c r="N2394">
        <v>507</v>
      </c>
      <c r="O2394">
        <v>0</v>
      </c>
      <c r="P2394">
        <v>507</v>
      </c>
      <c r="Q2394">
        <v>103</v>
      </c>
      <c r="R2394">
        <v>95</v>
      </c>
      <c r="S2394">
        <v>12</v>
      </c>
      <c r="T2394">
        <v>9</v>
      </c>
      <c r="U2394">
        <v>161</v>
      </c>
      <c r="V2394">
        <v>7</v>
      </c>
      <c r="X2394">
        <v>1</v>
      </c>
      <c r="Y2394">
        <v>99</v>
      </c>
      <c r="Z2394">
        <v>1</v>
      </c>
      <c r="AC2394">
        <v>2</v>
      </c>
      <c r="AD2394">
        <v>0</v>
      </c>
      <c r="AE2394">
        <v>1</v>
      </c>
      <c r="AF2394">
        <v>0</v>
      </c>
      <c r="AG2394">
        <v>1</v>
      </c>
      <c r="AH2394">
        <v>1</v>
      </c>
      <c r="AI2394">
        <v>0</v>
      </c>
      <c r="AJ2394">
        <v>0</v>
      </c>
      <c r="AK2394">
        <v>3</v>
      </c>
      <c r="AL2394">
        <v>2</v>
      </c>
      <c r="AM2394">
        <v>0</v>
      </c>
      <c r="AN2394">
        <v>0</v>
      </c>
      <c r="BC2394">
        <v>0</v>
      </c>
      <c r="BD2394">
        <v>9</v>
      </c>
      <c r="BE2394">
        <v>507</v>
      </c>
      <c r="BF2394">
        <v>507</v>
      </c>
      <c r="BG2394">
        <v>628</v>
      </c>
      <c r="BJ2394">
        <v>1</v>
      </c>
      <c r="BL2394" t="s">
        <v>4981</v>
      </c>
      <c r="BM2394" s="4">
        <v>43283.212372685186</v>
      </c>
      <c r="BN2394" s="4">
        <v>43283.232777777775</v>
      </c>
      <c r="BO2394" s="4">
        <v>43283.232777777775</v>
      </c>
      <c r="BP2394" t="s">
        <v>92</v>
      </c>
      <c r="BQ2394" t="s">
        <v>93</v>
      </c>
      <c r="BR2394" t="s">
        <v>94</v>
      </c>
    </row>
    <row r="2395" spans="1:70" x14ac:dyDescent="0.3">
      <c r="A2395" t="str">
        <f>"201659C0500"</f>
        <v>201659C0500</v>
      </c>
      <c r="B2395" t="s">
        <v>4982</v>
      </c>
      <c r="C2395">
        <v>20</v>
      </c>
      <c r="D2395" t="s">
        <v>88</v>
      </c>
      <c r="E2395">
        <v>364</v>
      </c>
      <c r="F2395" t="s">
        <v>4964</v>
      </c>
      <c r="G2395">
        <v>1659</v>
      </c>
      <c r="H2395">
        <v>5</v>
      </c>
      <c r="I2395" t="s">
        <v>98</v>
      </c>
      <c r="J2395">
        <v>0</v>
      </c>
      <c r="K2395">
        <v>2</v>
      </c>
      <c r="L2395">
        <v>5</v>
      </c>
      <c r="M2395">
        <v>132</v>
      </c>
      <c r="N2395">
        <v>517</v>
      </c>
      <c r="O2395">
        <v>1</v>
      </c>
      <c r="P2395">
        <v>517</v>
      </c>
      <c r="Q2395">
        <v>95</v>
      </c>
      <c r="R2395">
        <v>105</v>
      </c>
      <c r="S2395">
        <v>13</v>
      </c>
      <c r="T2395">
        <v>4</v>
      </c>
      <c r="U2395">
        <v>162</v>
      </c>
      <c r="V2395">
        <v>15</v>
      </c>
      <c r="X2395">
        <v>3</v>
      </c>
      <c r="Y2395">
        <v>94</v>
      </c>
      <c r="Z2395">
        <v>1</v>
      </c>
      <c r="AC2395">
        <v>1</v>
      </c>
      <c r="AD2395">
        <v>0</v>
      </c>
      <c r="AE2395">
        <v>1</v>
      </c>
      <c r="AF2395">
        <v>0</v>
      </c>
      <c r="AG2395">
        <v>0</v>
      </c>
      <c r="AH2395">
        <v>4</v>
      </c>
      <c r="AI2395">
        <v>0</v>
      </c>
      <c r="AJ2395">
        <v>0</v>
      </c>
      <c r="AK2395">
        <v>3</v>
      </c>
      <c r="AL2395">
        <v>3</v>
      </c>
      <c r="AM2395">
        <v>0</v>
      </c>
      <c r="AN2395">
        <v>0</v>
      </c>
      <c r="BC2395">
        <v>1</v>
      </c>
      <c r="BD2395">
        <v>9</v>
      </c>
      <c r="BE2395">
        <v>514</v>
      </c>
      <c r="BF2395">
        <v>514</v>
      </c>
      <c r="BG2395">
        <v>628</v>
      </c>
      <c r="BJ2395">
        <v>1</v>
      </c>
      <c r="BL2395" t="s">
        <v>4983</v>
      </c>
      <c r="BM2395" s="4">
        <v>43283.219652777778</v>
      </c>
      <c r="BN2395" s="4">
        <v>43283.241180555553</v>
      </c>
      <c r="BO2395" s="4">
        <v>43283.241180555553</v>
      </c>
      <c r="BP2395" t="s">
        <v>92</v>
      </c>
      <c r="BQ2395" t="s">
        <v>93</v>
      </c>
      <c r="BR2395" t="s">
        <v>94</v>
      </c>
    </row>
    <row r="2396" spans="1:70" x14ac:dyDescent="0.3">
      <c r="A2396" t="str">
        <f>"201660B0100"</f>
        <v>201660B0100</v>
      </c>
      <c r="B2396" t="s">
        <v>4984</v>
      </c>
      <c r="C2396">
        <v>20</v>
      </c>
      <c r="D2396" t="s">
        <v>88</v>
      </c>
      <c r="E2396">
        <v>364</v>
      </c>
      <c r="F2396" t="s">
        <v>4964</v>
      </c>
      <c r="G2396">
        <v>1660</v>
      </c>
      <c r="H2396">
        <v>1</v>
      </c>
      <c r="I2396" t="s">
        <v>90</v>
      </c>
      <c r="J2396">
        <v>0</v>
      </c>
      <c r="K2396">
        <v>2</v>
      </c>
      <c r="L2396">
        <v>5</v>
      </c>
      <c r="M2396">
        <v>236</v>
      </c>
      <c r="N2396">
        <v>304</v>
      </c>
      <c r="O2396">
        <v>1</v>
      </c>
      <c r="P2396">
        <v>304</v>
      </c>
      <c r="Q2396">
        <v>86</v>
      </c>
      <c r="R2396">
        <v>1</v>
      </c>
      <c r="S2396">
        <v>17</v>
      </c>
      <c r="T2396">
        <v>2</v>
      </c>
      <c r="U2396">
        <v>112</v>
      </c>
      <c r="V2396">
        <v>2</v>
      </c>
      <c r="X2396">
        <v>2</v>
      </c>
      <c r="Y2396">
        <v>54</v>
      </c>
      <c r="Z2396">
        <v>0</v>
      </c>
      <c r="AC2396">
        <v>0</v>
      </c>
      <c r="AD2396">
        <v>13</v>
      </c>
      <c r="AE2396">
        <v>0</v>
      </c>
      <c r="AF2396">
        <v>0</v>
      </c>
      <c r="AG2396">
        <v>0</v>
      </c>
      <c r="AH2396">
        <v>0</v>
      </c>
      <c r="AI2396">
        <v>0</v>
      </c>
      <c r="AJ2396">
        <v>0</v>
      </c>
      <c r="AK2396">
        <v>3</v>
      </c>
      <c r="AL2396">
        <v>13</v>
      </c>
      <c r="AM2396">
        <v>0</v>
      </c>
      <c r="AN2396">
        <v>0</v>
      </c>
      <c r="BC2396">
        <v>0</v>
      </c>
      <c r="BD2396">
        <v>11</v>
      </c>
      <c r="BE2396">
        <v>305</v>
      </c>
      <c r="BF2396">
        <v>316</v>
      </c>
      <c r="BG2396">
        <v>519</v>
      </c>
      <c r="BJ2396">
        <v>1</v>
      </c>
      <c r="BL2396" t="s">
        <v>4985</v>
      </c>
      <c r="BM2396" s="4">
        <v>43283.460173611114</v>
      </c>
      <c r="BN2396" s="4">
        <v>43283.466412037036</v>
      </c>
      <c r="BO2396" s="4">
        <v>43283.466412037036</v>
      </c>
      <c r="BP2396" t="s">
        <v>92</v>
      </c>
      <c r="BQ2396" t="s">
        <v>93</v>
      </c>
      <c r="BR2396" t="s">
        <v>94</v>
      </c>
    </row>
    <row r="2397" spans="1:70" x14ac:dyDescent="0.3">
      <c r="A2397" t="str">
        <f>"201660C0100"</f>
        <v>201660C0100</v>
      </c>
      <c r="B2397" t="s">
        <v>4986</v>
      </c>
      <c r="C2397">
        <v>20</v>
      </c>
      <c r="D2397" t="s">
        <v>88</v>
      </c>
      <c r="E2397">
        <v>364</v>
      </c>
      <c r="F2397" t="s">
        <v>4964</v>
      </c>
      <c r="G2397">
        <v>1660</v>
      </c>
      <c r="H2397">
        <v>1</v>
      </c>
      <c r="I2397" t="s">
        <v>98</v>
      </c>
      <c r="J2397">
        <v>0</v>
      </c>
      <c r="K2397">
        <v>2</v>
      </c>
      <c r="L2397">
        <v>5</v>
      </c>
      <c r="M2397">
        <v>263</v>
      </c>
      <c r="N2397" t="s">
        <v>105</v>
      </c>
      <c r="O2397" t="s">
        <v>105</v>
      </c>
      <c r="P2397">
        <v>277</v>
      </c>
      <c r="Q2397">
        <v>82</v>
      </c>
      <c r="R2397">
        <v>2</v>
      </c>
      <c r="S2397">
        <v>19</v>
      </c>
      <c r="T2397">
        <v>4</v>
      </c>
      <c r="U2397">
        <v>98</v>
      </c>
      <c r="V2397">
        <v>2</v>
      </c>
      <c r="X2397">
        <v>2</v>
      </c>
      <c r="Y2397">
        <v>43</v>
      </c>
      <c r="Z2397">
        <v>1</v>
      </c>
      <c r="AC2397">
        <v>0</v>
      </c>
      <c r="AD2397">
        <v>1</v>
      </c>
      <c r="AE2397">
        <v>0</v>
      </c>
      <c r="AF2397">
        <v>0</v>
      </c>
      <c r="AG2397">
        <v>0</v>
      </c>
      <c r="AH2397">
        <v>0</v>
      </c>
      <c r="AI2397">
        <v>0</v>
      </c>
      <c r="AJ2397">
        <v>0</v>
      </c>
      <c r="AK2397">
        <v>1</v>
      </c>
      <c r="AL2397">
        <v>9</v>
      </c>
      <c r="AM2397">
        <v>0</v>
      </c>
      <c r="AN2397">
        <v>0</v>
      </c>
      <c r="BC2397">
        <v>0</v>
      </c>
      <c r="BD2397">
        <v>13</v>
      </c>
      <c r="BE2397">
        <v>272</v>
      </c>
      <c r="BF2397">
        <v>277</v>
      </c>
      <c r="BG2397">
        <v>518</v>
      </c>
      <c r="BJ2397">
        <v>1</v>
      </c>
      <c r="BL2397" t="s">
        <v>4987</v>
      </c>
      <c r="BM2397" s="4">
        <v>43283.462881944448</v>
      </c>
      <c r="BN2397" s="4">
        <v>43283.466770833336</v>
      </c>
      <c r="BO2397" s="4">
        <v>43283.466770833336</v>
      </c>
      <c r="BP2397" t="s">
        <v>92</v>
      </c>
      <c r="BQ2397" t="s">
        <v>93</v>
      </c>
      <c r="BR2397" t="s">
        <v>94</v>
      </c>
    </row>
    <row r="2398" spans="1:70" x14ac:dyDescent="0.3">
      <c r="A2398" t="str">
        <f>"201660E0100"</f>
        <v>201660E0100</v>
      </c>
      <c r="B2398" s="2" t="s">
        <v>4988</v>
      </c>
      <c r="C2398">
        <v>20</v>
      </c>
      <c r="D2398" t="s">
        <v>88</v>
      </c>
      <c r="E2398">
        <v>364</v>
      </c>
      <c r="F2398" t="s">
        <v>4964</v>
      </c>
      <c r="G2398">
        <v>1660</v>
      </c>
      <c r="H2398">
        <v>1</v>
      </c>
      <c r="I2398" t="s">
        <v>156</v>
      </c>
      <c r="J2398">
        <v>0</v>
      </c>
      <c r="K2398">
        <v>2</v>
      </c>
      <c r="L2398">
        <v>5</v>
      </c>
      <c r="M2398">
        <v>147</v>
      </c>
      <c r="N2398">
        <v>241</v>
      </c>
      <c r="O2398">
        <v>4</v>
      </c>
      <c r="P2398">
        <v>241</v>
      </c>
      <c r="Q2398">
        <v>43</v>
      </c>
      <c r="R2398">
        <v>45</v>
      </c>
      <c r="S2398">
        <v>12</v>
      </c>
      <c r="T2398">
        <v>9</v>
      </c>
      <c r="U2398">
        <v>20</v>
      </c>
      <c r="V2398">
        <v>1</v>
      </c>
      <c r="X2398">
        <v>5</v>
      </c>
      <c r="Y2398">
        <v>82</v>
      </c>
      <c r="Z2398">
        <v>0</v>
      </c>
      <c r="AC2398">
        <v>3</v>
      </c>
      <c r="AD2398">
        <v>0</v>
      </c>
      <c r="AE2398">
        <v>0</v>
      </c>
      <c r="AF2398">
        <v>0</v>
      </c>
      <c r="AG2398">
        <v>0</v>
      </c>
      <c r="AH2398">
        <v>0</v>
      </c>
      <c r="AI2398">
        <v>0</v>
      </c>
      <c r="AJ2398">
        <v>0</v>
      </c>
      <c r="AK2398">
        <v>1</v>
      </c>
      <c r="AL2398">
        <v>3</v>
      </c>
      <c r="AM2398">
        <v>0</v>
      </c>
      <c r="AN2398">
        <v>0</v>
      </c>
      <c r="BC2398" t="s">
        <v>105</v>
      </c>
      <c r="BD2398">
        <v>17</v>
      </c>
      <c r="BE2398">
        <v>241</v>
      </c>
      <c r="BF2398">
        <v>241</v>
      </c>
      <c r="BG2398">
        <v>366</v>
      </c>
      <c r="BI2398" t="s">
        <v>106</v>
      </c>
      <c r="BJ2398">
        <v>1</v>
      </c>
      <c r="BL2398" t="s">
        <v>4989</v>
      </c>
      <c r="BM2398" s="4">
        <v>43283.318657407406</v>
      </c>
      <c r="BN2398" s="4">
        <v>43283.340486111112</v>
      </c>
      <c r="BO2398" s="4">
        <v>43283.340486111112</v>
      </c>
      <c r="BP2398" t="s">
        <v>92</v>
      </c>
      <c r="BQ2398" t="s">
        <v>93</v>
      </c>
      <c r="BR2398" t="s">
        <v>94</v>
      </c>
    </row>
    <row r="2399" spans="1:70" x14ac:dyDescent="0.3">
      <c r="A2399" t="str">
        <f>"201661B0100"</f>
        <v>201661B0100</v>
      </c>
      <c r="B2399" t="s">
        <v>4990</v>
      </c>
      <c r="C2399">
        <v>20</v>
      </c>
      <c r="D2399" t="s">
        <v>88</v>
      </c>
      <c r="E2399">
        <v>364</v>
      </c>
      <c r="F2399" t="s">
        <v>4964</v>
      </c>
      <c r="G2399">
        <v>1661</v>
      </c>
      <c r="H2399">
        <v>1</v>
      </c>
      <c r="I2399" t="s">
        <v>90</v>
      </c>
      <c r="J2399">
        <v>0</v>
      </c>
      <c r="K2399">
        <v>2</v>
      </c>
      <c r="L2399">
        <v>5</v>
      </c>
      <c r="M2399">
        <v>156</v>
      </c>
      <c r="N2399">
        <v>421</v>
      </c>
      <c r="O2399">
        <v>2</v>
      </c>
      <c r="P2399">
        <v>420</v>
      </c>
      <c r="Q2399">
        <v>66</v>
      </c>
      <c r="R2399">
        <v>97</v>
      </c>
      <c r="S2399">
        <v>10</v>
      </c>
      <c r="T2399">
        <v>7</v>
      </c>
      <c r="U2399">
        <v>63</v>
      </c>
      <c r="V2399">
        <v>9</v>
      </c>
      <c r="X2399">
        <v>4</v>
      </c>
      <c r="Y2399">
        <v>108</v>
      </c>
      <c r="Z2399">
        <v>2</v>
      </c>
      <c r="AC2399">
        <v>0</v>
      </c>
      <c r="AD2399">
        <v>0</v>
      </c>
      <c r="AE2399">
        <v>0</v>
      </c>
      <c r="AF2399">
        <v>0</v>
      </c>
      <c r="AG2399">
        <v>5</v>
      </c>
      <c r="AH2399">
        <v>6</v>
      </c>
      <c r="AI2399">
        <v>0</v>
      </c>
      <c r="AJ2399">
        <v>0</v>
      </c>
      <c r="AK2399">
        <v>4</v>
      </c>
      <c r="AL2399">
        <v>5</v>
      </c>
      <c r="AM2399">
        <v>0</v>
      </c>
      <c r="AN2399">
        <v>1</v>
      </c>
      <c r="BC2399">
        <v>0</v>
      </c>
      <c r="BD2399">
        <v>33</v>
      </c>
      <c r="BE2399">
        <v>420</v>
      </c>
      <c r="BF2399">
        <v>420</v>
      </c>
      <c r="BG2399">
        <v>555</v>
      </c>
      <c r="BJ2399">
        <v>1</v>
      </c>
      <c r="BL2399" t="s">
        <v>4991</v>
      </c>
      <c r="BM2399" s="4">
        <v>43283.230011574073</v>
      </c>
      <c r="BN2399" s="4">
        <v>43283.260335648149</v>
      </c>
      <c r="BO2399" s="4">
        <v>43283.260335648149</v>
      </c>
      <c r="BP2399" t="s">
        <v>92</v>
      </c>
      <c r="BQ2399" t="s">
        <v>93</v>
      </c>
      <c r="BR2399" t="s">
        <v>94</v>
      </c>
    </row>
    <row r="2400" spans="1:70" x14ac:dyDescent="0.3">
      <c r="A2400" t="str">
        <f>"201661C0100"</f>
        <v>201661C0100</v>
      </c>
      <c r="B2400" t="s">
        <v>4992</v>
      </c>
      <c r="C2400">
        <v>20</v>
      </c>
      <c r="D2400" t="s">
        <v>88</v>
      </c>
      <c r="E2400">
        <v>364</v>
      </c>
      <c r="F2400" t="s">
        <v>4964</v>
      </c>
      <c r="G2400">
        <v>1661</v>
      </c>
      <c r="H2400">
        <v>1</v>
      </c>
      <c r="I2400" t="s">
        <v>98</v>
      </c>
      <c r="J2400">
        <v>0</v>
      </c>
      <c r="K2400">
        <v>2</v>
      </c>
      <c r="L2400">
        <v>5</v>
      </c>
      <c r="M2400">
        <v>148</v>
      </c>
      <c r="N2400">
        <v>429</v>
      </c>
      <c r="O2400">
        <v>2</v>
      </c>
      <c r="P2400">
        <v>429</v>
      </c>
      <c r="Q2400">
        <v>90</v>
      </c>
      <c r="R2400">
        <v>107</v>
      </c>
      <c r="S2400">
        <v>17</v>
      </c>
      <c r="T2400">
        <v>10</v>
      </c>
      <c r="U2400">
        <v>65</v>
      </c>
      <c r="V2400">
        <v>7</v>
      </c>
      <c r="X2400">
        <v>2</v>
      </c>
      <c r="Y2400">
        <v>90</v>
      </c>
      <c r="Z2400">
        <v>1</v>
      </c>
      <c r="AC2400">
        <v>0</v>
      </c>
      <c r="AD2400">
        <v>3</v>
      </c>
      <c r="AE2400">
        <v>0</v>
      </c>
      <c r="AF2400">
        <v>0</v>
      </c>
      <c r="AG2400">
        <v>2</v>
      </c>
      <c r="AH2400">
        <v>8</v>
      </c>
      <c r="AI2400">
        <v>0</v>
      </c>
      <c r="AJ2400">
        <v>0</v>
      </c>
      <c r="AK2400">
        <v>2</v>
      </c>
      <c r="AL2400">
        <v>0</v>
      </c>
      <c r="AM2400">
        <v>3</v>
      </c>
      <c r="AN2400">
        <v>5</v>
      </c>
      <c r="BC2400">
        <v>0</v>
      </c>
      <c r="BD2400">
        <v>17</v>
      </c>
      <c r="BE2400">
        <v>429</v>
      </c>
      <c r="BF2400">
        <v>429</v>
      </c>
      <c r="BG2400">
        <v>555</v>
      </c>
      <c r="BJ2400">
        <v>1</v>
      </c>
      <c r="BL2400" t="s">
        <v>4993</v>
      </c>
      <c r="BM2400" s="4">
        <v>43283.231944444444</v>
      </c>
      <c r="BN2400" s="4">
        <v>43283.253611111111</v>
      </c>
      <c r="BO2400" s="4">
        <v>43283.253611111111</v>
      </c>
      <c r="BP2400" t="s">
        <v>92</v>
      </c>
      <c r="BQ2400" t="s">
        <v>93</v>
      </c>
      <c r="BR2400" t="s">
        <v>94</v>
      </c>
    </row>
    <row r="2401" spans="1:70" x14ac:dyDescent="0.3">
      <c r="A2401" t="str">
        <f>"201662B0100"</f>
        <v>201662B0100</v>
      </c>
      <c r="B2401" t="s">
        <v>4994</v>
      </c>
      <c r="C2401">
        <v>20</v>
      </c>
      <c r="D2401" t="s">
        <v>88</v>
      </c>
      <c r="E2401">
        <v>364</v>
      </c>
      <c r="F2401" t="s">
        <v>4964</v>
      </c>
      <c r="G2401">
        <v>1662</v>
      </c>
      <c r="H2401">
        <v>1</v>
      </c>
      <c r="I2401" t="s">
        <v>90</v>
      </c>
      <c r="J2401">
        <v>0</v>
      </c>
      <c r="K2401">
        <v>2</v>
      </c>
      <c r="L2401">
        <v>5</v>
      </c>
      <c r="M2401">
        <v>127</v>
      </c>
      <c r="N2401">
        <v>400</v>
      </c>
      <c r="O2401">
        <v>2</v>
      </c>
      <c r="P2401">
        <v>403</v>
      </c>
      <c r="Q2401">
        <v>95</v>
      </c>
      <c r="R2401">
        <v>30</v>
      </c>
      <c r="S2401">
        <v>7</v>
      </c>
      <c r="T2401">
        <v>39</v>
      </c>
      <c r="U2401">
        <v>89</v>
      </c>
      <c r="V2401">
        <v>3</v>
      </c>
      <c r="X2401">
        <v>2</v>
      </c>
      <c r="Y2401">
        <v>112</v>
      </c>
      <c r="Z2401">
        <v>2</v>
      </c>
      <c r="AC2401">
        <v>0</v>
      </c>
      <c r="AD2401">
        <v>0</v>
      </c>
      <c r="AE2401">
        <v>0</v>
      </c>
      <c r="AF2401">
        <v>0</v>
      </c>
      <c r="AG2401">
        <v>0</v>
      </c>
      <c r="AH2401">
        <v>2</v>
      </c>
      <c r="AI2401">
        <v>0</v>
      </c>
      <c r="AJ2401">
        <v>0</v>
      </c>
      <c r="AK2401">
        <v>3</v>
      </c>
      <c r="AL2401">
        <v>4</v>
      </c>
      <c r="AM2401">
        <v>0</v>
      </c>
      <c r="AN2401">
        <v>0</v>
      </c>
      <c r="BC2401">
        <v>0</v>
      </c>
      <c r="BD2401">
        <v>15</v>
      </c>
      <c r="BE2401">
        <v>403</v>
      </c>
      <c r="BF2401">
        <v>403</v>
      </c>
      <c r="BG2401">
        <v>508</v>
      </c>
      <c r="BJ2401">
        <v>1</v>
      </c>
      <c r="BL2401" t="s">
        <v>4995</v>
      </c>
      <c r="BM2401" s="4">
        <v>43283.239861111113</v>
      </c>
      <c r="BN2401" s="4">
        <v>43283.262442129628</v>
      </c>
      <c r="BO2401" s="4">
        <v>43283.262442129628</v>
      </c>
      <c r="BP2401" t="s">
        <v>92</v>
      </c>
      <c r="BQ2401" t="s">
        <v>93</v>
      </c>
      <c r="BR2401" t="s">
        <v>94</v>
      </c>
    </row>
    <row r="2402" spans="1:70" x14ac:dyDescent="0.3">
      <c r="A2402" t="str">
        <f>"201662C0100"</f>
        <v>201662C0100</v>
      </c>
      <c r="B2402" t="s">
        <v>4996</v>
      </c>
      <c r="C2402">
        <v>20</v>
      </c>
      <c r="D2402" t="s">
        <v>88</v>
      </c>
      <c r="E2402">
        <v>364</v>
      </c>
      <c r="F2402" t="s">
        <v>4964</v>
      </c>
      <c r="G2402">
        <v>1662</v>
      </c>
      <c r="H2402">
        <v>1</v>
      </c>
      <c r="I2402" t="s">
        <v>98</v>
      </c>
      <c r="J2402">
        <v>0</v>
      </c>
      <c r="K2402">
        <v>2</v>
      </c>
      <c r="L2402">
        <v>5</v>
      </c>
      <c r="M2402">
        <v>125</v>
      </c>
      <c r="N2402">
        <v>405</v>
      </c>
      <c r="O2402">
        <v>3</v>
      </c>
      <c r="P2402">
        <v>405</v>
      </c>
      <c r="Q2402">
        <v>108</v>
      </c>
      <c r="R2402">
        <v>52</v>
      </c>
      <c r="S2402">
        <v>12</v>
      </c>
      <c r="T2402">
        <v>19</v>
      </c>
      <c r="U2402">
        <v>90</v>
      </c>
      <c r="V2402">
        <v>5</v>
      </c>
      <c r="X2402">
        <v>5</v>
      </c>
      <c r="Y2402">
        <v>81</v>
      </c>
      <c r="Z2402">
        <v>3</v>
      </c>
      <c r="AC2402">
        <v>0</v>
      </c>
      <c r="AD2402">
        <v>2</v>
      </c>
      <c r="AE2402">
        <v>0</v>
      </c>
      <c r="AF2402">
        <v>0</v>
      </c>
      <c r="AG2402">
        <v>1</v>
      </c>
      <c r="AH2402">
        <v>3</v>
      </c>
      <c r="AI2402">
        <v>0</v>
      </c>
      <c r="AJ2402">
        <v>0</v>
      </c>
      <c r="AK2402">
        <v>2</v>
      </c>
      <c r="AL2402">
        <v>5</v>
      </c>
      <c r="AM2402">
        <v>0</v>
      </c>
      <c r="AN2402">
        <v>0</v>
      </c>
      <c r="BC2402">
        <v>0</v>
      </c>
      <c r="BD2402">
        <v>18</v>
      </c>
      <c r="BE2402">
        <v>406</v>
      </c>
      <c r="BF2402">
        <v>406</v>
      </c>
      <c r="BG2402">
        <v>508</v>
      </c>
      <c r="BJ2402">
        <v>1</v>
      </c>
      <c r="BL2402" t="s">
        <v>4997</v>
      </c>
      <c r="BM2402" s="4">
        <v>43283.242384259262</v>
      </c>
      <c r="BN2402" s="4">
        <v>43283.264386574076</v>
      </c>
      <c r="BO2402" s="4">
        <v>43283.264386574076</v>
      </c>
      <c r="BP2402" t="s">
        <v>92</v>
      </c>
      <c r="BQ2402" t="s">
        <v>93</v>
      </c>
      <c r="BR2402" t="s">
        <v>94</v>
      </c>
    </row>
    <row r="2403" spans="1:70" x14ac:dyDescent="0.3">
      <c r="A2403" t="str">
        <f>"201662E0100"</f>
        <v>201662E0100</v>
      </c>
      <c r="B2403" s="2" t="s">
        <v>4998</v>
      </c>
      <c r="C2403">
        <v>20</v>
      </c>
      <c r="D2403" t="s">
        <v>88</v>
      </c>
      <c r="E2403">
        <v>364</v>
      </c>
      <c r="F2403" t="s">
        <v>4964</v>
      </c>
      <c r="G2403">
        <v>1662</v>
      </c>
      <c r="H2403">
        <v>1</v>
      </c>
      <c r="I2403" t="s">
        <v>156</v>
      </c>
      <c r="J2403">
        <v>0</v>
      </c>
      <c r="K2403">
        <v>2</v>
      </c>
      <c r="L2403">
        <v>5</v>
      </c>
      <c r="BG2403">
        <v>228</v>
      </c>
      <c r="BI2403" t="s">
        <v>365</v>
      </c>
      <c r="BJ2403">
        <v>0</v>
      </c>
      <c r="BL2403" t="s">
        <v>4999</v>
      </c>
      <c r="BM2403" s="4">
        <v>43283.413344907407</v>
      </c>
      <c r="BN2403" s="4">
        <v>43283.416898148149</v>
      </c>
      <c r="BO2403" s="4">
        <v>43283.416898148149</v>
      </c>
      <c r="BP2403" t="s">
        <v>92</v>
      </c>
      <c r="BQ2403" t="s">
        <v>93</v>
      </c>
      <c r="BR2403" t="s">
        <v>94</v>
      </c>
    </row>
    <row r="2404" spans="1:70" x14ac:dyDescent="0.3">
      <c r="A2404" t="str">
        <f>"201663B0100"</f>
        <v>201663B0100</v>
      </c>
      <c r="B2404" t="s">
        <v>5000</v>
      </c>
      <c r="C2404">
        <v>20</v>
      </c>
      <c r="D2404" t="s">
        <v>88</v>
      </c>
      <c r="E2404">
        <v>364</v>
      </c>
      <c r="F2404" t="s">
        <v>4964</v>
      </c>
      <c r="G2404">
        <v>1663</v>
      </c>
      <c r="H2404">
        <v>1</v>
      </c>
      <c r="I2404" t="s">
        <v>90</v>
      </c>
      <c r="J2404">
        <v>0</v>
      </c>
      <c r="K2404">
        <v>2</v>
      </c>
      <c r="L2404">
        <v>5</v>
      </c>
      <c r="M2404">
        <v>108</v>
      </c>
      <c r="N2404">
        <v>294</v>
      </c>
      <c r="O2404">
        <v>2</v>
      </c>
      <c r="P2404">
        <v>294</v>
      </c>
      <c r="Q2404">
        <v>63</v>
      </c>
      <c r="R2404">
        <v>64</v>
      </c>
      <c r="S2404">
        <v>10</v>
      </c>
      <c r="T2404">
        <v>5</v>
      </c>
      <c r="U2404">
        <v>82</v>
      </c>
      <c r="V2404">
        <v>3</v>
      </c>
      <c r="X2404">
        <v>2</v>
      </c>
      <c r="Y2404">
        <v>26</v>
      </c>
      <c r="Z2404">
        <v>2</v>
      </c>
      <c r="AC2404">
        <v>1</v>
      </c>
      <c r="AD2404">
        <v>0</v>
      </c>
      <c r="AE2404">
        <v>1</v>
      </c>
      <c r="AF2404">
        <v>0</v>
      </c>
      <c r="AG2404">
        <v>0</v>
      </c>
      <c r="AH2404">
        <v>3</v>
      </c>
      <c r="AI2404">
        <v>0</v>
      </c>
      <c r="AJ2404">
        <v>0</v>
      </c>
      <c r="AK2404">
        <v>5</v>
      </c>
      <c r="AL2404">
        <v>5</v>
      </c>
      <c r="AM2404">
        <v>0</v>
      </c>
      <c r="AN2404">
        <v>1</v>
      </c>
      <c r="BC2404">
        <v>0</v>
      </c>
      <c r="BD2404">
        <v>8</v>
      </c>
      <c r="BE2404">
        <v>281</v>
      </c>
      <c r="BF2404">
        <v>281</v>
      </c>
      <c r="BG2404">
        <v>380</v>
      </c>
      <c r="BJ2404">
        <v>1</v>
      </c>
      <c r="BL2404" t="s">
        <v>5001</v>
      </c>
      <c r="BM2404" s="4">
        <v>43283.290358796294</v>
      </c>
      <c r="BN2404" s="4">
        <v>43283.320497685185</v>
      </c>
      <c r="BO2404" s="4">
        <v>43283.320497685185</v>
      </c>
      <c r="BP2404" t="s">
        <v>92</v>
      </c>
      <c r="BQ2404" t="s">
        <v>93</v>
      </c>
      <c r="BR2404" t="s">
        <v>94</v>
      </c>
    </row>
    <row r="2405" spans="1:70" x14ac:dyDescent="0.3">
      <c r="A2405" t="str">
        <f>"201663C0100"</f>
        <v>201663C0100</v>
      </c>
      <c r="B2405" t="s">
        <v>5002</v>
      </c>
      <c r="C2405">
        <v>20</v>
      </c>
      <c r="D2405" t="s">
        <v>88</v>
      </c>
      <c r="E2405">
        <v>364</v>
      </c>
      <c r="F2405" t="s">
        <v>4964</v>
      </c>
      <c r="G2405">
        <v>1663</v>
      </c>
      <c r="H2405">
        <v>1</v>
      </c>
      <c r="I2405" t="s">
        <v>98</v>
      </c>
      <c r="J2405">
        <v>0</v>
      </c>
      <c r="K2405">
        <v>2</v>
      </c>
      <c r="L2405">
        <v>5</v>
      </c>
      <c r="M2405">
        <v>113</v>
      </c>
      <c r="N2405">
        <v>290</v>
      </c>
      <c r="O2405">
        <v>2</v>
      </c>
      <c r="P2405">
        <v>289</v>
      </c>
      <c r="Q2405">
        <v>81</v>
      </c>
      <c r="R2405">
        <v>56</v>
      </c>
      <c r="S2405">
        <v>5</v>
      </c>
      <c r="T2405">
        <v>1</v>
      </c>
      <c r="U2405">
        <v>94</v>
      </c>
      <c r="V2405">
        <v>5</v>
      </c>
      <c r="X2405">
        <v>1</v>
      </c>
      <c r="Y2405">
        <v>20</v>
      </c>
      <c r="Z2405">
        <v>0</v>
      </c>
      <c r="AC2405">
        <v>3</v>
      </c>
      <c r="AD2405">
        <v>1</v>
      </c>
      <c r="AE2405">
        <v>0</v>
      </c>
      <c r="AF2405">
        <v>0</v>
      </c>
      <c r="AG2405">
        <v>0</v>
      </c>
      <c r="AH2405">
        <v>1</v>
      </c>
      <c r="AI2405">
        <v>1</v>
      </c>
      <c r="AJ2405">
        <v>0</v>
      </c>
      <c r="AK2405">
        <v>1</v>
      </c>
      <c r="AL2405">
        <v>8</v>
      </c>
      <c r="AM2405">
        <v>0</v>
      </c>
      <c r="AN2405">
        <v>0</v>
      </c>
      <c r="BC2405">
        <v>0</v>
      </c>
      <c r="BD2405">
        <v>11</v>
      </c>
      <c r="BE2405">
        <v>289</v>
      </c>
      <c r="BF2405">
        <v>289</v>
      </c>
      <c r="BG2405">
        <v>380</v>
      </c>
      <c r="BJ2405">
        <v>1</v>
      </c>
      <c r="BL2405" t="s">
        <v>5003</v>
      </c>
      <c r="BM2405" s="4">
        <v>43283.288194444445</v>
      </c>
      <c r="BN2405" s="4">
        <v>43283.314120370371</v>
      </c>
      <c r="BO2405" s="4">
        <v>43283.314120370371</v>
      </c>
      <c r="BP2405" t="s">
        <v>92</v>
      </c>
      <c r="BQ2405" t="s">
        <v>93</v>
      </c>
      <c r="BR2405" t="s">
        <v>94</v>
      </c>
    </row>
    <row r="2406" spans="1:70" x14ac:dyDescent="0.3">
      <c r="A2406" t="str">
        <f>"201663E0100"</f>
        <v>201663E0100</v>
      </c>
      <c r="B2406" s="2" t="s">
        <v>5004</v>
      </c>
      <c r="C2406">
        <v>20</v>
      </c>
      <c r="D2406" t="s">
        <v>88</v>
      </c>
      <c r="E2406">
        <v>364</v>
      </c>
      <c r="F2406" t="s">
        <v>4964</v>
      </c>
      <c r="G2406">
        <v>1663</v>
      </c>
      <c r="H2406">
        <v>1</v>
      </c>
      <c r="I2406" t="s">
        <v>156</v>
      </c>
      <c r="J2406">
        <v>0</v>
      </c>
      <c r="K2406">
        <v>2</v>
      </c>
      <c r="L2406">
        <v>5</v>
      </c>
      <c r="M2406">
        <v>39</v>
      </c>
      <c r="N2406">
        <v>81</v>
      </c>
      <c r="O2406">
        <v>4</v>
      </c>
      <c r="P2406">
        <v>81</v>
      </c>
      <c r="Q2406">
        <v>12</v>
      </c>
      <c r="R2406">
        <v>18</v>
      </c>
      <c r="S2406">
        <v>0</v>
      </c>
      <c r="T2406">
        <v>1</v>
      </c>
      <c r="U2406">
        <v>30</v>
      </c>
      <c r="V2406">
        <v>0</v>
      </c>
      <c r="X2406">
        <v>0</v>
      </c>
      <c r="Y2406">
        <v>10</v>
      </c>
      <c r="Z2406">
        <v>1</v>
      </c>
      <c r="AC2406">
        <v>0</v>
      </c>
      <c r="AD2406">
        <v>1</v>
      </c>
      <c r="AE2406">
        <v>0</v>
      </c>
      <c r="AF2406">
        <v>0</v>
      </c>
      <c r="AG2406">
        <v>0</v>
      </c>
      <c r="AH2406">
        <v>0</v>
      </c>
      <c r="AI2406">
        <v>0</v>
      </c>
      <c r="AJ2406">
        <v>0</v>
      </c>
      <c r="AK2406">
        <v>1</v>
      </c>
      <c r="AL2406">
        <v>3</v>
      </c>
      <c r="AM2406">
        <v>0</v>
      </c>
      <c r="AN2406">
        <v>0</v>
      </c>
      <c r="BC2406">
        <v>0</v>
      </c>
      <c r="BD2406">
        <v>4</v>
      </c>
      <c r="BE2406">
        <v>81</v>
      </c>
      <c r="BF2406">
        <v>81</v>
      </c>
      <c r="BG2406">
        <v>98</v>
      </c>
      <c r="BJ2406">
        <v>1</v>
      </c>
      <c r="BL2406" t="s">
        <v>5005</v>
      </c>
      <c r="BM2406" s="4">
        <v>43283.61378472222</v>
      </c>
      <c r="BN2406" s="4">
        <v>43283.62195601852</v>
      </c>
      <c r="BO2406" s="4">
        <v>43283.62195601852</v>
      </c>
      <c r="BP2406" t="s">
        <v>92</v>
      </c>
      <c r="BQ2406" t="s">
        <v>93</v>
      </c>
      <c r="BR2406" t="s">
        <v>94</v>
      </c>
    </row>
    <row r="2407" spans="1:70" x14ac:dyDescent="0.3">
      <c r="A2407" t="str">
        <f>"201663E0200"</f>
        <v>201663E0200</v>
      </c>
      <c r="B2407" s="2" t="s">
        <v>5006</v>
      </c>
      <c r="C2407">
        <v>20</v>
      </c>
      <c r="D2407" t="s">
        <v>88</v>
      </c>
      <c r="E2407">
        <v>364</v>
      </c>
      <c r="F2407" t="s">
        <v>4964</v>
      </c>
      <c r="G2407">
        <v>1663</v>
      </c>
      <c r="H2407">
        <v>2</v>
      </c>
      <c r="I2407" t="s">
        <v>156</v>
      </c>
      <c r="J2407">
        <v>0</v>
      </c>
      <c r="K2407">
        <v>2</v>
      </c>
      <c r="L2407">
        <v>5</v>
      </c>
      <c r="M2407">
        <v>44</v>
      </c>
      <c r="N2407">
        <v>109</v>
      </c>
      <c r="O2407">
        <v>2</v>
      </c>
      <c r="P2407">
        <v>109</v>
      </c>
      <c r="Q2407">
        <v>16</v>
      </c>
      <c r="R2407">
        <v>11</v>
      </c>
      <c r="S2407">
        <v>1</v>
      </c>
      <c r="T2407">
        <v>0</v>
      </c>
      <c r="U2407">
        <v>44</v>
      </c>
      <c r="V2407">
        <v>3</v>
      </c>
      <c r="X2407">
        <v>1</v>
      </c>
      <c r="Y2407">
        <v>26</v>
      </c>
      <c r="Z2407">
        <v>0</v>
      </c>
      <c r="AC2407">
        <v>0</v>
      </c>
      <c r="AD2407">
        <v>0</v>
      </c>
      <c r="AE2407">
        <v>0</v>
      </c>
      <c r="AF2407">
        <v>1</v>
      </c>
      <c r="AG2407">
        <v>0</v>
      </c>
      <c r="AH2407">
        <v>1</v>
      </c>
      <c r="AI2407">
        <v>0</v>
      </c>
      <c r="AJ2407">
        <v>0</v>
      </c>
      <c r="AK2407">
        <v>2</v>
      </c>
      <c r="AL2407">
        <v>1</v>
      </c>
      <c r="AM2407">
        <v>0</v>
      </c>
      <c r="AN2407">
        <v>0</v>
      </c>
      <c r="BC2407">
        <v>0</v>
      </c>
      <c r="BD2407">
        <v>2</v>
      </c>
      <c r="BE2407">
        <v>109</v>
      </c>
      <c r="BF2407">
        <v>109</v>
      </c>
      <c r="BG2407">
        <v>131</v>
      </c>
      <c r="BJ2407">
        <v>1</v>
      </c>
      <c r="BL2407" t="s">
        <v>5007</v>
      </c>
      <c r="BM2407" s="4">
        <v>43283.615486111114</v>
      </c>
      <c r="BN2407" s="4">
        <v>43283.618657407409</v>
      </c>
      <c r="BO2407" s="4">
        <v>43283.618657407409</v>
      </c>
      <c r="BP2407" t="s">
        <v>92</v>
      </c>
      <c r="BQ2407" t="s">
        <v>93</v>
      </c>
      <c r="BR2407" t="s">
        <v>94</v>
      </c>
    </row>
    <row r="2408" spans="1:70" x14ac:dyDescent="0.3">
      <c r="A2408" t="str">
        <f>"201664B0100"</f>
        <v>201664B0100</v>
      </c>
      <c r="B2408" t="s">
        <v>5008</v>
      </c>
      <c r="C2408">
        <v>20</v>
      </c>
      <c r="D2408" t="s">
        <v>88</v>
      </c>
      <c r="E2408">
        <v>364</v>
      </c>
      <c r="F2408" t="s">
        <v>4964</v>
      </c>
      <c r="G2408">
        <v>1664</v>
      </c>
      <c r="H2408">
        <v>1</v>
      </c>
      <c r="I2408" t="s">
        <v>90</v>
      </c>
      <c r="J2408">
        <v>0</v>
      </c>
      <c r="K2408">
        <v>2</v>
      </c>
      <c r="L2408">
        <v>5</v>
      </c>
      <c r="M2408">
        <v>157</v>
      </c>
      <c r="N2408">
        <v>404</v>
      </c>
      <c r="O2408">
        <v>1</v>
      </c>
      <c r="P2408">
        <v>404</v>
      </c>
      <c r="Q2408">
        <v>90</v>
      </c>
      <c r="R2408">
        <v>79</v>
      </c>
      <c r="S2408">
        <v>3</v>
      </c>
      <c r="T2408">
        <v>13</v>
      </c>
      <c r="U2408">
        <v>120</v>
      </c>
      <c r="V2408">
        <v>5</v>
      </c>
      <c r="X2408">
        <v>4</v>
      </c>
      <c r="Y2408">
        <v>52</v>
      </c>
      <c r="Z2408">
        <v>1</v>
      </c>
      <c r="AC2408">
        <v>4</v>
      </c>
      <c r="AD2408">
        <v>3</v>
      </c>
      <c r="AE2408">
        <v>3</v>
      </c>
      <c r="AF2408">
        <v>0</v>
      </c>
      <c r="AG2408">
        <v>2</v>
      </c>
      <c r="AH2408">
        <v>0</v>
      </c>
      <c r="AI2408">
        <v>0</v>
      </c>
      <c r="AJ2408">
        <v>0</v>
      </c>
      <c r="AK2408">
        <v>3</v>
      </c>
      <c r="AL2408">
        <v>3</v>
      </c>
      <c r="AM2408">
        <v>0</v>
      </c>
      <c r="AN2408">
        <v>0</v>
      </c>
      <c r="BC2408">
        <v>0</v>
      </c>
      <c r="BD2408">
        <v>19</v>
      </c>
      <c r="BE2408">
        <v>404</v>
      </c>
      <c r="BF2408">
        <v>404</v>
      </c>
      <c r="BG2408">
        <v>539</v>
      </c>
      <c r="BJ2408">
        <v>1</v>
      </c>
      <c r="BL2408" t="s">
        <v>5009</v>
      </c>
      <c r="BM2408" s="4">
        <v>43283.288831018515</v>
      </c>
      <c r="BN2408" s="4">
        <v>43283.31659722222</v>
      </c>
      <c r="BO2408" s="4">
        <v>43283.31659722222</v>
      </c>
      <c r="BP2408" t="s">
        <v>92</v>
      </c>
      <c r="BQ2408" t="s">
        <v>93</v>
      </c>
      <c r="BR2408" t="s">
        <v>94</v>
      </c>
    </row>
    <row r="2409" spans="1:70" x14ac:dyDescent="0.3">
      <c r="A2409" t="str">
        <f>"201664E0100"</f>
        <v>201664E0100</v>
      </c>
      <c r="B2409" s="2" t="s">
        <v>5010</v>
      </c>
      <c r="C2409">
        <v>20</v>
      </c>
      <c r="D2409" t="s">
        <v>88</v>
      </c>
      <c r="E2409">
        <v>364</v>
      </c>
      <c r="F2409" t="s">
        <v>4964</v>
      </c>
      <c r="G2409">
        <v>1664</v>
      </c>
      <c r="H2409">
        <v>1</v>
      </c>
      <c r="I2409" t="s">
        <v>156</v>
      </c>
      <c r="J2409">
        <v>0</v>
      </c>
      <c r="K2409">
        <v>2</v>
      </c>
      <c r="L2409">
        <v>5</v>
      </c>
      <c r="M2409">
        <v>61</v>
      </c>
      <c r="N2409">
        <v>105</v>
      </c>
      <c r="O2409">
        <v>6</v>
      </c>
      <c r="P2409">
        <v>105</v>
      </c>
      <c r="Q2409">
        <v>16</v>
      </c>
      <c r="R2409">
        <v>22</v>
      </c>
      <c r="S2409">
        <v>3</v>
      </c>
      <c r="T2409">
        <v>2</v>
      </c>
      <c r="U2409">
        <v>40</v>
      </c>
      <c r="V2409">
        <v>2</v>
      </c>
      <c r="X2409">
        <v>5</v>
      </c>
      <c r="Y2409">
        <v>10</v>
      </c>
      <c r="Z2409">
        <v>0</v>
      </c>
      <c r="AC2409">
        <v>1</v>
      </c>
      <c r="AD2409">
        <v>0</v>
      </c>
      <c r="AE2409">
        <v>0</v>
      </c>
      <c r="AF2409">
        <v>0</v>
      </c>
      <c r="AG2409">
        <v>0</v>
      </c>
      <c r="AH2409">
        <v>2</v>
      </c>
      <c r="AI2409">
        <v>0</v>
      </c>
      <c r="AJ2409">
        <v>0</v>
      </c>
      <c r="AK2409">
        <v>0</v>
      </c>
      <c r="AL2409">
        <v>1</v>
      </c>
      <c r="AM2409">
        <v>0</v>
      </c>
      <c r="AN2409">
        <v>0</v>
      </c>
      <c r="BC2409">
        <v>0</v>
      </c>
      <c r="BD2409">
        <v>1</v>
      </c>
      <c r="BE2409">
        <v>105</v>
      </c>
      <c r="BF2409">
        <v>105</v>
      </c>
      <c r="BG2409">
        <v>144</v>
      </c>
      <c r="BJ2409">
        <v>1</v>
      </c>
      <c r="BL2409" t="s">
        <v>5011</v>
      </c>
      <c r="BM2409" s="4">
        <v>43283.23474537037</v>
      </c>
      <c r="BN2409" s="4">
        <v>43283.260625000003</v>
      </c>
      <c r="BO2409" s="4">
        <v>43283.260625000003</v>
      </c>
      <c r="BP2409" t="s">
        <v>92</v>
      </c>
      <c r="BQ2409" t="s">
        <v>93</v>
      </c>
      <c r="BR2409" t="s">
        <v>94</v>
      </c>
    </row>
    <row r="2410" spans="1:70" x14ac:dyDescent="0.3">
      <c r="A2410" t="str">
        <f>"201686B0100"</f>
        <v>201686B0100</v>
      </c>
      <c r="B2410" t="s">
        <v>5012</v>
      </c>
      <c r="C2410">
        <v>20</v>
      </c>
      <c r="D2410" t="s">
        <v>88</v>
      </c>
      <c r="E2410">
        <v>376</v>
      </c>
      <c r="F2410" t="s">
        <v>5013</v>
      </c>
      <c r="G2410">
        <v>1686</v>
      </c>
      <c r="H2410">
        <v>1</v>
      </c>
      <c r="I2410" t="s">
        <v>90</v>
      </c>
      <c r="J2410">
        <v>0</v>
      </c>
      <c r="K2410">
        <v>2</v>
      </c>
      <c r="L2410">
        <v>5</v>
      </c>
      <c r="M2410">
        <v>200</v>
      </c>
      <c r="N2410">
        <v>481</v>
      </c>
      <c r="O2410">
        <v>0</v>
      </c>
      <c r="P2410">
        <v>481</v>
      </c>
      <c r="Q2410">
        <v>31</v>
      </c>
      <c r="R2410">
        <v>37</v>
      </c>
      <c r="S2410">
        <v>9</v>
      </c>
      <c r="U2410">
        <v>6</v>
      </c>
      <c r="V2410">
        <v>74</v>
      </c>
      <c r="W2410">
        <v>80</v>
      </c>
      <c r="X2410">
        <v>76</v>
      </c>
      <c r="Y2410">
        <v>108</v>
      </c>
      <c r="Z2410">
        <v>3</v>
      </c>
      <c r="AC2410">
        <v>4</v>
      </c>
      <c r="AD2410" t="s">
        <v>105</v>
      </c>
      <c r="AE2410">
        <v>1</v>
      </c>
      <c r="AF2410" t="s">
        <v>105</v>
      </c>
      <c r="AK2410">
        <v>1</v>
      </c>
      <c r="AL2410">
        <v>2</v>
      </c>
      <c r="AM2410" t="s">
        <v>105</v>
      </c>
      <c r="AN2410">
        <v>1</v>
      </c>
      <c r="AZ2410">
        <v>36</v>
      </c>
      <c r="BC2410" t="s">
        <v>105</v>
      </c>
      <c r="BD2410">
        <v>12</v>
      </c>
      <c r="BE2410">
        <v>481</v>
      </c>
      <c r="BF2410">
        <v>481</v>
      </c>
      <c r="BG2410">
        <v>658</v>
      </c>
      <c r="BI2410" t="s">
        <v>106</v>
      </c>
      <c r="BJ2410">
        <v>1</v>
      </c>
      <c r="BL2410" t="s">
        <v>5014</v>
      </c>
      <c r="BM2410" s="4">
        <v>43283.090277777781</v>
      </c>
      <c r="BN2410" s="4">
        <v>43283.096319444441</v>
      </c>
      <c r="BO2410" s="4">
        <v>43283.096319444441</v>
      </c>
      <c r="BP2410" t="s">
        <v>92</v>
      </c>
      <c r="BQ2410" t="s">
        <v>93</v>
      </c>
      <c r="BR2410" t="s">
        <v>94</v>
      </c>
    </row>
    <row r="2411" spans="1:70" x14ac:dyDescent="0.3">
      <c r="A2411" t="str">
        <f>"201686C0100"</f>
        <v>201686C0100</v>
      </c>
      <c r="B2411" t="s">
        <v>5015</v>
      </c>
      <c r="C2411">
        <v>20</v>
      </c>
      <c r="D2411" t="s">
        <v>88</v>
      </c>
      <c r="E2411">
        <v>376</v>
      </c>
      <c r="F2411" t="s">
        <v>5013</v>
      </c>
      <c r="G2411">
        <v>1686</v>
      </c>
      <c r="H2411">
        <v>1</v>
      </c>
      <c r="I2411" t="s">
        <v>98</v>
      </c>
      <c r="J2411">
        <v>0</v>
      </c>
      <c r="K2411">
        <v>2</v>
      </c>
      <c r="L2411">
        <v>5</v>
      </c>
      <c r="M2411">
        <v>237</v>
      </c>
      <c r="N2411">
        <v>444</v>
      </c>
      <c r="O2411">
        <v>0</v>
      </c>
      <c r="P2411">
        <v>444</v>
      </c>
      <c r="Q2411">
        <v>32</v>
      </c>
      <c r="R2411">
        <v>20</v>
      </c>
      <c r="S2411">
        <v>11</v>
      </c>
      <c r="U2411">
        <v>2</v>
      </c>
      <c r="V2411">
        <v>108</v>
      </c>
      <c r="W2411">
        <v>71</v>
      </c>
      <c r="X2411">
        <v>61</v>
      </c>
      <c r="Y2411">
        <v>75</v>
      </c>
      <c r="Z2411">
        <v>6</v>
      </c>
      <c r="AC2411">
        <v>3</v>
      </c>
      <c r="AD2411">
        <v>0</v>
      </c>
      <c r="AE2411">
        <v>0</v>
      </c>
      <c r="AF2411">
        <v>1</v>
      </c>
      <c r="AK2411">
        <v>4</v>
      </c>
      <c r="AL2411">
        <v>0</v>
      </c>
      <c r="AM2411">
        <v>0</v>
      </c>
      <c r="AN2411">
        <v>0</v>
      </c>
      <c r="AZ2411">
        <v>38</v>
      </c>
      <c r="BC2411">
        <v>0</v>
      </c>
      <c r="BD2411">
        <v>12</v>
      </c>
      <c r="BE2411">
        <v>444</v>
      </c>
      <c r="BF2411">
        <v>444</v>
      </c>
      <c r="BG2411">
        <v>658</v>
      </c>
      <c r="BJ2411">
        <v>1</v>
      </c>
      <c r="BL2411" t="s">
        <v>5016</v>
      </c>
      <c r="BM2411" s="4">
        <v>43283.093055555553</v>
      </c>
      <c r="BN2411" s="4">
        <v>43283.09952546296</v>
      </c>
      <c r="BO2411" s="4">
        <v>43283.09952546296</v>
      </c>
      <c r="BP2411" t="s">
        <v>92</v>
      </c>
      <c r="BQ2411" t="s">
        <v>93</v>
      </c>
      <c r="BR2411" t="s">
        <v>94</v>
      </c>
    </row>
    <row r="2412" spans="1:70" x14ac:dyDescent="0.3">
      <c r="A2412" t="str">
        <f>"201686C0200"</f>
        <v>201686C0200</v>
      </c>
      <c r="B2412" t="s">
        <v>5017</v>
      </c>
      <c r="C2412">
        <v>20</v>
      </c>
      <c r="D2412" t="s">
        <v>88</v>
      </c>
      <c r="E2412">
        <v>376</v>
      </c>
      <c r="F2412" t="s">
        <v>5013</v>
      </c>
      <c r="G2412">
        <v>1686</v>
      </c>
      <c r="H2412">
        <v>2</v>
      </c>
      <c r="I2412" t="s">
        <v>98</v>
      </c>
      <c r="J2412">
        <v>0</v>
      </c>
      <c r="K2412">
        <v>2</v>
      </c>
      <c r="L2412">
        <v>5</v>
      </c>
      <c r="M2412">
        <v>226</v>
      </c>
      <c r="N2412">
        <v>455</v>
      </c>
      <c r="O2412">
        <v>0</v>
      </c>
      <c r="P2412">
        <v>455</v>
      </c>
      <c r="Q2412">
        <v>39</v>
      </c>
      <c r="R2412">
        <v>14</v>
      </c>
      <c r="S2412">
        <v>8</v>
      </c>
      <c r="U2412">
        <v>7</v>
      </c>
      <c r="V2412">
        <v>86</v>
      </c>
      <c r="W2412">
        <v>62</v>
      </c>
      <c r="X2412">
        <v>83</v>
      </c>
      <c r="Y2412">
        <v>86</v>
      </c>
      <c r="Z2412">
        <v>4</v>
      </c>
      <c r="AC2412">
        <v>0</v>
      </c>
      <c r="AD2412">
        <v>0</v>
      </c>
      <c r="AE2412">
        <v>1</v>
      </c>
      <c r="AF2412">
        <v>0</v>
      </c>
      <c r="AK2412">
        <v>3</v>
      </c>
      <c r="AL2412">
        <v>1</v>
      </c>
      <c r="AM2412">
        <v>0</v>
      </c>
      <c r="AN2412">
        <v>0</v>
      </c>
      <c r="AZ2412">
        <v>50</v>
      </c>
      <c r="BC2412">
        <v>0</v>
      </c>
      <c r="BD2412">
        <v>11</v>
      </c>
      <c r="BE2412">
        <v>455</v>
      </c>
      <c r="BF2412">
        <v>455</v>
      </c>
      <c r="BG2412">
        <v>658</v>
      </c>
      <c r="BJ2412">
        <v>1</v>
      </c>
      <c r="BL2412" t="s">
        <v>5018</v>
      </c>
      <c r="BM2412" s="4">
        <v>43283.095833333333</v>
      </c>
      <c r="BN2412" s="4">
        <v>43283.105740740742</v>
      </c>
      <c r="BO2412" s="4">
        <v>43283.105740740742</v>
      </c>
      <c r="BP2412" t="s">
        <v>92</v>
      </c>
      <c r="BQ2412" t="s">
        <v>93</v>
      </c>
      <c r="BR2412" t="s">
        <v>94</v>
      </c>
    </row>
    <row r="2413" spans="1:70" x14ac:dyDescent="0.3">
      <c r="A2413" t="str">
        <f>"201686C0300"</f>
        <v>201686C0300</v>
      </c>
      <c r="B2413" t="s">
        <v>5019</v>
      </c>
      <c r="C2413">
        <v>20</v>
      </c>
      <c r="D2413" t="s">
        <v>88</v>
      </c>
      <c r="E2413">
        <v>376</v>
      </c>
      <c r="F2413" t="s">
        <v>5013</v>
      </c>
      <c r="G2413">
        <v>1686</v>
      </c>
      <c r="H2413">
        <v>3</v>
      </c>
      <c r="I2413" t="s">
        <v>98</v>
      </c>
      <c r="J2413">
        <v>0</v>
      </c>
      <c r="K2413">
        <v>2</v>
      </c>
      <c r="L2413">
        <v>5</v>
      </c>
      <c r="M2413">
        <v>240</v>
      </c>
      <c r="N2413">
        <v>440</v>
      </c>
      <c r="O2413">
        <v>0</v>
      </c>
      <c r="P2413">
        <v>437</v>
      </c>
      <c r="Q2413">
        <v>26</v>
      </c>
      <c r="R2413">
        <v>13</v>
      </c>
      <c r="S2413">
        <v>13</v>
      </c>
      <c r="U2413">
        <v>8</v>
      </c>
      <c r="V2413">
        <v>85</v>
      </c>
      <c r="W2413">
        <v>55</v>
      </c>
      <c r="X2413">
        <v>62</v>
      </c>
      <c r="Y2413">
        <v>103</v>
      </c>
      <c r="Z2413">
        <v>4</v>
      </c>
      <c r="AC2413">
        <v>2</v>
      </c>
      <c r="AD2413">
        <v>1</v>
      </c>
      <c r="AE2413">
        <v>1</v>
      </c>
      <c r="AF2413">
        <v>2</v>
      </c>
      <c r="AK2413">
        <v>5</v>
      </c>
      <c r="AL2413">
        <v>0</v>
      </c>
      <c r="AM2413">
        <v>0</v>
      </c>
      <c r="AN2413">
        <v>0</v>
      </c>
      <c r="AZ2413">
        <v>48</v>
      </c>
      <c r="BC2413">
        <v>0</v>
      </c>
      <c r="BD2413">
        <v>9</v>
      </c>
      <c r="BE2413">
        <v>437</v>
      </c>
      <c r="BF2413">
        <v>437</v>
      </c>
      <c r="BG2413">
        <v>658</v>
      </c>
      <c r="BJ2413">
        <v>1</v>
      </c>
      <c r="BL2413" t="s">
        <v>5020</v>
      </c>
      <c r="BM2413" s="4">
        <v>43283.09652777778</v>
      </c>
      <c r="BN2413" s="4">
        <v>43283.101435185185</v>
      </c>
      <c r="BO2413" s="4">
        <v>43283.101435185185</v>
      </c>
      <c r="BP2413" t="s">
        <v>92</v>
      </c>
      <c r="BQ2413" t="s">
        <v>93</v>
      </c>
      <c r="BR2413" t="s">
        <v>94</v>
      </c>
    </row>
    <row r="2414" spans="1:70" x14ac:dyDescent="0.3">
      <c r="A2414" t="str">
        <f>"201686C0400"</f>
        <v>201686C0400</v>
      </c>
      <c r="B2414" t="s">
        <v>5021</v>
      </c>
      <c r="C2414">
        <v>20</v>
      </c>
      <c r="D2414" t="s">
        <v>88</v>
      </c>
      <c r="E2414">
        <v>376</v>
      </c>
      <c r="F2414" t="s">
        <v>5013</v>
      </c>
      <c r="G2414">
        <v>1686</v>
      </c>
      <c r="H2414">
        <v>4</v>
      </c>
      <c r="I2414" t="s">
        <v>98</v>
      </c>
      <c r="J2414">
        <v>0</v>
      </c>
      <c r="K2414">
        <v>2</v>
      </c>
      <c r="L2414">
        <v>5</v>
      </c>
      <c r="M2414">
        <v>205</v>
      </c>
      <c r="N2414" t="s">
        <v>105</v>
      </c>
      <c r="O2414" t="s">
        <v>105</v>
      </c>
      <c r="P2414" t="s">
        <v>105</v>
      </c>
      <c r="Q2414">
        <v>35</v>
      </c>
      <c r="R2414">
        <v>17</v>
      </c>
      <c r="S2414">
        <v>6</v>
      </c>
      <c r="U2414">
        <v>2</v>
      </c>
      <c r="V2414">
        <v>87</v>
      </c>
      <c r="W2414">
        <v>72</v>
      </c>
      <c r="X2414">
        <v>81</v>
      </c>
      <c r="Y2414">
        <v>99</v>
      </c>
      <c r="Z2414">
        <v>9</v>
      </c>
      <c r="AC2414">
        <v>3</v>
      </c>
      <c r="AD2414">
        <v>2</v>
      </c>
      <c r="AE2414">
        <v>0</v>
      </c>
      <c r="AF2414">
        <v>0</v>
      </c>
      <c r="AK2414">
        <v>0</v>
      </c>
      <c r="AL2414">
        <v>1</v>
      </c>
      <c r="AM2414">
        <v>0</v>
      </c>
      <c r="AN2414">
        <v>0</v>
      </c>
      <c r="AZ2414">
        <v>54</v>
      </c>
      <c r="BC2414">
        <v>0</v>
      </c>
      <c r="BD2414">
        <v>6</v>
      </c>
      <c r="BE2414">
        <v>476</v>
      </c>
      <c r="BF2414">
        <v>474</v>
      </c>
      <c r="BG2414">
        <v>658</v>
      </c>
      <c r="BJ2414">
        <v>1</v>
      </c>
      <c r="BL2414" t="s">
        <v>5022</v>
      </c>
      <c r="BM2414" s="4">
        <v>43283.115277777775</v>
      </c>
      <c r="BN2414" s="4">
        <v>43283.121192129627</v>
      </c>
      <c r="BO2414" s="4">
        <v>43283.121192129627</v>
      </c>
      <c r="BP2414" t="s">
        <v>92</v>
      </c>
      <c r="BQ2414" t="s">
        <v>93</v>
      </c>
      <c r="BR2414" t="s">
        <v>94</v>
      </c>
    </row>
    <row r="2415" spans="1:70" x14ac:dyDescent="0.3">
      <c r="A2415" t="str">
        <f>"201686C0500"</f>
        <v>201686C0500</v>
      </c>
      <c r="B2415" t="s">
        <v>5023</v>
      </c>
      <c r="C2415">
        <v>20</v>
      </c>
      <c r="D2415" t="s">
        <v>88</v>
      </c>
      <c r="E2415">
        <v>376</v>
      </c>
      <c r="F2415" t="s">
        <v>5013</v>
      </c>
      <c r="G2415">
        <v>1686</v>
      </c>
      <c r="H2415">
        <v>5</v>
      </c>
      <c r="I2415" t="s">
        <v>98</v>
      </c>
      <c r="J2415">
        <v>0</v>
      </c>
      <c r="K2415">
        <v>2</v>
      </c>
      <c r="L2415">
        <v>5</v>
      </c>
      <c r="M2415">
        <v>201</v>
      </c>
      <c r="N2415" t="s">
        <v>105</v>
      </c>
      <c r="O2415" t="s">
        <v>127</v>
      </c>
      <c r="P2415">
        <v>479</v>
      </c>
      <c r="Q2415">
        <v>28</v>
      </c>
      <c r="R2415">
        <v>25</v>
      </c>
      <c r="S2415">
        <v>10</v>
      </c>
      <c r="U2415">
        <v>7</v>
      </c>
      <c r="V2415">
        <v>89</v>
      </c>
      <c r="W2415">
        <v>69</v>
      </c>
      <c r="X2415">
        <v>65</v>
      </c>
      <c r="Y2415">
        <v>109</v>
      </c>
      <c r="Z2415">
        <v>6</v>
      </c>
      <c r="AC2415">
        <v>6</v>
      </c>
      <c r="AD2415">
        <v>0</v>
      </c>
      <c r="AE2415">
        <v>0</v>
      </c>
      <c r="AF2415">
        <v>1</v>
      </c>
      <c r="AK2415">
        <v>2</v>
      </c>
      <c r="AL2415">
        <v>1</v>
      </c>
      <c r="AM2415">
        <v>0</v>
      </c>
      <c r="AN2415">
        <v>2</v>
      </c>
      <c r="AZ2415">
        <v>49</v>
      </c>
      <c r="BC2415">
        <v>0</v>
      </c>
      <c r="BD2415">
        <v>10</v>
      </c>
      <c r="BE2415" t="s">
        <v>105</v>
      </c>
      <c r="BF2415">
        <v>479</v>
      </c>
      <c r="BG2415">
        <v>657</v>
      </c>
      <c r="BJ2415">
        <v>1</v>
      </c>
      <c r="BL2415" t="s">
        <v>5024</v>
      </c>
      <c r="BM2415" s="4">
        <v>43283.098611111112</v>
      </c>
      <c r="BN2415" s="4">
        <v>43283.103495370371</v>
      </c>
      <c r="BO2415" s="4">
        <v>43283.103495370371</v>
      </c>
      <c r="BP2415" t="s">
        <v>92</v>
      </c>
      <c r="BQ2415" t="s">
        <v>93</v>
      </c>
      <c r="BR2415" t="s">
        <v>94</v>
      </c>
    </row>
    <row r="2416" spans="1:70" x14ac:dyDescent="0.3">
      <c r="A2416" t="str">
        <f>"201687B0100"</f>
        <v>201687B0100</v>
      </c>
      <c r="B2416" t="s">
        <v>5025</v>
      </c>
      <c r="C2416">
        <v>20</v>
      </c>
      <c r="D2416" t="s">
        <v>88</v>
      </c>
      <c r="E2416">
        <v>376</v>
      </c>
      <c r="F2416" t="s">
        <v>5013</v>
      </c>
      <c r="G2416">
        <v>1687</v>
      </c>
      <c r="H2416">
        <v>1</v>
      </c>
      <c r="I2416" t="s">
        <v>90</v>
      </c>
      <c r="J2416">
        <v>0</v>
      </c>
      <c r="K2416">
        <v>1</v>
      </c>
      <c r="L2416">
        <v>5</v>
      </c>
      <c r="M2416">
        <v>177</v>
      </c>
      <c r="N2416">
        <v>410</v>
      </c>
      <c r="O2416">
        <v>6</v>
      </c>
      <c r="P2416">
        <v>410</v>
      </c>
      <c r="Q2416">
        <v>31</v>
      </c>
      <c r="R2416">
        <v>13</v>
      </c>
      <c r="S2416">
        <v>3</v>
      </c>
      <c r="U2416">
        <v>1</v>
      </c>
      <c r="V2416">
        <v>39</v>
      </c>
      <c r="W2416">
        <v>40</v>
      </c>
      <c r="X2416">
        <v>82</v>
      </c>
      <c r="Y2416">
        <v>78</v>
      </c>
      <c r="Z2416">
        <v>5</v>
      </c>
      <c r="AC2416">
        <v>0</v>
      </c>
      <c r="AD2416">
        <v>0</v>
      </c>
      <c r="AE2416">
        <v>1</v>
      </c>
      <c r="AF2416">
        <v>1</v>
      </c>
      <c r="AK2416">
        <v>0</v>
      </c>
      <c r="AL2416">
        <v>0</v>
      </c>
      <c r="AM2416">
        <v>0</v>
      </c>
      <c r="AN2416">
        <v>0</v>
      </c>
      <c r="AZ2416">
        <v>107</v>
      </c>
      <c r="BC2416">
        <v>0</v>
      </c>
      <c r="BD2416">
        <v>9</v>
      </c>
      <c r="BE2416">
        <v>410</v>
      </c>
      <c r="BF2416">
        <v>410</v>
      </c>
      <c r="BG2416">
        <v>564</v>
      </c>
      <c r="BJ2416">
        <v>1</v>
      </c>
      <c r="BL2416" t="s">
        <v>5026</v>
      </c>
      <c r="BM2416" s="4">
        <v>43283.133333333331</v>
      </c>
      <c r="BN2416" s="4">
        <v>43283.138993055552</v>
      </c>
      <c r="BO2416" s="4">
        <v>43283.138993055552</v>
      </c>
      <c r="BP2416" t="s">
        <v>92</v>
      </c>
      <c r="BQ2416" t="s">
        <v>93</v>
      </c>
      <c r="BR2416" t="s">
        <v>94</v>
      </c>
    </row>
    <row r="2417" spans="1:70" x14ac:dyDescent="0.3">
      <c r="A2417" t="str">
        <f>"201687C0100"</f>
        <v>201687C0100</v>
      </c>
      <c r="B2417" t="s">
        <v>5027</v>
      </c>
      <c r="C2417">
        <v>20</v>
      </c>
      <c r="D2417" t="s">
        <v>88</v>
      </c>
      <c r="E2417">
        <v>376</v>
      </c>
      <c r="F2417" t="s">
        <v>5013</v>
      </c>
      <c r="G2417">
        <v>1687</v>
      </c>
      <c r="H2417">
        <v>1</v>
      </c>
      <c r="I2417" t="s">
        <v>98</v>
      </c>
      <c r="J2417">
        <v>0</v>
      </c>
      <c r="K2417">
        <v>1</v>
      </c>
      <c r="L2417">
        <v>5</v>
      </c>
      <c r="M2417">
        <v>163</v>
      </c>
      <c r="N2417">
        <v>423</v>
      </c>
      <c r="O2417">
        <v>3</v>
      </c>
      <c r="P2417">
        <v>423</v>
      </c>
      <c r="Q2417">
        <v>20</v>
      </c>
      <c r="R2417">
        <v>14</v>
      </c>
      <c r="S2417">
        <v>9</v>
      </c>
      <c r="U2417">
        <v>3</v>
      </c>
      <c r="V2417">
        <v>34</v>
      </c>
      <c r="W2417">
        <v>31</v>
      </c>
      <c r="X2417">
        <v>81</v>
      </c>
      <c r="Y2417">
        <v>81</v>
      </c>
      <c r="Z2417">
        <v>7</v>
      </c>
      <c r="AC2417">
        <v>2</v>
      </c>
      <c r="AD2417">
        <v>0</v>
      </c>
      <c r="AE2417">
        <v>1</v>
      </c>
      <c r="AF2417">
        <v>1</v>
      </c>
      <c r="AK2417">
        <v>2</v>
      </c>
      <c r="AL2417">
        <v>0</v>
      </c>
      <c r="AM2417">
        <v>0</v>
      </c>
      <c r="AN2417">
        <v>0</v>
      </c>
      <c r="AZ2417">
        <v>126</v>
      </c>
      <c r="BC2417">
        <v>1</v>
      </c>
      <c r="BD2417">
        <v>10</v>
      </c>
      <c r="BE2417">
        <v>423</v>
      </c>
      <c r="BF2417">
        <v>423</v>
      </c>
      <c r="BG2417">
        <v>563</v>
      </c>
      <c r="BJ2417">
        <v>1</v>
      </c>
      <c r="BL2417" t="s">
        <v>5028</v>
      </c>
      <c r="BM2417" s="4">
        <v>43283.134027777778</v>
      </c>
      <c r="BN2417" s="4">
        <v>43283.139907407407</v>
      </c>
      <c r="BO2417" s="4">
        <v>43283.139907407407</v>
      </c>
      <c r="BP2417" t="s">
        <v>92</v>
      </c>
      <c r="BQ2417" t="s">
        <v>93</v>
      </c>
      <c r="BR2417" t="s">
        <v>94</v>
      </c>
    </row>
    <row r="2418" spans="1:70" x14ac:dyDescent="0.3">
      <c r="A2418" t="str">
        <f>"201688B0100"</f>
        <v>201688B0100</v>
      </c>
      <c r="B2418" t="s">
        <v>5029</v>
      </c>
      <c r="C2418">
        <v>20</v>
      </c>
      <c r="D2418" t="s">
        <v>88</v>
      </c>
      <c r="E2418">
        <v>376</v>
      </c>
      <c r="F2418" t="s">
        <v>5013</v>
      </c>
      <c r="G2418">
        <v>1688</v>
      </c>
      <c r="H2418">
        <v>1</v>
      </c>
      <c r="I2418" t="s">
        <v>90</v>
      </c>
      <c r="J2418">
        <v>0</v>
      </c>
      <c r="K2418">
        <v>1</v>
      </c>
      <c r="L2418">
        <v>5</v>
      </c>
      <c r="M2418">
        <v>197</v>
      </c>
      <c r="N2418">
        <v>476</v>
      </c>
      <c r="O2418">
        <v>0</v>
      </c>
      <c r="P2418">
        <v>471</v>
      </c>
      <c r="Q2418">
        <v>44</v>
      </c>
      <c r="R2418">
        <v>21</v>
      </c>
      <c r="S2418">
        <v>7</v>
      </c>
      <c r="U2418">
        <v>9</v>
      </c>
      <c r="V2418">
        <v>44</v>
      </c>
      <c r="W2418">
        <v>48</v>
      </c>
      <c r="X2418">
        <v>59</v>
      </c>
      <c r="Y2418">
        <v>93</v>
      </c>
      <c r="Z2418">
        <v>2</v>
      </c>
      <c r="AC2418">
        <v>4</v>
      </c>
      <c r="AD2418">
        <v>0</v>
      </c>
      <c r="AE2418">
        <v>0</v>
      </c>
      <c r="AF2418">
        <v>0</v>
      </c>
      <c r="AK2418">
        <v>4</v>
      </c>
      <c r="AL2418">
        <v>0</v>
      </c>
      <c r="AM2418">
        <v>0</v>
      </c>
      <c r="AN2418">
        <v>0</v>
      </c>
      <c r="AZ2418">
        <v>130</v>
      </c>
      <c r="BC2418">
        <v>0</v>
      </c>
      <c r="BD2418">
        <v>2</v>
      </c>
      <c r="BE2418">
        <v>477</v>
      </c>
      <c r="BF2418">
        <v>467</v>
      </c>
      <c r="BG2418">
        <v>651</v>
      </c>
      <c r="BJ2418">
        <v>1</v>
      </c>
      <c r="BL2418" t="s">
        <v>5030</v>
      </c>
      <c r="BM2418" s="4">
        <v>43283.134722222225</v>
      </c>
      <c r="BN2418" s="4">
        <v>43283.140856481485</v>
      </c>
      <c r="BO2418" s="4">
        <v>43283.140856481485</v>
      </c>
      <c r="BP2418" t="s">
        <v>92</v>
      </c>
      <c r="BQ2418" t="s">
        <v>93</v>
      </c>
      <c r="BR2418" t="s">
        <v>94</v>
      </c>
    </row>
    <row r="2419" spans="1:70" x14ac:dyDescent="0.3">
      <c r="A2419" t="str">
        <f>"201688C0100"</f>
        <v>201688C0100</v>
      </c>
      <c r="B2419" t="s">
        <v>5031</v>
      </c>
      <c r="C2419">
        <v>20</v>
      </c>
      <c r="D2419" t="s">
        <v>88</v>
      </c>
      <c r="E2419">
        <v>376</v>
      </c>
      <c r="F2419" t="s">
        <v>5013</v>
      </c>
      <c r="G2419">
        <v>1688</v>
      </c>
      <c r="H2419">
        <v>1</v>
      </c>
      <c r="I2419" t="s">
        <v>98</v>
      </c>
      <c r="J2419">
        <v>0</v>
      </c>
      <c r="K2419">
        <v>1</v>
      </c>
      <c r="L2419">
        <v>5</v>
      </c>
      <c r="M2419">
        <v>199</v>
      </c>
      <c r="N2419">
        <v>475</v>
      </c>
      <c r="O2419">
        <v>6</v>
      </c>
      <c r="P2419">
        <v>474</v>
      </c>
      <c r="Q2419">
        <v>16</v>
      </c>
      <c r="R2419">
        <v>21</v>
      </c>
      <c r="S2419">
        <v>3</v>
      </c>
      <c r="U2419">
        <v>4</v>
      </c>
      <c r="V2419">
        <v>60</v>
      </c>
      <c r="W2419">
        <v>59</v>
      </c>
      <c r="X2419">
        <v>51</v>
      </c>
      <c r="Y2419">
        <v>80</v>
      </c>
      <c r="Z2419">
        <v>6</v>
      </c>
      <c r="AC2419">
        <v>0</v>
      </c>
      <c r="AD2419">
        <v>1</v>
      </c>
      <c r="AE2419">
        <v>0</v>
      </c>
      <c r="AF2419">
        <v>0</v>
      </c>
      <c r="AK2419">
        <v>5</v>
      </c>
      <c r="AL2419">
        <v>3</v>
      </c>
      <c r="AM2419">
        <v>0</v>
      </c>
      <c r="AN2419">
        <v>0</v>
      </c>
      <c r="AZ2419">
        <v>151</v>
      </c>
      <c r="BC2419">
        <v>0</v>
      </c>
      <c r="BD2419">
        <v>14</v>
      </c>
      <c r="BE2419">
        <v>474</v>
      </c>
      <c r="BF2419">
        <v>474</v>
      </c>
      <c r="BG2419">
        <v>651</v>
      </c>
      <c r="BJ2419">
        <v>1</v>
      </c>
      <c r="BL2419" t="s">
        <v>5032</v>
      </c>
      <c r="BM2419" s="4">
        <v>43283.135416666664</v>
      </c>
      <c r="BN2419" s="4">
        <v>43283.155185185184</v>
      </c>
      <c r="BO2419" s="4">
        <v>43283.155185185184</v>
      </c>
      <c r="BP2419" t="s">
        <v>92</v>
      </c>
      <c r="BQ2419" t="s">
        <v>93</v>
      </c>
      <c r="BR2419" t="s">
        <v>94</v>
      </c>
    </row>
    <row r="2420" spans="1:70" x14ac:dyDescent="0.3">
      <c r="A2420" t="str">
        <f>"201688C0200"</f>
        <v>201688C0200</v>
      </c>
      <c r="B2420" t="s">
        <v>5033</v>
      </c>
      <c r="C2420">
        <v>20</v>
      </c>
      <c r="D2420" t="s">
        <v>88</v>
      </c>
      <c r="E2420">
        <v>376</v>
      </c>
      <c r="F2420" t="s">
        <v>5013</v>
      </c>
      <c r="G2420">
        <v>1688</v>
      </c>
      <c r="H2420">
        <v>2</v>
      </c>
      <c r="I2420" t="s">
        <v>98</v>
      </c>
      <c r="J2420">
        <v>0</v>
      </c>
      <c r="K2420">
        <v>1</v>
      </c>
      <c r="L2420">
        <v>5</v>
      </c>
      <c r="M2420">
        <v>217</v>
      </c>
      <c r="N2420">
        <v>455</v>
      </c>
      <c r="O2420">
        <v>2</v>
      </c>
      <c r="P2420">
        <v>455</v>
      </c>
      <c r="Q2420">
        <v>22</v>
      </c>
      <c r="R2420">
        <v>29</v>
      </c>
      <c r="S2420">
        <v>4</v>
      </c>
      <c r="U2420">
        <v>4</v>
      </c>
      <c r="V2420">
        <v>43</v>
      </c>
      <c r="W2420">
        <v>44</v>
      </c>
      <c r="X2420">
        <v>69</v>
      </c>
      <c r="Y2420">
        <v>87</v>
      </c>
      <c r="Z2420">
        <v>3</v>
      </c>
      <c r="AC2420">
        <v>2</v>
      </c>
      <c r="AD2420">
        <v>0</v>
      </c>
      <c r="AE2420">
        <v>0</v>
      </c>
      <c r="AF2420">
        <v>0</v>
      </c>
      <c r="AK2420">
        <v>4</v>
      </c>
      <c r="AL2420">
        <v>1</v>
      </c>
      <c r="AM2420">
        <v>0</v>
      </c>
      <c r="AN2420">
        <v>0</v>
      </c>
      <c r="AZ2420">
        <v>126</v>
      </c>
      <c r="BC2420" t="s">
        <v>105</v>
      </c>
      <c r="BD2420">
        <v>18</v>
      </c>
      <c r="BE2420">
        <v>456</v>
      </c>
      <c r="BF2420">
        <v>456</v>
      </c>
      <c r="BG2420">
        <v>650</v>
      </c>
      <c r="BI2420" t="s">
        <v>106</v>
      </c>
      <c r="BJ2420">
        <v>1</v>
      </c>
      <c r="BL2420" t="s">
        <v>5034</v>
      </c>
      <c r="BM2420" s="4">
        <v>43283.136111111111</v>
      </c>
      <c r="BN2420" s="4">
        <v>43283.156145833331</v>
      </c>
      <c r="BO2420" s="4">
        <v>43283.156145833331</v>
      </c>
      <c r="BP2420" t="s">
        <v>92</v>
      </c>
      <c r="BQ2420" t="s">
        <v>93</v>
      </c>
      <c r="BR2420" t="s">
        <v>94</v>
      </c>
    </row>
    <row r="2421" spans="1:70" x14ac:dyDescent="0.3">
      <c r="A2421" t="str">
        <f>"201688C0300"</f>
        <v>201688C0300</v>
      </c>
      <c r="B2421" t="s">
        <v>5035</v>
      </c>
      <c r="C2421">
        <v>20</v>
      </c>
      <c r="D2421" t="s">
        <v>88</v>
      </c>
      <c r="E2421">
        <v>376</v>
      </c>
      <c r="F2421" t="s">
        <v>5013</v>
      </c>
      <c r="G2421">
        <v>1688</v>
      </c>
      <c r="H2421">
        <v>3</v>
      </c>
      <c r="I2421" t="s">
        <v>98</v>
      </c>
      <c r="J2421">
        <v>0</v>
      </c>
      <c r="K2421">
        <v>1</v>
      </c>
      <c r="L2421">
        <v>5</v>
      </c>
      <c r="M2421">
        <v>197</v>
      </c>
      <c r="N2421">
        <v>479</v>
      </c>
      <c r="O2421">
        <v>8</v>
      </c>
      <c r="P2421">
        <v>477</v>
      </c>
      <c r="Q2421">
        <v>37</v>
      </c>
      <c r="R2421">
        <v>22</v>
      </c>
      <c r="S2421">
        <v>6</v>
      </c>
      <c r="U2421">
        <v>5</v>
      </c>
      <c r="V2421">
        <v>64</v>
      </c>
      <c r="W2421">
        <v>45</v>
      </c>
      <c r="X2421">
        <v>80</v>
      </c>
      <c r="Y2421">
        <v>77</v>
      </c>
      <c r="Z2421">
        <v>2</v>
      </c>
      <c r="AC2421">
        <v>2</v>
      </c>
      <c r="AD2421">
        <v>0</v>
      </c>
      <c r="AE2421">
        <v>0</v>
      </c>
      <c r="AF2421">
        <v>0</v>
      </c>
      <c r="AK2421">
        <v>2</v>
      </c>
      <c r="AL2421">
        <v>0</v>
      </c>
      <c r="AM2421">
        <v>0</v>
      </c>
      <c r="AN2421">
        <v>0</v>
      </c>
      <c r="AZ2421">
        <v>127</v>
      </c>
      <c r="BC2421">
        <v>3</v>
      </c>
      <c r="BD2421">
        <v>5</v>
      </c>
      <c r="BE2421">
        <v>477</v>
      </c>
      <c r="BF2421">
        <v>477</v>
      </c>
      <c r="BG2421">
        <v>650</v>
      </c>
      <c r="BJ2421">
        <v>1</v>
      </c>
      <c r="BL2421" t="s">
        <v>5036</v>
      </c>
      <c r="BM2421" s="4">
        <v>43283.136805555558</v>
      </c>
      <c r="BN2421" s="4">
        <v>43283.143854166665</v>
      </c>
      <c r="BO2421" s="4">
        <v>43283.143854166665</v>
      </c>
      <c r="BP2421" t="s">
        <v>92</v>
      </c>
      <c r="BQ2421" t="s">
        <v>93</v>
      </c>
      <c r="BR2421" t="s">
        <v>94</v>
      </c>
    </row>
    <row r="2422" spans="1:70" x14ac:dyDescent="0.3">
      <c r="A2422" t="str">
        <f>"201689B0100"</f>
        <v>201689B0100</v>
      </c>
      <c r="B2422" t="s">
        <v>5037</v>
      </c>
      <c r="C2422">
        <v>20</v>
      </c>
      <c r="D2422" t="s">
        <v>88</v>
      </c>
      <c r="E2422">
        <v>376</v>
      </c>
      <c r="F2422" t="s">
        <v>5013</v>
      </c>
      <c r="G2422">
        <v>1689</v>
      </c>
      <c r="H2422">
        <v>1</v>
      </c>
      <c r="I2422" t="s">
        <v>90</v>
      </c>
      <c r="J2422">
        <v>0</v>
      </c>
      <c r="K2422">
        <v>1</v>
      </c>
      <c r="L2422">
        <v>5</v>
      </c>
      <c r="M2422">
        <v>133</v>
      </c>
      <c r="N2422">
        <v>390</v>
      </c>
      <c r="O2422">
        <v>10</v>
      </c>
      <c r="P2422">
        <v>387</v>
      </c>
      <c r="Q2422">
        <v>27</v>
      </c>
      <c r="R2422">
        <v>27</v>
      </c>
      <c r="S2422">
        <v>10</v>
      </c>
      <c r="U2422">
        <v>4</v>
      </c>
      <c r="V2422">
        <v>37</v>
      </c>
      <c r="W2422">
        <v>11</v>
      </c>
      <c r="X2422">
        <v>36</v>
      </c>
      <c r="Y2422">
        <v>81</v>
      </c>
      <c r="Z2422">
        <v>8</v>
      </c>
      <c r="AC2422">
        <v>1</v>
      </c>
      <c r="AD2422">
        <v>0</v>
      </c>
      <c r="AE2422">
        <v>0</v>
      </c>
      <c r="AF2422">
        <v>0</v>
      </c>
      <c r="AK2422">
        <v>5</v>
      </c>
      <c r="AL2422">
        <v>0</v>
      </c>
      <c r="AM2422">
        <v>0</v>
      </c>
      <c r="AN2422">
        <v>0</v>
      </c>
      <c r="AZ2422">
        <v>132</v>
      </c>
      <c r="BC2422">
        <v>0</v>
      </c>
      <c r="BD2422">
        <v>8</v>
      </c>
      <c r="BE2422">
        <v>387</v>
      </c>
      <c r="BF2422">
        <v>387</v>
      </c>
      <c r="BG2422">
        <v>497</v>
      </c>
      <c r="BJ2422">
        <v>1</v>
      </c>
      <c r="BL2422" t="s">
        <v>5038</v>
      </c>
      <c r="BM2422" s="4">
        <v>43283.132638888892</v>
      </c>
      <c r="BN2422" s="4">
        <v>43283.137928240743</v>
      </c>
      <c r="BO2422" s="4">
        <v>43283.137928240743</v>
      </c>
      <c r="BP2422" t="s">
        <v>92</v>
      </c>
      <c r="BQ2422" t="s">
        <v>93</v>
      </c>
      <c r="BR2422" t="s">
        <v>94</v>
      </c>
    </row>
    <row r="2423" spans="1:70" x14ac:dyDescent="0.3">
      <c r="A2423" t="str">
        <f>"201689C0100"</f>
        <v>201689C0100</v>
      </c>
      <c r="B2423" t="s">
        <v>5039</v>
      </c>
      <c r="C2423">
        <v>20</v>
      </c>
      <c r="D2423" t="s">
        <v>88</v>
      </c>
      <c r="E2423">
        <v>376</v>
      </c>
      <c r="F2423" t="s">
        <v>5013</v>
      </c>
      <c r="G2423">
        <v>1689</v>
      </c>
      <c r="H2423">
        <v>1</v>
      </c>
      <c r="I2423" t="s">
        <v>98</v>
      </c>
      <c r="J2423">
        <v>0</v>
      </c>
      <c r="K2423">
        <v>1</v>
      </c>
      <c r="L2423">
        <v>5</v>
      </c>
      <c r="M2423">
        <v>126</v>
      </c>
      <c r="N2423">
        <v>394</v>
      </c>
      <c r="O2423">
        <v>6</v>
      </c>
      <c r="P2423">
        <v>365</v>
      </c>
      <c r="Q2423">
        <v>24</v>
      </c>
      <c r="R2423">
        <v>25</v>
      </c>
      <c r="S2423">
        <v>4</v>
      </c>
      <c r="U2423">
        <v>5</v>
      </c>
      <c r="V2423">
        <v>50</v>
      </c>
      <c r="W2423">
        <v>26</v>
      </c>
      <c r="X2423">
        <v>43</v>
      </c>
      <c r="Y2423">
        <v>66</v>
      </c>
      <c r="Z2423">
        <v>4</v>
      </c>
      <c r="AC2423">
        <v>1</v>
      </c>
      <c r="AD2423">
        <v>0</v>
      </c>
      <c r="AE2423">
        <v>0</v>
      </c>
      <c r="AF2423">
        <v>0</v>
      </c>
      <c r="AK2423">
        <v>0</v>
      </c>
      <c r="AL2423">
        <v>1</v>
      </c>
      <c r="AM2423">
        <v>0</v>
      </c>
      <c r="AN2423">
        <v>0</v>
      </c>
      <c r="AZ2423">
        <v>137</v>
      </c>
      <c r="BC2423">
        <v>1</v>
      </c>
      <c r="BD2423">
        <v>6</v>
      </c>
      <c r="BE2423">
        <v>393</v>
      </c>
      <c r="BF2423">
        <v>393</v>
      </c>
      <c r="BG2423">
        <v>497</v>
      </c>
      <c r="BJ2423">
        <v>1</v>
      </c>
      <c r="BL2423" t="s">
        <v>5040</v>
      </c>
      <c r="BM2423" s="4">
        <v>43283.131249999999</v>
      </c>
      <c r="BN2423" s="4">
        <v>43283.137106481481</v>
      </c>
      <c r="BO2423" s="4">
        <v>43283.137106481481</v>
      </c>
      <c r="BP2423" t="s">
        <v>92</v>
      </c>
      <c r="BQ2423" t="s">
        <v>93</v>
      </c>
      <c r="BR2423" t="s">
        <v>94</v>
      </c>
    </row>
    <row r="2424" spans="1:70" x14ac:dyDescent="0.3">
      <c r="A2424" t="str">
        <f>"201691B0100"</f>
        <v>201691B0100</v>
      </c>
      <c r="B2424" t="s">
        <v>5041</v>
      </c>
      <c r="C2424">
        <v>20</v>
      </c>
      <c r="D2424" t="s">
        <v>88</v>
      </c>
      <c r="E2424">
        <v>378</v>
      </c>
      <c r="F2424" t="s">
        <v>5042</v>
      </c>
      <c r="G2424">
        <v>1691</v>
      </c>
      <c r="H2424">
        <v>1</v>
      </c>
      <c r="I2424" t="s">
        <v>90</v>
      </c>
      <c r="J2424">
        <v>0</v>
      </c>
      <c r="K2424">
        <v>2</v>
      </c>
      <c r="L2424">
        <v>5</v>
      </c>
      <c r="M2424">
        <v>134</v>
      </c>
      <c r="N2424">
        <v>421</v>
      </c>
      <c r="O2424">
        <v>0</v>
      </c>
      <c r="P2424">
        <v>421</v>
      </c>
      <c r="Q2424">
        <v>1</v>
      </c>
      <c r="R2424">
        <v>142</v>
      </c>
      <c r="S2424">
        <v>102</v>
      </c>
      <c r="T2424">
        <v>1</v>
      </c>
      <c r="U2424">
        <v>1</v>
      </c>
      <c r="V2424">
        <v>2</v>
      </c>
      <c r="X2424">
        <v>0</v>
      </c>
      <c r="Y2424">
        <v>22</v>
      </c>
      <c r="Z2424">
        <v>1</v>
      </c>
      <c r="AB2424">
        <v>112</v>
      </c>
      <c r="AC2424">
        <v>2</v>
      </c>
      <c r="AD2424">
        <v>2</v>
      </c>
      <c r="AE2424">
        <v>0</v>
      </c>
      <c r="AF2424">
        <v>0</v>
      </c>
      <c r="AG2424">
        <v>1</v>
      </c>
      <c r="AH2424">
        <v>3</v>
      </c>
      <c r="AI2424">
        <v>0</v>
      </c>
      <c r="AJ2424">
        <v>0</v>
      </c>
      <c r="AK2424">
        <v>1</v>
      </c>
      <c r="AL2424">
        <v>0</v>
      </c>
      <c r="AM2424">
        <v>0</v>
      </c>
      <c r="AN2424">
        <v>0</v>
      </c>
      <c r="BC2424">
        <v>0</v>
      </c>
      <c r="BD2424">
        <v>25</v>
      </c>
      <c r="BE2424">
        <v>421</v>
      </c>
      <c r="BF2424">
        <v>418</v>
      </c>
      <c r="BG2424">
        <v>533</v>
      </c>
      <c r="BJ2424">
        <v>1</v>
      </c>
      <c r="BL2424" t="s">
        <v>5043</v>
      </c>
      <c r="BM2424" s="4">
        <v>43283.070833333331</v>
      </c>
      <c r="BN2424" s="4">
        <v>43283.080995370372</v>
      </c>
      <c r="BO2424" s="4">
        <v>43283.080995370372</v>
      </c>
      <c r="BP2424" t="s">
        <v>92</v>
      </c>
      <c r="BQ2424" t="s">
        <v>93</v>
      </c>
      <c r="BR2424" t="s">
        <v>94</v>
      </c>
    </row>
    <row r="2425" spans="1:70" x14ac:dyDescent="0.3">
      <c r="A2425" t="str">
        <f>"201691C0100"</f>
        <v>201691C0100</v>
      </c>
      <c r="B2425" t="s">
        <v>5044</v>
      </c>
      <c r="C2425">
        <v>20</v>
      </c>
      <c r="D2425" t="s">
        <v>88</v>
      </c>
      <c r="E2425">
        <v>378</v>
      </c>
      <c r="F2425" t="s">
        <v>5042</v>
      </c>
      <c r="G2425">
        <v>1691</v>
      </c>
      <c r="H2425">
        <v>1</v>
      </c>
      <c r="I2425" t="s">
        <v>98</v>
      </c>
      <c r="J2425">
        <v>0</v>
      </c>
      <c r="K2425">
        <v>2</v>
      </c>
      <c r="L2425">
        <v>5</v>
      </c>
      <c r="M2425">
        <v>112</v>
      </c>
      <c r="N2425">
        <v>443</v>
      </c>
      <c r="O2425">
        <v>0</v>
      </c>
      <c r="P2425">
        <v>443</v>
      </c>
      <c r="Q2425">
        <v>3</v>
      </c>
      <c r="R2425">
        <v>108</v>
      </c>
      <c r="S2425">
        <v>156</v>
      </c>
      <c r="T2425">
        <v>1</v>
      </c>
      <c r="U2425">
        <v>3</v>
      </c>
      <c r="V2425">
        <v>4</v>
      </c>
      <c r="X2425">
        <v>0</v>
      </c>
      <c r="Y2425">
        <v>28</v>
      </c>
      <c r="Z2425">
        <v>1</v>
      </c>
      <c r="AB2425">
        <v>113</v>
      </c>
      <c r="AC2425">
        <v>1</v>
      </c>
      <c r="AD2425">
        <v>2</v>
      </c>
      <c r="AE2425">
        <v>0</v>
      </c>
      <c r="AF2425">
        <v>0</v>
      </c>
      <c r="AG2425">
        <v>0</v>
      </c>
      <c r="AH2425">
        <v>1</v>
      </c>
      <c r="AI2425">
        <v>0</v>
      </c>
      <c r="AJ2425">
        <v>0</v>
      </c>
      <c r="AK2425">
        <v>1</v>
      </c>
      <c r="AL2425">
        <v>2</v>
      </c>
      <c r="AM2425">
        <v>0</v>
      </c>
      <c r="AN2425">
        <v>0</v>
      </c>
      <c r="BC2425">
        <v>0</v>
      </c>
      <c r="BD2425">
        <v>19</v>
      </c>
      <c r="BE2425">
        <v>443</v>
      </c>
      <c r="BF2425">
        <v>443</v>
      </c>
      <c r="BG2425">
        <v>533</v>
      </c>
      <c r="BJ2425">
        <v>1</v>
      </c>
      <c r="BL2425" t="s">
        <v>5045</v>
      </c>
      <c r="BM2425" s="4">
        <v>43283.115972222222</v>
      </c>
      <c r="BN2425" s="4">
        <v>43283.12222222222</v>
      </c>
      <c r="BO2425" s="4">
        <v>43283.12222222222</v>
      </c>
      <c r="BP2425" t="s">
        <v>92</v>
      </c>
      <c r="BQ2425" t="s">
        <v>93</v>
      </c>
      <c r="BR2425" t="s">
        <v>94</v>
      </c>
    </row>
    <row r="2426" spans="1:70" x14ac:dyDescent="0.3">
      <c r="A2426" t="str">
        <f>"201692B0100"</f>
        <v>201692B0100</v>
      </c>
      <c r="B2426" t="s">
        <v>5046</v>
      </c>
      <c r="C2426">
        <v>20</v>
      </c>
      <c r="D2426" t="s">
        <v>88</v>
      </c>
      <c r="E2426">
        <v>378</v>
      </c>
      <c r="F2426" t="s">
        <v>5042</v>
      </c>
      <c r="G2426">
        <v>1692</v>
      </c>
      <c r="H2426">
        <v>1</v>
      </c>
      <c r="I2426" t="s">
        <v>90</v>
      </c>
      <c r="J2426">
        <v>0</v>
      </c>
      <c r="K2426">
        <v>2</v>
      </c>
      <c r="L2426">
        <v>5</v>
      </c>
      <c r="M2426">
        <v>117</v>
      </c>
      <c r="N2426">
        <v>437</v>
      </c>
      <c r="O2426">
        <v>0</v>
      </c>
      <c r="P2426">
        <v>437</v>
      </c>
      <c r="Q2426">
        <v>2</v>
      </c>
      <c r="R2426">
        <v>151</v>
      </c>
      <c r="S2426">
        <v>164</v>
      </c>
      <c r="T2426">
        <v>3</v>
      </c>
      <c r="U2426">
        <v>2</v>
      </c>
      <c r="V2426">
        <v>2</v>
      </c>
      <c r="X2426">
        <v>1</v>
      </c>
      <c r="Y2426">
        <v>18</v>
      </c>
      <c r="Z2426" t="s">
        <v>105</v>
      </c>
      <c r="AB2426">
        <v>67</v>
      </c>
      <c r="AC2426" t="s">
        <v>105</v>
      </c>
      <c r="AD2426" t="s">
        <v>105</v>
      </c>
      <c r="AE2426" t="s">
        <v>105</v>
      </c>
      <c r="AF2426" t="s">
        <v>105</v>
      </c>
      <c r="AG2426" t="s">
        <v>105</v>
      </c>
      <c r="AH2426">
        <v>1</v>
      </c>
      <c r="AI2426" t="s">
        <v>105</v>
      </c>
      <c r="AJ2426" t="s">
        <v>105</v>
      </c>
      <c r="AK2426" t="s">
        <v>105</v>
      </c>
      <c r="AL2426">
        <v>2</v>
      </c>
      <c r="AM2426" t="s">
        <v>105</v>
      </c>
      <c r="AN2426" t="s">
        <v>105</v>
      </c>
      <c r="BC2426">
        <v>1</v>
      </c>
      <c r="BD2426">
        <v>23</v>
      </c>
      <c r="BE2426">
        <v>437</v>
      </c>
      <c r="BF2426">
        <v>437</v>
      </c>
      <c r="BG2426">
        <v>532</v>
      </c>
      <c r="BI2426" t="s">
        <v>106</v>
      </c>
      <c r="BJ2426">
        <v>1</v>
      </c>
      <c r="BL2426" t="s">
        <v>5047</v>
      </c>
      <c r="BM2426" s="4">
        <v>43283.204861111109</v>
      </c>
      <c r="BN2426" s="4">
        <v>43283.243877314817</v>
      </c>
      <c r="BO2426" s="4">
        <v>43283.243877314817</v>
      </c>
      <c r="BP2426" t="s">
        <v>92</v>
      </c>
      <c r="BQ2426" t="s">
        <v>93</v>
      </c>
      <c r="BR2426" t="s">
        <v>94</v>
      </c>
    </row>
    <row r="2427" spans="1:70" x14ac:dyDescent="0.3">
      <c r="A2427" t="str">
        <f>"201693B0100"</f>
        <v>201693B0100</v>
      </c>
      <c r="B2427" t="s">
        <v>5048</v>
      </c>
      <c r="C2427">
        <v>20</v>
      </c>
      <c r="D2427" t="s">
        <v>88</v>
      </c>
      <c r="E2427">
        <v>378</v>
      </c>
      <c r="F2427" t="s">
        <v>5042</v>
      </c>
      <c r="G2427">
        <v>1693</v>
      </c>
      <c r="H2427">
        <v>1</v>
      </c>
      <c r="I2427" t="s">
        <v>90</v>
      </c>
      <c r="J2427">
        <v>0</v>
      </c>
      <c r="K2427">
        <v>2</v>
      </c>
      <c r="L2427">
        <v>5</v>
      </c>
      <c r="M2427">
        <v>170</v>
      </c>
      <c r="N2427">
        <v>290</v>
      </c>
      <c r="O2427">
        <v>1</v>
      </c>
      <c r="P2427">
        <v>291</v>
      </c>
      <c r="Q2427">
        <v>0</v>
      </c>
      <c r="R2427">
        <v>10</v>
      </c>
      <c r="S2427">
        <v>134</v>
      </c>
      <c r="T2427">
        <v>5</v>
      </c>
      <c r="U2427">
        <v>3</v>
      </c>
      <c r="V2427">
        <v>0</v>
      </c>
      <c r="X2427">
        <v>0</v>
      </c>
      <c r="Y2427">
        <v>3</v>
      </c>
      <c r="Z2427">
        <v>2</v>
      </c>
      <c r="AB2427">
        <v>119</v>
      </c>
      <c r="AC2427">
        <v>0</v>
      </c>
      <c r="AD2427">
        <v>0</v>
      </c>
      <c r="AE2427">
        <v>0</v>
      </c>
      <c r="AF2427">
        <v>0</v>
      </c>
      <c r="AG2427">
        <v>0</v>
      </c>
      <c r="AH2427">
        <v>0</v>
      </c>
      <c r="AI2427">
        <v>0</v>
      </c>
      <c r="AJ2427">
        <v>0</v>
      </c>
      <c r="AK2427">
        <v>0</v>
      </c>
      <c r="AL2427">
        <v>0</v>
      </c>
      <c r="AM2427">
        <v>0</v>
      </c>
      <c r="AN2427">
        <v>1</v>
      </c>
      <c r="BC2427">
        <v>0</v>
      </c>
      <c r="BD2427">
        <v>14</v>
      </c>
      <c r="BE2427">
        <v>291</v>
      </c>
      <c r="BF2427">
        <v>291</v>
      </c>
      <c r="BG2427">
        <v>563</v>
      </c>
      <c r="BJ2427">
        <v>1</v>
      </c>
      <c r="BL2427" t="s">
        <v>5049</v>
      </c>
      <c r="BM2427" s="4">
        <v>43283.134722222225</v>
      </c>
      <c r="BN2427" s="4">
        <v>43283.219965277778</v>
      </c>
      <c r="BO2427" s="4">
        <v>43283.219965277778</v>
      </c>
      <c r="BP2427" t="s">
        <v>92</v>
      </c>
      <c r="BQ2427" t="s">
        <v>93</v>
      </c>
      <c r="BR2427" t="s">
        <v>94</v>
      </c>
    </row>
    <row r="2428" spans="1:70" x14ac:dyDescent="0.3">
      <c r="A2428" t="str">
        <f>"201693E0100"</f>
        <v>201693E0100</v>
      </c>
      <c r="B2428" s="2" t="s">
        <v>5050</v>
      </c>
      <c r="C2428">
        <v>20</v>
      </c>
      <c r="D2428" t="s">
        <v>88</v>
      </c>
      <c r="E2428">
        <v>378</v>
      </c>
      <c r="F2428" t="s">
        <v>5042</v>
      </c>
      <c r="G2428">
        <v>1693</v>
      </c>
      <c r="H2428">
        <v>1</v>
      </c>
      <c r="I2428" t="s">
        <v>156</v>
      </c>
      <c r="J2428">
        <v>0</v>
      </c>
      <c r="K2428">
        <v>2</v>
      </c>
      <c r="L2428">
        <v>5</v>
      </c>
      <c r="M2428">
        <v>218</v>
      </c>
      <c r="N2428">
        <v>496</v>
      </c>
      <c r="O2428">
        <v>0</v>
      </c>
      <c r="P2428">
        <v>496</v>
      </c>
      <c r="Q2428">
        <v>2</v>
      </c>
      <c r="R2428">
        <v>97</v>
      </c>
      <c r="S2428">
        <v>266</v>
      </c>
      <c r="T2428">
        <v>2</v>
      </c>
      <c r="U2428">
        <v>7</v>
      </c>
      <c r="V2428">
        <v>2</v>
      </c>
      <c r="X2428">
        <v>1</v>
      </c>
      <c r="Y2428">
        <v>29</v>
      </c>
      <c r="Z2428">
        <v>1</v>
      </c>
      <c r="AB2428">
        <v>58</v>
      </c>
      <c r="AC2428">
        <v>0</v>
      </c>
      <c r="AD2428">
        <v>0</v>
      </c>
      <c r="AE2428">
        <v>0</v>
      </c>
      <c r="AF2428">
        <v>1</v>
      </c>
      <c r="AG2428">
        <v>0</v>
      </c>
      <c r="AH2428">
        <v>1</v>
      </c>
      <c r="AI2428">
        <v>0</v>
      </c>
      <c r="AJ2428">
        <v>0</v>
      </c>
      <c r="AK2428">
        <v>2</v>
      </c>
      <c r="AL2428">
        <v>1</v>
      </c>
      <c r="AM2428">
        <v>0</v>
      </c>
      <c r="AN2428">
        <v>0</v>
      </c>
      <c r="BC2428">
        <v>0</v>
      </c>
      <c r="BD2428">
        <v>26</v>
      </c>
      <c r="BE2428">
        <v>496</v>
      </c>
      <c r="BF2428">
        <v>496</v>
      </c>
      <c r="BG2428">
        <v>692</v>
      </c>
      <c r="BJ2428">
        <v>1</v>
      </c>
      <c r="BL2428" t="s">
        <v>5051</v>
      </c>
      <c r="BM2428" s="4">
        <v>43283.348611111112</v>
      </c>
      <c r="BN2428" s="4">
        <v>43283.369270833333</v>
      </c>
      <c r="BO2428" s="4">
        <v>43283.369270833333</v>
      </c>
      <c r="BP2428" t="s">
        <v>92</v>
      </c>
      <c r="BQ2428" t="s">
        <v>93</v>
      </c>
      <c r="BR2428" t="s">
        <v>94</v>
      </c>
    </row>
    <row r="2429" spans="1:70" x14ac:dyDescent="0.3">
      <c r="A2429" t="str">
        <f>"201694B0100"</f>
        <v>201694B0100</v>
      </c>
      <c r="B2429" t="s">
        <v>5052</v>
      </c>
      <c r="C2429">
        <v>20</v>
      </c>
      <c r="D2429" t="s">
        <v>88</v>
      </c>
      <c r="E2429">
        <v>378</v>
      </c>
      <c r="F2429" t="s">
        <v>5042</v>
      </c>
      <c r="G2429">
        <v>1694</v>
      </c>
      <c r="H2429">
        <v>1</v>
      </c>
      <c r="I2429" t="s">
        <v>90</v>
      </c>
      <c r="J2429">
        <v>0</v>
      </c>
      <c r="K2429">
        <v>2</v>
      </c>
      <c r="L2429">
        <v>5</v>
      </c>
      <c r="M2429">
        <v>147</v>
      </c>
      <c r="N2429">
        <v>439</v>
      </c>
      <c r="O2429">
        <v>2</v>
      </c>
      <c r="P2429">
        <v>438</v>
      </c>
      <c r="Q2429">
        <v>0</v>
      </c>
      <c r="R2429">
        <v>32</v>
      </c>
      <c r="S2429">
        <v>163</v>
      </c>
      <c r="T2429">
        <v>22</v>
      </c>
      <c r="U2429">
        <v>3</v>
      </c>
      <c r="V2429">
        <v>1</v>
      </c>
      <c r="X2429">
        <v>0</v>
      </c>
      <c r="Y2429">
        <v>52</v>
      </c>
      <c r="Z2429">
        <v>1</v>
      </c>
      <c r="AB2429">
        <v>140</v>
      </c>
      <c r="AC2429">
        <v>0</v>
      </c>
      <c r="AD2429">
        <v>0</v>
      </c>
      <c r="AE2429">
        <v>0</v>
      </c>
      <c r="AF2429">
        <v>1</v>
      </c>
      <c r="AG2429">
        <v>0</v>
      </c>
      <c r="AH2429">
        <v>0</v>
      </c>
      <c r="AI2429">
        <v>0</v>
      </c>
      <c r="AJ2429">
        <v>0</v>
      </c>
      <c r="AK2429">
        <v>0</v>
      </c>
      <c r="AL2429">
        <v>0</v>
      </c>
      <c r="AM2429">
        <v>0</v>
      </c>
      <c r="AN2429">
        <v>1</v>
      </c>
      <c r="BC2429">
        <v>0</v>
      </c>
      <c r="BD2429">
        <v>21</v>
      </c>
      <c r="BE2429">
        <v>438</v>
      </c>
      <c r="BF2429">
        <v>437</v>
      </c>
      <c r="BG2429">
        <v>434</v>
      </c>
      <c r="BJ2429">
        <v>1</v>
      </c>
      <c r="BL2429" t="s">
        <v>5053</v>
      </c>
      <c r="BM2429" s="4">
        <v>43283.209027777775</v>
      </c>
      <c r="BN2429" s="4">
        <v>43283.444432870368</v>
      </c>
      <c r="BO2429" s="4">
        <v>43283.444432870368</v>
      </c>
      <c r="BP2429" t="s">
        <v>92</v>
      </c>
      <c r="BQ2429" t="s">
        <v>93</v>
      </c>
      <c r="BR2429" t="s">
        <v>94</v>
      </c>
    </row>
    <row r="2430" spans="1:70" x14ac:dyDescent="0.3">
      <c r="A2430" t="str">
        <f>"201694C0100"</f>
        <v>201694C0100</v>
      </c>
      <c r="B2430" t="s">
        <v>5054</v>
      </c>
      <c r="C2430">
        <v>20</v>
      </c>
      <c r="D2430" t="s">
        <v>88</v>
      </c>
      <c r="E2430">
        <v>378</v>
      </c>
      <c r="F2430" t="s">
        <v>5042</v>
      </c>
      <c r="G2430">
        <v>1694</v>
      </c>
      <c r="H2430">
        <v>1</v>
      </c>
      <c r="I2430" t="s">
        <v>98</v>
      </c>
      <c r="J2430">
        <v>0</v>
      </c>
      <c r="K2430">
        <v>2</v>
      </c>
      <c r="L2430">
        <v>5</v>
      </c>
      <c r="M2430">
        <v>111</v>
      </c>
      <c r="N2430">
        <v>345</v>
      </c>
      <c r="O2430">
        <v>2</v>
      </c>
      <c r="P2430">
        <v>345</v>
      </c>
      <c r="Q2430">
        <v>0</v>
      </c>
      <c r="R2430">
        <v>105</v>
      </c>
      <c r="S2430">
        <v>79</v>
      </c>
      <c r="T2430">
        <v>4</v>
      </c>
      <c r="U2430">
        <v>4</v>
      </c>
      <c r="V2430">
        <v>1</v>
      </c>
      <c r="X2430">
        <v>5</v>
      </c>
      <c r="Y2430">
        <v>17</v>
      </c>
      <c r="Z2430">
        <v>2</v>
      </c>
      <c r="AB2430">
        <v>115</v>
      </c>
      <c r="AC2430">
        <v>0</v>
      </c>
      <c r="AD2430">
        <v>1</v>
      </c>
      <c r="AE2430">
        <v>0</v>
      </c>
      <c r="AF2430">
        <v>0</v>
      </c>
      <c r="AG2430">
        <v>0</v>
      </c>
      <c r="AH2430">
        <v>1</v>
      </c>
      <c r="AI2430">
        <v>0</v>
      </c>
      <c r="AJ2430">
        <v>0</v>
      </c>
      <c r="AK2430">
        <v>0</v>
      </c>
      <c r="AL2430">
        <v>0</v>
      </c>
      <c r="AM2430">
        <v>0</v>
      </c>
      <c r="AN2430">
        <v>0</v>
      </c>
      <c r="BC2430">
        <v>0</v>
      </c>
      <c r="BD2430">
        <v>11</v>
      </c>
      <c r="BE2430">
        <v>345</v>
      </c>
      <c r="BF2430">
        <v>345</v>
      </c>
      <c r="BG2430">
        <v>434</v>
      </c>
      <c r="BJ2430">
        <v>1</v>
      </c>
      <c r="BL2430" t="s">
        <v>5055</v>
      </c>
      <c r="BM2430" s="4">
        <v>43283.213888888888</v>
      </c>
      <c r="BN2430" s="4">
        <v>43283.446296296293</v>
      </c>
      <c r="BO2430" s="4">
        <v>43283.446296296293</v>
      </c>
      <c r="BP2430" t="s">
        <v>92</v>
      </c>
      <c r="BQ2430" t="s">
        <v>93</v>
      </c>
      <c r="BR2430" t="s">
        <v>94</v>
      </c>
    </row>
    <row r="2431" spans="1:70" x14ac:dyDescent="0.3">
      <c r="A2431" t="str">
        <f>"201695B0100"</f>
        <v>201695B0100</v>
      </c>
      <c r="B2431" t="s">
        <v>5056</v>
      </c>
      <c r="C2431">
        <v>20</v>
      </c>
      <c r="D2431" t="s">
        <v>88</v>
      </c>
      <c r="E2431">
        <v>378</v>
      </c>
      <c r="F2431" t="s">
        <v>5042</v>
      </c>
      <c r="G2431">
        <v>1695</v>
      </c>
      <c r="H2431">
        <v>1</v>
      </c>
      <c r="I2431" t="s">
        <v>90</v>
      </c>
      <c r="J2431">
        <v>0</v>
      </c>
      <c r="K2431">
        <v>2</v>
      </c>
      <c r="L2431">
        <v>5</v>
      </c>
      <c r="M2431">
        <v>132</v>
      </c>
      <c r="N2431">
        <v>324</v>
      </c>
      <c r="O2431">
        <v>0</v>
      </c>
      <c r="P2431">
        <v>324</v>
      </c>
      <c r="Q2431">
        <v>1</v>
      </c>
      <c r="R2431">
        <v>133</v>
      </c>
      <c r="S2431">
        <v>48</v>
      </c>
      <c r="T2431">
        <v>4</v>
      </c>
      <c r="U2431">
        <v>7</v>
      </c>
      <c r="V2431">
        <v>0</v>
      </c>
      <c r="X2431">
        <v>0</v>
      </c>
      <c r="Y2431">
        <v>15</v>
      </c>
      <c r="Z2431">
        <v>0</v>
      </c>
      <c r="AB2431">
        <v>97</v>
      </c>
      <c r="AC2431">
        <v>0</v>
      </c>
      <c r="AD2431">
        <v>0</v>
      </c>
      <c r="AE2431">
        <v>0</v>
      </c>
      <c r="AF2431">
        <v>1</v>
      </c>
      <c r="AG2431">
        <v>0</v>
      </c>
      <c r="AH2431">
        <v>0</v>
      </c>
      <c r="AI2431">
        <v>0</v>
      </c>
      <c r="AJ2431">
        <v>0</v>
      </c>
      <c r="AK2431">
        <v>0</v>
      </c>
      <c r="AL2431">
        <v>0</v>
      </c>
      <c r="AM2431">
        <v>0</v>
      </c>
      <c r="AN2431">
        <v>0</v>
      </c>
      <c r="BC2431">
        <v>0</v>
      </c>
      <c r="BD2431">
        <v>18</v>
      </c>
      <c r="BE2431">
        <v>324</v>
      </c>
      <c r="BF2431">
        <v>324</v>
      </c>
      <c r="BG2431">
        <v>621</v>
      </c>
      <c r="BJ2431">
        <v>1</v>
      </c>
      <c r="BL2431" t="s">
        <v>5057</v>
      </c>
      <c r="BM2431" s="4">
        <v>43283.201388888891</v>
      </c>
      <c r="BN2431" s="4">
        <v>43283.237361111111</v>
      </c>
      <c r="BO2431" s="4">
        <v>43283.237361111111</v>
      </c>
      <c r="BP2431" t="s">
        <v>92</v>
      </c>
      <c r="BQ2431" t="s">
        <v>93</v>
      </c>
      <c r="BR2431" t="s">
        <v>94</v>
      </c>
    </row>
    <row r="2432" spans="1:70" x14ac:dyDescent="0.3">
      <c r="A2432" t="str">
        <f>"201695E0100"</f>
        <v>201695E0100</v>
      </c>
      <c r="B2432" s="2" t="s">
        <v>5058</v>
      </c>
      <c r="C2432">
        <v>20</v>
      </c>
      <c r="D2432" t="s">
        <v>88</v>
      </c>
      <c r="E2432">
        <v>378</v>
      </c>
      <c r="F2432" t="s">
        <v>5042</v>
      </c>
      <c r="G2432">
        <v>1695</v>
      </c>
      <c r="H2432">
        <v>1</v>
      </c>
      <c r="I2432" t="s">
        <v>156</v>
      </c>
      <c r="J2432">
        <v>0</v>
      </c>
      <c r="K2432">
        <v>2</v>
      </c>
      <c r="L2432">
        <v>5</v>
      </c>
      <c r="BG2432">
        <v>258</v>
      </c>
      <c r="BI2432" t="s">
        <v>122</v>
      </c>
      <c r="BJ2432">
        <v>0</v>
      </c>
      <c r="BL2432" t="s">
        <v>5059</v>
      </c>
      <c r="BM2432" s="4">
        <v>43283.515972222223</v>
      </c>
      <c r="BN2432" s="4">
        <v>43283.517280092594</v>
      </c>
      <c r="BO2432" s="4">
        <v>43283.517280092594</v>
      </c>
      <c r="BP2432" t="s">
        <v>92</v>
      </c>
      <c r="BQ2432" t="s">
        <v>93</v>
      </c>
      <c r="BR2432" t="s">
        <v>94</v>
      </c>
    </row>
    <row r="2433" spans="1:70" x14ac:dyDescent="0.3">
      <c r="A2433" t="str">
        <f>"201696B0100"</f>
        <v>201696B0100</v>
      </c>
      <c r="B2433" t="s">
        <v>5060</v>
      </c>
      <c r="C2433">
        <v>20</v>
      </c>
      <c r="D2433" t="s">
        <v>88</v>
      </c>
      <c r="E2433">
        <v>378</v>
      </c>
      <c r="F2433" t="s">
        <v>5042</v>
      </c>
      <c r="G2433">
        <v>1696</v>
      </c>
      <c r="H2433">
        <v>1</v>
      </c>
      <c r="I2433" t="s">
        <v>90</v>
      </c>
      <c r="J2433">
        <v>0</v>
      </c>
      <c r="K2433">
        <v>2</v>
      </c>
      <c r="L2433">
        <v>5</v>
      </c>
      <c r="M2433">
        <v>59</v>
      </c>
      <c r="N2433">
        <v>221</v>
      </c>
      <c r="O2433">
        <v>4</v>
      </c>
      <c r="P2433">
        <v>221</v>
      </c>
      <c r="Q2433">
        <v>3</v>
      </c>
      <c r="R2433">
        <v>109</v>
      </c>
      <c r="S2433">
        <v>16</v>
      </c>
      <c r="T2433">
        <v>2</v>
      </c>
      <c r="U2433">
        <v>3</v>
      </c>
      <c r="V2433">
        <v>0</v>
      </c>
      <c r="X2433">
        <v>0</v>
      </c>
      <c r="Y2433">
        <v>4</v>
      </c>
      <c r="Z2433">
        <v>0</v>
      </c>
      <c r="AB2433">
        <v>70</v>
      </c>
      <c r="AC2433">
        <v>0</v>
      </c>
      <c r="AD2433">
        <v>0</v>
      </c>
      <c r="AE2433">
        <v>0</v>
      </c>
      <c r="AF2433">
        <v>0</v>
      </c>
      <c r="AG2433">
        <v>0</v>
      </c>
      <c r="AH2433">
        <v>1</v>
      </c>
      <c r="AI2433">
        <v>0</v>
      </c>
      <c r="AJ2433">
        <v>0</v>
      </c>
      <c r="AK2433">
        <v>0</v>
      </c>
      <c r="AL2433">
        <v>0</v>
      </c>
      <c r="AM2433">
        <v>0</v>
      </c>
      <c r="AN2433">
        <v>0</v>
      </c>
      <c r="BC2433">
        <v>0</v>
      </c>
      <c r="BD2433">
        <v>13</v>
      </c>
      <c r="BE2433">
        <v>221</v>
      </c>
      <c r="BF2433">
        <v>221</v>
      </c>
      <c r="BG2433">
        <v>306</v>
      </c>
      <c r="BJ2433">
        <v>1</v>
      </c>
      <c r="BL2433" t="s">
        <v>5061</v>
      </c>
      <c r="BM2433" s="4">
        <v>43283.211805555555</v>
      </c>
      <c r="BN2433" s="4">
        <v>43283.239768518521</v>
      </c>
      <c r="BO2433" s="4">
        <v>43283.239768518521</v>
      </c>
      <c r="BP2433" t="s">
        <v>92</v>
      </c>
      <c r="BQ2433" t="s">
        <v>93</v>
      </c>
      <c r="BR2433" t="s">
        <v>94</v>
      </c>
    </row>
    <row r="2434" spans="1:70" x14ac:dyDescent="0.3">
      <c r="A2434" t="str">
        <f>"201696E0100"</f>
        <v>201696E0100</v>
      </c>
      <c r="B2434" s="2" t="s">
        <v>5062</v>
      </c>
      <c r="C2434">
        <v>20</v>
      </c>
      <c r="D2434" t="s">
        <v>88</v>
      </c>
      <c r="E2434">
        <v>378</v>
      </c>
      <c r="F2434" t="s">
        <v>5042</v>
      </c>
      <c r="G2434">
        <v>1696</v>
      </c>
      <c r="H2434">
        <v>1</v>
      </c>
      <c r="I2434" t="s">
        <v>156</v>
      </c>
      <c r="J2434">
        <v>0</v>
      </c>
      <c r="K2434">
        <v>2</v>
      </c>
      <c r="L2434">
        <v>5</v>
      </c>
      <c r="M2434">
        <v>60</v>
      </c>
      <c r="N2434">
        <v>230</v>
      </c>
      <c r="O2434">
        <v>2</v>
      </c>
      <c r="P2434">
        <v>230</v>
      </c>
      <c r="Q2434">
        <v>17</v>
      </c>
      <c r="R2434">
        <v>52</v>
      </c>
      <c r="S2434">
        <v>103</v>
      </c>
      <c r="T2434">
        <v>16</v>
      </c>
      <c r="U2434">
        <v>3</v>
      </c>
      <c r="V2434">
        <v>5</v>
      </c>
      <c r="X2434">
        <v>10</v>
      </c>
      <c r="Y2434">
        <v>8</v>
      </c>
      <c r="Z2434">
        <v>0</v>
      </c>
      <c r="AB2434">
        <v>4</v>
      </c>
      <c r="AC2434">
        <v>0</v>
      </c>
      <c r="AD2434">
        <v>0</v>
      </c>
      <c r="AE2434">
        <v>0</v>
      </c>
      <c r="AF2434">
        <v>0</v>
      </c>
      <c r="AG2434">
        <v>0</v>
      </c>
      <c r="AH2434">
        <v>0</v>
      </c>
      <c r="AI2434">
        <v>0</v>
      </c>
      <c r="AJ2434">
        <v>0</v>
      </c>
      <c r="AK2434">
        <v>0</v>
      </c>
      <c r="AL2434">
        <v>0</v>
      </c>
      <c r="AM2434">
        <v>0</v>
      </c>
      <c r="AN2434">
        <v>1</v>
      </c>
      <c r="BC2434">
        <v>0</v>
      </c>
      <c r="BD2434">
        <v>11</v>
      </c>
      <c r="BE2434">
        <v>230</v>
      </c>
      <c r="BF2434">
        <v>230</v>
      </c>
      <c r="BG2434">
        <v>268</v>
      </c>
      <c r="BJ2434">
        <v>1</v>
      </c>
      <c r="BL2434" t="s">
        <v>5063</v>
      </c>
      <c r="BM2434" s="4">
        <v>43283.138888888891</v>
      </c>
      <c r="BN2434" s="4">
        <v>43283.184201388889</v>
      </c>
      <c r="BO2434" s="4">
        <v>43283.184201388889</v>
      </c>
      <c r="BP2434" t="s">
        <v>92</v>
      </c>
      <c r="BQ2434" t="s">
        <v>93</v>
      </c>
      <c r="BR2434" t="s">
        <v>94</v>
      </c>
    </row>
    <row r="2435" spans="1:70" x14ac:dyDescent="0.3">
      <c r="A2435" t="str">
        <f>"201697B0100"</f>
        <v>201697B0100</v>
      </c>
      <c r="B2435" t="s">
        <v>5064</v>
      </c>
      <c r="C2435">
        <v>20</v>
      </c>
      <c r="D2435" t="s">
        <v>88</v>
      </c>
      <c r="E2435">
        <v>378</v>
      </c>
      <c r="F2435" t="s">
        <v>5042</v>
      </c>
      <c r="G2435">
        <v>1697</v>
      </c>
      <c r="H2435">
        <v>1</v>
      </c>
      <c r="I2435" t="s">
        <v>90</v>
      </c>
      <c r="J2435">
        <v>0</v>
      </c>
      <c r="K2435">
        <v>2</v>
      </c>
      <c r="L2435">
        <v>5</v>
      </c>
      <c r="M2435">
        <v>170</v>
      </c>
      <c r="N2435">
        <v>290</v>
      </c>
      <c r="O2435">
        <v>1</v>
      </c>
      <c r="P2435">
        <v>291</v>
      </c>
      <c r="Q2435">
        <v>0</v>
      </c>
      <c r="R2435">
        <v>10</v>
      </c>
      <c r="S2435">
        <v>134</v>
      </c>
      <c r="T2435">
        <v>5</v>
      </c>
      <c r="U2435">
        <v>3</v>
      </c>
      <c r="V2435">
        <v>0</v>
      </c>
      <c r="X2435">
        <v>0</v>
      </c>
      <c r="Y2435">
        <v>3</v>
      </c>
      <c r="Z2435">
        <v>2</v>
      </c>
      <c r="AB2435">
        <v>119</v>
      </c>
      <c r="AC2435">
        <v>0</v>
      </c>
      <c r="AD2435">
        <v>0</v>
      </c>
      <c r="AE2435">
        <v>0</v>
      </c>
      <c r="AF2435">
        <v>0</v>
      </c>
      <c r="AG2435">
        <v>0</v>
      </c>
      <c r="AH2435">
        <v>0</v>
      </c>
      <c r="AI2435">
        <v>0</v>
      </c>
      <c r="AJ2435">
        <v>0</v>
      </c>
      <c r="AK2435">
        <v>0</v>
      </c>
      <c r="AL2435">
        <v>0</v>
      </c>
      <c r="AM2435">
        <v>0</v>
      </c>
      <c r="AN2435">
        <v>1</v>
      </c>
      <c r="BC2435">
        <v>0</v>
      </c>
      <c r="BD2435">
        <v>14</v>
      </c>
      <c r="BE2435">
        <v>291</v>
      </c>
      <c r="BF2435">
        <v>291</v>
      </c>
      <c r="BG2435">
        <v>438</v>
      </c>
      <c r="BJ2435">
        <v>1</v>
      </c>
      <c r="BL2435" t="s">
        <v>5065</v>
      </c>
      <c r="BM2435" s="4">
        <v>43283.134722222225</v>
      </c>
      <c r="BN2435" s="4">
        <v>43283.164606481485</v>
      </c>
      <c r="BO2435" s="4">
        <v>43283.164606481485</v>
      </c>
      <c r="BP2435" t="s">
        <v>92</v>
      </c>
      <c r="BQ2435" t="s">
        <v>93</v>
      </c>
      <c r="BR2435" t="s">
        <v>94</v>
      </c>
    </row>
    <row r="2436" spans="1:70" x14ac:dyDescent="0.3">
      <c r="A2436" t="str">
        <f>"201697C0100"</f>
        <v>201697C0100</v>
      </c>
      <c r="B2436" t="s">
        <v>5066</v>
      </c>
      <c r="C2436">
        <v>20</v>
      </c>
      <c r="D2436" t="s">
        <v>88</v>
      </c>
      <c r="E2436">
        <v>378</v>
      </c>
      <c r="F2436" t="s">
        <v>5042</v>
      </c>
      <c r="G2436">
        <v>1697</v>
      </c>
      <c r="H2436">
        <v>1</v>
      </c>
      <c r="I2436" t="s">
        <v>98</v>
      </c>
      <c r="J2436">
        <v>0</v>
      </c>
      <c r="K2436">
        <v>2</v>
      </c>
      <c r="L2436">
        <v>5</v>
      </c>
      <c r="M2436">
        <v>147</v>
      </c>
      <c r="N2436">
        <v>311</v>
      </c>
      <c r="O2436">
        <v>1</v>
      </c>
      <c r="P2436">
        <v>313</v>
      </c>
      <c r="Q2436">
        <v>0</v>
      </c>
      <c r="R2436">
        <v>12</v>
      </c>
      <c r="S2436">
        <v>136</v>
      </c>
      <c r="T2436">
        <v>1</v>
      </c>
      <c r="U2436">
        <v>1</v>
      </c>
      <c r="V2436">
        <v>1</v>
      </c>
      <c r="X2436">
        <v>0</v>
      </c>
      <c r="Y2436">
        <v>5</v>
      </c>
      <c r="Z2436">
        <v>0</v>
      </c>
      <c r="AB2436">
        <v>133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  <c r="AI2436">
        <v>0</v>
      </c>
      <c r="AJ2436">
        <v>0</v>
      </c>
      <c r="AK2436">
        <v>0</v>
      </c>
      <c r="AL2436">
        <v>0</v>
      </c>
      <c r="AM2436">
        <v>0</v>
      </c>
      <c r="AN2436">
        <v>0</v>
      </c>
      <c r="BC2436">
        <v>4</v>
      </c>
      <c r="BD2436">
        <v>20</v>
      </c>
      <c r="BE2436">
        <v>313</v>
      </c>
      <c r="BF2436">
        <v>313</v>
      </c>
      <c r="BG2436">
        <v>438</v>
      </c>
      <c r="BJ2436">
        <v>1</v>
      </c>
      <c r="BL2436" t="s">
        <v>5067</v>
      </c>
      <c r="BM2436" s="4">
        <v>43283.137499999997</v>
      </c>
      <c r="BN2436" s="4">
        <v>43283.168333333335</v>
      </c>
      <c r="BO2436" s="4">
        <v>43283.168333333335</v>
      </c>
      <c r="BP2436" t="s">
        <v>92</v>
      </c>
      <c r="BQ2436" t="s">
        <v>93</v>
      </c>
      <c r="BR2436" t="s">
        <v>94</v>
      </c>
    </row>
    <row r="2437" spans="1:70" x14ac:dyDescent="0.3">
      <c r="A2437" t="str">
        <f>"201698B0100"</f>
        <v>201698B0100</v>
      </c>
      <c r="B2437" t="s">
        <v>5068</v>
      </c>
      <c r="C2437">
        <v>20</v>
      </c>
      <c r="D2437" t="s">
        <v>88</v>
      </c>
      <c r="E2437">
        <v>378</v>
      </c>
      <c r="F2437" t="s">
        <v>5042</v>
      </c>
      <c r="G2437">
        <v>1698</v>
      </c>
      <c r="H2437">
        <v>1</v>
      </c>
      <c r="I2437" t="s">
        <v>90</v>
      </c>
      <c r="J2437">
        <v>0</v>
      </c>
      <c r="K2437">
        <v>2</v>
      </c>
      <c r="L2437">
        <v>5</v>
      </c>
      <c r="M2437">
        <v>185</v>
      </c>
      <c r="N2437">
        <v>652</v>
      </c>
      <c r="O2437">
        <v>0</v>
      </c>
      <c r="P2437">
        <v>0</v>
      </c>
      <c r="Q2437">
        <v>0</v>
      </c>
      <c r="R2437">
        <v>154</v>
      </c>
      <c r="S2437">
        <v>186</v>
      </c>
      <c r="T2437">
        <v>3</v>
      </c>
      <c r="U2437">
        <v>5</v>
      </c>
      <c r="V2437">
        <v>0</v>
      </c>
      <c r="X2437">
        <v>3</v>
      </c>
      <c r="Y2437">
        <v>97</v>
      </c>
      <c r="Z2437">
        <v>3</v>
      </c>
      <c r="AB2437">
        <v>8</v>
      </c>
      <c r="AC2437">
        <v>3</v>
      </c>
      <c r="AD2437">
        <v>2</v>
      </c>
      <c r="AE2437">
        <v>0</v>
      </c>
      <c r="AF2437">
        <v>0</v>
      </c>
      <c r="AG2437">
        <v>0</v>
      </c>
      <c r="AH2437">
        <v>0</v>
      </c>
      <c r="AI2437">
        <v>0</v>
      </c>
      <c r="AJ2437">
        <v>0</v>
      </c>
      <c r="AK2437">
        <v>3</v>
      </c>
      <c r="AL2437">
        <v>1</v>
      </c>
      <c r="AM2437">
        <v>0</v>
      </c>
      <c r="AN2437">
        <v>0</v>
      </c>
      <c r="BC2437">
        <v>0</v>
      </c>
      <c r="BD2437">
        <v>13</v>
      </c>
      <c r="BE2437">
        <v>481</v>
      </c>
      <c r="BF2437">
        <v>481</v>
      </c>
      <c r="BG2437">
        <v>630</v>
      </c>
      <c r="BJ2437">
        <v>1</v>
      </c>
      <c r="BL2437" t="s">
        <v>5069</v>
      </c>
      <c r="BM2437" s="4">
        <v>43283.273611111108</v>
      </c>
      <c r="BN2437" s="4">
        <v>43283.306979166664</v>
      </c>
      <c r="BO2437" s="4">
        <v>43283.306979166664</v>
      </c>
      <c r="BP2437" t="s">
        <v>92</v>
      </c>
      <c r="BQ2437" t="s">
        <v>93</v>
      </c>
      <c r="BR2437" t="s">
        <v>94</v>
      </c>
    </row>
    <row r="2438" spans="1:70" x14ac:dyDescent="0.3">
      <c r="A2438" t="str">
        <f>"201698C0100"</f>
        <v>201698C0100</v>
      </c>
      <c r="B2438" t="s">
        <v>5070</v>
      </c>
      <c r="C2438">
        <v>20</v>
      </c>
      <c r="D2438" t="s">
        <v>88</v>
      </c>
      <c r="E2438">
        <v>378</v>
      </c>
      <c r="F2438" t="s">
        <v>5042</v>
      </c>
      <c r="G2438">
        <v>1698</v>
      </c>
      <c r="H2438">
        <v>1</v>
      </c>
      <c r="I2438" t="s">
        <v>98</v>
      </c>
      <c r="J2438">
        <v>0</v>
      </c>
      <c r="K2438">
        <v>2</v>
      </c>
      <c r="L2438">
        <v>5</v>
      </c>
      <c r="BG2438">
        <v>629</v>
      </c>
      <c r="BI2438" t="s">
        <v>365</v>
      </c>
      <c r="BJ2438">
        <v>0</v>
      </c>
      <c r="BL2438" t="s">
        <v>5071</v>
      </c>
      <c r="BM2438" s="4">
        <v>43282.509027777778</v>
      </c>
      <c r="BN2438" s="4">
        <v>43283.510416666664</v>
      </c>
      <c r="BO2438" s="4">
        <v>43283.510416666664</v>
      </c>
      <c r="BP2438" t="s">
        <v>92</v>
      </c>
      <c r="BQ2438" t="s">
        <v>93</v>
      </c>
      <c r="BR2438" t="s">
        <v>94</v>
      </c>
    </row>
    <row r="2439" spans="1:70" x14ac:dyDescent="0.3">
      <c r="A2439" t="str">
        <f>"201698E0100"</f>
        <v>201698E0100</v>
      </c>
      <c r="B2439" s="2" t="s">
        <v>5072</v>
      </c>
      <c r="C2439">
        <v>20</v>
      </c>
      <c r="D2439" t="s">
        <v>88</v>
      </c>
      <c r="E2439">
        <v>378</v>
      </c>
      <c r="F2439" t="s">
        <v>5042</v>
      </c>
      <c r="G2439">
        <v>1698</v>
      </c>
      <c r="H2439">
        <v>1</v>
      </c>
      <c r="I2439" t="s">
        <v>156</v>
      </c>
      <c r="J2439">
        <v>0</v>
      </c>
      <c r="K2439">
        <v>2</v>
      </c>
      <c r="L2439">
        <v>5</v>
      </c>
      <c r="M2439">
        <v>106</v>
      </c>
      <c r="N2439">
        <v>178</v>
      </c>
      <c r="O2439">
        <v>0</v>
      </c>
      <c r="P2439">
        <v>178</v>
      </c>
      <c r="Q2439">
        <v>0</v>
      </c>
      <c r="R2439">
        <v>29</v>
      </c>
      <c r="S2439">
        <v>97</v>
      </c>
      <c r="T2439">
        <v>0</v>
      </c>
      <c r="U2439">
        <v>2</v>
      </c>
      <c r="V2439">
        <v>1</v>
      </c>
      <c r="X2439">
        <v>0</v>
      </c>
      <c r="Y2439">
        <v>32</v>
      </c>
      <c r="Z2439">
        <v>1</v>
      </c>
      <c r="AB2439">
        <v>8</v>
      </c>
      <c r="AC2439">
        <v>1</v>
      </c>
      <c r="AD2439">
        <v>0</v>
      </c>
      <c r="AE2439">
        <v>0</v>
      </c>
      <c r="AF2439">
        <v>0</v>
      </c>
      <c r="AG2439">
        <v>0</v>
      </c>
      <c r="AH2439">
        <v>0</v>
      </c>
      <c r="AI2439">
        <v>0</v>
      </c>
      <c r="AJ2439">
        <v>0</v>
      </c>
      <c r="AK2439">
        <v>0</v>
      </c>
      <c r="AL2439">
        <v>0</v>
      </c>
      <c r="AM2439">
        <v>0</v>
      </c>
      <c r="AN2439">
        <v>0</v>
      </c>
      <c r="BC2439">
        <v>0</v>
      </c>
      <c r="BD2439">
        <v>7</v>
      </c>
      <c r="BE2439">
        <v>178</v>
      </c>
      <c r="BF2439">
        <v>178</v>
      </c>
      <c r="BG2439">
        <v>262</v>
      </c>
      <c r="BJ2439">
        <v>1</v>
      </c>
      <c r="BL2439" t="s">
        <v>5073</v>
      </c>
      <c r="BM2439" s="4">
        <v>43283.274305555555</v>
      </c>
      <c r="BN2439" s="4">
        <v>43283.303807870368</v>
      </c>
      <c r="BO2439" s="4">
        <v>43283.303807870368</v>
      </c>
      <c r="BP2439" t="s">
        <v>92</v>
      </c>
      <c r="BQ2439" t="s">
        <v>93</v>
      </c>
      <c r="BR2439" t="s">
        <v>94</v>
      </c>
    </row>
    <row r="2440" spans="1:70" x14ac:dyDescent="0.3">
      <c r="A2440" t="str">
        <f>"201704B0100"</f>
        <v>201704B0100</v>
      </c>
      <c r="B2440" t="s">
        <v>5074</v>
      </c>
      <c r="C2440">
        <v>20</v>
      </c>
      <c r="D2440" t="s">
        <v>88</v>
      </c>
      <c r="E2440">
        <v>382</v>
      </c>
      <c r="F2440" t="s">
        <v>5075</v>
      </c>
      <c r="G2440">
        <v>1704</v>
      </c>
      <c r="H2440">
        <v>1</v>
      </c>
      <c r="I2440" t="s">
        <v>90</v>
      </c>
      <c r="J2440">
        <v>0</v>
      </c>
      <c r="K2440">
        <v>1</v>
      </c>
      <c r="L2440">
        <v>5</v>
      </c>
      <c r="M2440">
        <v>133</v>
      </c>
      <c r="N2440">
        <v>345</v>
      </c>
      <c r="O2440">
        <v>9</v>
      </c>
      <c r="P2440">
        <v>345</v>
      </c>
      <c r="Q2440">
        <v>17</v>
      </c>
      <c r="R2440">
        <v>131</v>
      </c>
      <c r="S2440">
        <v>149</v>
      </c>
      <c r="T2440">
        <v>2</v>
      </c>
      <c r="U2440">
        <v>1</v>
      </c>
      <c r="V2440">
        <v>1</v>
      </c>
      <c r="X2440">
        <v>0</v>
      </c>
      <c r="Y2440">
        <v>21</v>
      </c>
      <c r="Z2440">
        <v>0</v>
      </c>
      <c r="AC2440">
        <v>1</v>
      </c>
      <c r="AD2440">
        <v>2</v>
      </c>
      <c r="AE2440">
        <v>1</v>
      </c>
      <c r="AF2440">
        <v>0</v>
      </c>
      <c r="AG2440">
        <v>1</v>
      </c>
      <c r="AH2440">
        <v>0</v>
      </c>
      <c r="AI2440">
        <v>0</v>
      </c>
      <c r="AJ2440">
        <v>0</v>
      </c>
      <c r="AK2440">
        <v>0</v>
      </c>
      <c r="AL2440">
        <v>0</v>
      </c>
      <c r="AM2440">
        <v>0</v>
      </c>
      <c r="AN2440">
        <v>0</v>
      </c>
      <c r="BC2440">
        <v>0</v>
      </c>
      <c r="BD2440">
        <v>18</v>
      </c>
      <c r="BE2440">
        <v>345</v>
      </c>
      <c r="BF2440">
        <v>345</v>
      </c>
      <c r="BG2440">
        <v>456</v>
      </c>
      <c r="BJ2440">
        <v>1</v>
      </c>
      <c r="BL2440" t="s">
        <v>5076</v>
      </c>
      <c r="BM2440" s="4">
        <v>43283.35</v>
      </c>
      <c r="BN2440" s="4">
        <v>43283.371828703705</v>
      </c>
      <c r="BO2440" s="4">
        <v>43283.371828703705</v>
      </c>
      <c r="BP2440" t="s">
        <v>92</v>
      </c>
      <c r="BQ2440" t="s">
        <v>93</v>
      </c>
      <c r="BR2440" t="s">
        <v>94</v>
      </c>
    </row>
    <row r="2441" spans="1:70" x14ac:dyDescent="0.3">
      <c r="A2441" t="str">
        <f>"201704C0100"</f>
        <v>201704C0100</v>
      </c>
      <c r="B2441" t="s">
        <v>5077</v>
      </c>
      <c r="C2441">
        <v>20</v>
      </c>
      <c r="D2441" t="s">
        <v>88</v>
      </c>
      <c r="E2441">
        <v>382</v>
      </c>
      <c r="F2441" t="s">
        <v>5075</v>
      </c>
      <c r="G2441">
        <v>1704</v>
      </c>
      <c r="H2441">
        <v>1</v>
      </c>
      <c r="I2441" t="s">
        <v>98</v>
      </c>
      <c r="J2441">
        <v>0</v>
      </c>
      <c r="K2441">
        <v>1</v>
      </c>
      <c r="L2441">
        <v>5</v>
      </c>
      <c r="BG2441">
        <v>456</v>
      </c>
      <c r="BI2441" t="s">
        <v>122</v>
      </c>
      <c r="BJ2441">
        <v>0</v>
      </c>
      <c r="BL2441" t="s">
        <v>5078</v>
      </c>
      <c r="BM2441" s="4">
        <v>43283.808333333334</v>
      </c>
      <c r="BN2441" s="4">
        <v>43283.810474537036</v>
      </c>
      <c r="BO2441" s="4">
        <v>43283.810474537036</v>
      </c>
      <c r="BP2441" t="s">
        <v>92</v>
      </c>
      <c r="BQ2441" t="s">
        <v>93</v>
      </c>
      <c r="BR2441" t="s">
        <v>94</v>
      </c>
    </row>
    <row r="2442" spans="1:70" x14ac:dyDescent="0.3">
      <c r="A2442" t="str">
        <f>"201705B0100"</f>
        <v>201705B0100</v>
      </c>
      <c r="B2442" t="s">
        <v>5079</v>
      </c>
      <c r="C2442">
        <v>20</v>
      </c>
      <c r="D2442" t="s">
        <v>88</v>
      </c>
      <c r="E2442">
        <v>382</v>
      </c>
      <c r="F2442" t="s">
        <v>5075</v>
      </c>
      <c r="G2442">
        <v>1705</v>
      </c>
      <c r="H2442">
        <v>1</v>
      </c>
      <c r="I2442" t="s">
        <v>90</v>
      </c>
      <c r="J2442">
        <v>0</v>
      </c>
      <c r="K2442">
        <v>1</v>
      </c>
      <c r="L2442">
        <v>5</v>
      </c>
      <c r="M2442">
        <v>133</v>
      </c>
      <c r="N2442">
        <v>273</v>
      </c>
      <c r="O2442">
        <v>1</v>
      </c>
      <c r="P2442">
        <v>270</v>
      </c>
      <c r="Q2442">
        <v>7</v>
      </c>
      <c r="R2442">
        <v>104</v>
      </c>
      <c r="S2442">
        <v>129</v>
      </c>
      <c r="T2442">
        <v>1</v>
      </c>
      <c r="U2442">
        <v>4</v>
      </c>
      <c r="V2442">
        <v>2</v>
      </c>
      <c r="X2442">
        <v>1</v>
      </c>
      <c r="Y2442">
        <v>10</v>
      </c>
      <c r="Z2442">
        <v>0</v>
      </c>
      <c r="AC2442">
        <v>0</v>
      </c>
      <c r="AD2442">
        <v>1</v>
      </c>
      <c r="AE2442">
        <v>1</v>
      </c>
      <c r="AF2442">
        <v>2</v>
      </c>
      <c r="AG2442">
        <v>0</v>
      </c>
      <c r="AH2442">
        <v>1</v>
      </c>
      <c r="AI2442">
        <v>0</v>
      </c>
      <c r="AJ2442">
        <v>0</v>
      </c>
      <c r="AK2442">
        <v>0</v>
      </c>
      <c r="AL2442">
        <v>0</v>
      </c>
      <c r="AM2442">
        <v>0</v>
      </c>
      <c r="AN2442">
        <v>0</v>
      </c>
      <c r="BC2442">
        <v>0</v>
      </c>
      <c r="BD2442">
        <v>10</v>
      </c>
      <c r="BE2442">
        <v>273</v>
      </c>
      <c r="BF2442">
        <v>273</v>
      </c>
      <c r="BG2442">
        <v>384</v>
      </c>
      <c r="BJ2442">
        <v>1</v>
      </c>
      <c r="BL2442" t="s">
        <v>5080</v>
      </c>
      <c r="BM2442" s="4">
        <v>43283.349305555559</v>
      </c>
      <c r="BN2442" s="4">
        <v>43283.372141203705</v>
      </c>
      <c r="BO2442" s="4">
        <v>43283.372141203705</v>
      </c>
      <c r="BP2442" t="s">
        <v>92</v>
      </c>
      <c r="BQ2442" t="s">
        <v>93</v>
      </c>
      <c r="BR2442" t="s">
        <v>94</v>
      </c>
    </row>
    <row r="2443" spans="1:70" x14ac:dyDescent="0.3">
      <c r="A2443" t="str">
        <f>"201705C0100"</f>
        <v>201705C0100</v>
      </c>
      <c r="B2443" t="s">
        <v>5081</v>
      </c>
      <c r="C2443">
        <v>20</v>
      </c>
      <c r="D2443" t="s">
        <v>88</v>
      </c>
      <c r="E2443">
        <v>382</v>
      </c>
      <c r="F2443" t="s">
        <v>5075</v>
      </c>
      <c r="G2443">
        <v>1705</v>
      </c>
      <c r="H2443">
        <v>1</v>
      </c>
      <c r="I2443" t="s">
        <v>98</v>
      </c>
      <c r="J2443">
        <v>0</v>
      </c>
      <c r="K2443">
        <v>1</v>
      </c>
      <c r="L2443">
        <v>5</v>
      </c>
      <c r="M2443">
        <v>111</v>
      </c>
      <c r="N2443">
        <v>294</v>
      </c>
      <c r="O2443">
        <v>2</v>
      </c>
      <c r="P2443">
        <v>294</v>
      </c>
      <c r="Q2443">
        <v>3</v>
      </c>
      <c r="R2443">
        <v>127</v>
      </c>
      <c r="S2443">
        <v>96</v>
      </c>
      <c r="T2443">
        <v>2</v>
      </c>
      <c r="U2443">
        <v>6</v>
      </c>
      <c r="V2443">
        <v>1</v>
      </c>
      <c r="X2443">
        <v>1</v>
      </c>
      <c r="Y2443">
        <v>0</v>
      </c>
      <c r="Z2443">
        <v>47</v>
      </c>
      <c r="AC2443">
        <v>3</v>
      </c>
      <c r="AD2443">
        <v>0</v>
      </c>
      <c r="AE2443">
        <v>0</v>
      </c>
      <c r="AF2443">
        <v>0</v>
      </c>
      <c r="AG2443">
        <v>0</v>
      </c>
      <c r="AH2443">
        <v>0</v>
      </c>
      <c r="AI2443">
        <v>0</v>
      </c>
      <c r="AJ2443">
        <v>0</v>
      </c>
      <c r="AK2443">
        <v>0</v>
      </c>
      <c r="AL2443">
        <v>0</v>
      </c>
      <c r="AM2443">
        <v>0</v>
      </c>
      <c r="AN2443">
        <v>0</v>
      </c>
      <c r="BC2443">
        <v>0</v>
      </c>
      <c r="BD2443">
        <v>8</v>
      </c>
      <c r="BE2443">
        <v>294</v>
      </c>
      <c r="BF2443">
        <v>294</v>
      </c>
      <c r="BG2443">
        <v>383</v>
      </c>
      <c r="BJ2443">
        <v>1</v>
      </c>
      <c r="BL2443" t="s">
        <v>5082</v>
      </c>
      <c r="BM2443" s="4">
        <v>43283.349305555559</v>
      </c>
      <c r="BN2443" s="4">
        <v>43283.37872685185</v>
      </c>
      <c r="BO2443" s="4">
        <v>43283.37872685185</v>
      </c>
      <c r="BP2443" t="s">
        <v>92</v>
      </c>
      <c r="BQ2443" t="s">
        <v>93</v>
      </c>
      <c r="BR2443" t="s">
        <v>94</v>
      </c>
    </row>
    <row r="2444" spans="1:70" x14ac:dyDescent="0.3">
      <c r="A2444" t="str">
        <f>"201706B0100"</f>
        <v>201706B0100</v>
      </c>
      <c r="B2444" t="s">
        <v>5083</v>
      </c>
      <c r="C2444">
        <v>20</v>
      </c>
      <c r="D2444" t="s">
        <v>88</v>
      </c>
      <c r="E2444">
        <v>382</v>
      </c>
      <c r="F2444" t="s">
        <v>5075</v>
      </c>
      <c r="G2444">
        <v>1706</v>
      </c>
      <c r="H2444">
        <v>1</v>
      </c>
      <c r="I2444" t="s">
        <v>90</v>
      </c>
      <c r="J2444">
        <v>0</v>
      </c>
      <c r="K2444">
        <v>2</v>
      </c>
      <c r="L2444">
        <v>5</v>
      </c>
      <c r="M2444">
        <v>141</v>
      </c>
      <c r="N2444">
        <v>255</v>
      </c>
      <c r="O2444">
        <v>2</v>
      </c>
      <c r="P2444">
        <v>255</v>
      </c>
      <c r="Q2444">
        <v>6</v>
      </c>
      <c r="R2444">
        <v>96</v>
      </c>
      <c r="S2444">
        <v>132</v>
      </c>
      <c r="T2444">
        <v>0</v>
      </c>
      <c r="U2444">
        <v>0</v>
      </c>
      <c r="V2444">
        <v>3</v>
      </c>
      <c r="X2444">
        <v>0</v>
      </c>
      <c r="Y2444">
        <v>10</v>
      </c>
      <c r="Z2444">
        <v>0</v>
      </c>
      <c r="AC2444">
        <v>2</v>
      </c>
      <c r="AD2444">
        <v>0</v>
      </c>
      <c r="AE2444">
        <v>0</v>
      </c>
      <c r="AF2444">
        <v>0</v>
      </c>
      <c r="AG2444">
        <v>2</v>
      </c>
      <c r="AH2444">
        <v>0</v>
      </c>
      <c r="AI2444">
        <v>0</v>
      </c>
      <c r="AJ2444">
        <v>0</v>
      </c>
      <c r="AK2444">
        <v>0</v>
      </c>
      <c r="AL2444">
        <v>0</v>
      </c>
      <c r="AM2444">
        <v>0</v>
      </c>
      <c r="AN2444">
        <v>0</v>
      </c>
      <c r="BC2444">
        <v>0</v>
      </c>
      <c r="BD2444">
        <v>4</v>
      </c>
      <c r="BE2444">
        <v>255</v>
      </c>
      <c r="BF2444">
        <v>255</v>
      </c>
      <c r="BG2444">
        <v>374</v>
      </c>
      <c r="BJ2444">
        <v>1</v>
      </c>
      <c r="BL2444" t="s">
        <v>5084</v>
      </c>
      <c r="BM2444" s="4">
        <v>43283.35</v>
      </c>
      <c r="BN2444" s="4">
        <v>43283.371805555558</v>
      </c>
      <c r="BO2444" s="4">
        <v>43283.371805555558</v>
      </c>
      <c r="BP2444" t="s">
        <v>92</v>
      </c>
      <c r="BQ2444" t="s">
        <v>93</v>
      </c>
      <c r="BR2444" t="s">
        <v>94</v>
      </c>
    </row>
    <row r="2445" spans="1:70" x14ac:dyDescent="0.3">
      <c r="A2445" t="str">
        <f>"200037B0100"</f>
        <v>200037B0100</v>
      </c>
      <c r="B2445" t="s">
        <v>5085</v>
      </c>
      <c r="C2445">
        <v>20</v>
      </c>
      <c r="D2445" t="s">
        <v>88</v>
      </c>
      <c r="E2445">
        <v>386</v>
      </c>
      <c r="F2445" t="s">
        <v>5086</v>
      </c>
      <c r="G2445">
        <v>37</v>
      </c>
      <c r="H2445">
        <v>1</v>
      </c>
      <c r="I2445" t="s">
        <v>90</v>
      </c>
      <c r="J2445">
        <v>0</v>
      </c>
      <c r="K2445">
        <v>2</v>
      </c>
      <c r="L2445">
        <v>5</v>
      </c>
      <c r="BG2445">
        <v>635</v>
      </c>
      <c r="BI2445" t="s">
        <v>122</v>
      </c>
      <c r="BJ2445">
        <v>0</v>
      </c>
      <c r="BL2445" t="s">
        <v>5087</v>
      </c>
      <c r="BM2445" s="4">
        <v>43283.663194444445</v>
      </c>
      <c r="BN2445" s="4">
        <v>43283.665277777778</v>
      </c>
      <c r="BO2445" s="4">
        <v>43283.665277777778</v>
      </c>
      <c r="BP2445" t="s">
        <v>92</v>
      </c>
      <c r="BQ2445" t="s">
        <v>93</v>
      </c>
      <c r="BR2445" t="s">
        <v>94</v>
      </c>
    </row>
    <row r="2446" spans="1:70" x14ac:dyDescent="0.3">
      <c r="A2446" t="str">
        <f>"200037C0100"</f>
        <v>200037C0100</v>
      </c>
      <c r="B2446" t="s">
        <v>5088</v>
      </c>
      <c r="C2446">
        <v>20</v>
      </c>
      <c r="D2446" t="s">
        <v>88</v>
      </c>
      <c r="E2446">
        <v>386</v>
      </c>
      <c r="F2446" t="s">
        <v>5086</v>
      </c>
      <c r="G2446">
        <v>37</v>
      </c>
      <c r="H2446">
        <v>1</v>
      </c>
      <c r="I2446" t="s">
        <v>98</v>
      </c>
      <c r="J2446">
        <v>0</v>
      </c>
      <c r="K2446">
        <v>2</v>
      </c>
      <c r="L2446">
        <v>5</v>
      </c>
      <c r="M2446">
        <v>218</v>
      </c>
      <c r="N2446">
        <v>438</v>
      </c>
      <c r="O2446">
        <v>7</v>
      </c>
      <c r="P2446">
        <v>438</v>
      </c>
      <c r="Q2446">
        <v>37</v>
      </c>
      <c r="R2446">
        <v>31</v>
      </c>
      <c r="S2446">
        <v>167</v>
      </c>
      <c r="T2446">
        <v>6</v>
      </c>
      <c r="U2446">
        <v>10</v>
      </c>
      <c r="V2446">
        <v>7</v>
      </c>
      <c r="W2446">
        <v>4</v>
      </c>
      <c r="X2446">
        <v>2</v>
      </c>
      <c r="Y2446">
        <v>139</v>
      </c>
      <c r="Z2446">
        <v>8</v>
      </c>
      <c r="AA2446">
        <v>5</v>
      </c>
      <c r="AB2446">
        <v>3</v>
      </c>
      <c r="AC2446">
        <v>3</v>
      </c>
      <c r="AD2446">
        <v>3</v>
      </c>
      <c r="AE2446">
        <v>0</v>
      </c>
      <c r="AF2446">
        <v>0</v>
      </c>
      <c r="AK2446">
        <v>0</v>
      </c>
      <c r="AL2446">
        <v>4</v>
      </c>
      <c r="AM2446">
        <v>0</v>
      </c>
      <c r="AN2446">
        <v>0</v>
      </c>
      <c r="BC2446">
        <v>0</v>
      </c>
      <c r="BD2446">
        <v>9</v>
      </c>
      <c r="BE2446">
        <v>438</v>
      </c>
      <c r="BF2446">
        <v>438</v>
      </c>
      <c r="BG2446">
        <v>634</v>
      </c>
      <c r="BJ2446">
        <v>1</v>
      </c>
      <c r="BL2446" t="s">
        <v>5089</v>
      </c>
      <c r="BM2446" s="4">
        <v>43283.175694444442</v>
      </c>
      <c r="BN2446" s="4">
        <v>43283.19189814815</v>
      </c>
      <c r="BO2446" s="4">
        <v>43283.19189814815</v>
      </c>
      <c r="BP2446" t="s">
        <v>92</v>
      </c>
      <c r="BQ2446" t="s">
        <v>93</v>
      </c>
      <c r="BR2446" t="s">
        <v>94</v>
      </c>
    </row>
    <row r="2447" spans="1:70" x14ac:dyDescent="0.3">
      <c r="A2447" t="str">
        <f>"200037C0200"</f>
        <v>200037C0200</v>
      </c>
      <c r="B2447" t="s">
        <v>5090</v>
      </c>
      <c r="C2447">
        <v>20</v>
      </c>
      <c r="D2447" t="s">
        <v>88</v>
      </c>
      <c r="E2447">
        <v>386</v>
      </c>
      <c r="F2447" t="s">
        <v>5086</v>
      </c>
      <c r="G2447">
        <v>37</v>
      </c>
      <c r="H2447">
        <v>2</v>
      </c>
      <c r="I2447" t="s">
        <v>98</v>
      </c>
      <c r="J2447">
        <v>0</v>
      </c>
      <c r="K2447">
        <v>2</v>
      </c>
      <c r="L2447">
        <v>5</v>
      </c>
      <c r="BG2447">
        <v>634</v>
      </c>
      <c r="BI2447" t="s">
        <v>122</v>
      </c>
      <c r="BJ2447">
        <v>0</v>
      </c>
      <c r="BL2447" t="s">
        <v>5091</v>
      </c>
      <c r="BM2447" s="4">
        <v>43283.663888888892</v>
      </c>
      <c r="BN2447" s="4">
        <v>43283.665625000001</v>
      </c>
      <c r="BO2447" s="4">
        <v>43283.665625000001</v>
      </c>
      <c r="BP2447" t="s">
        <v>92</v>
      </c>
      <c r="BQ2447" t="s">
        <v>93</v>
      </c>
      <c r="BR2447" t="s">
        <v>94</v>
      </c>
    </row>
    <row r="2448" spans="1:70" x14ac:dyDescent="0.3">
      <c r="A2448" t="str">
        <f>"200038B0100"</f>
        <v>200038B0100</v>
      </c>
      <c r="B2448" t="s">
        <v>5092</v>
      </c>
      <c r="C2448">
        <v>20</v>
      </c>
      <c r="D2448" t="s">
        <v>88</v>
      </c>
      <c r="E2448">
        <v>386</v>
      </c>
      <c r="F2448" t="s">
        <v>5086</v>
      </c>
      <c r="G2448">
        <v>38</v>
      </c>
      <c r="H2448">
        <v>1</v>
      </c>
      <c r="I2448" t="s">
        <v>90</v>
      </c>
      <c r="J2448">
        <v>0</v>
      </c>
      <c r="K2448">
        <v>1</v>
      </c>
      <c r="L2448">
        <v>5</v>
      </c>
      <c r="M2448">
        <v>209</v>
      </c>
      <c r="N2448">
        <v>467</v>
      </c>
      <c r="O2448">
        <v>8</v>
      </c>
      <c r="P2448">
        <v>466</v>
      </c>
      <c r="Q2448">
        <v>24</v>
      </c>
      <c r="R2448">
        <v>40</v>
      </c>
      <c r="S2448">
        <v>184</v>
      </c>
      <c r="T2448">
        <v>3</v>
      </c>
      <c r="U2448">
        <v>10</v>
      </c>
      <c r="V2448">
        <v>10</v>
      </c>
      <c r="W2448">
        <v>2</v>
      </c>
      <c r="X2448">
        <v>1</v>
      </c>
      <c r="Y2448">
        <v>151</v>
      </c>
      <c r="Z2448">
        <v>4</v>
      </c>
      <c r="AA2448">
        <v>4</v>
      </c>
      <c r="AB2448">
        <v>5</v>
      </c>
      <c r="AC2448">
        <v>1</v>
      </c>
      <c r="AD2448">
        <v>3</v>
      </c>
      <c r="AE2448">
        <v>0</v>
      </c>
      <c r="AF2448">
        <v>0</v>
      </c>
      <c r="AK2448">
        <v>3</v>
      </c>
      <c r="AL2448">
        <v>3</v>
      </c>
      <c r="AM2448">
        <v>1</v>
      </c>
      <c r="AN2448">
        <v>2</v>
      </c>
      <c r="BC2448">
        <v>0</v>
      </c>
      <c r="BD2448">
        <v>15</v>
      </c>
      <c r="BE2448">
        <v>466</v>
      </c>
      <c r="BF2448">
        <v>466</v>
      </c>
      <c r="BG2448">
        <v>654</v>
      </c>
      <c r="BJ2448">
        <v>1</v>
      </c>
      <c r="BL2448" t="s">
        <v>5093</v>
      </c>
      <c r="BM2448" s="4">
        <v>43283.188194444447</v>
      </c>
      <c r="BN2448" s="4">
        <v>43283.206979166665</v>
      </c>
      <c r="BO2448" s="4">
        <v>43283.206979166665</v>
      </c>
      <c r="BP2448" t="s">
        <v>92</v>
      </c>
      <c r="BQ2448" t="s">
        <v>93</v>
      </c>
      <c r="BR2448" t="s">
        <v>94</v>
      </c>
    </row>
    <row r="2449" spans="1:70" x14ac:dyDescent="0.3">
      <c r="A2449" t="str">
        <f>"200038C0100"</f>
        <v>200038C0100</v>
      </c>
      <c r="B2449" t="s">
        <v>5094</v>
      </c>
      <c r="C2449">
        <v>20</v>
      </c>
      <c r="D2449" t="s">
        <v>88</v>
      </c>
      <c r="E2449">
        <v>386</v>
      </c>
      <c r="F2449" t="s">
        <v>5086</v>
      </c>
      <c r="G2449">
        <v>38</v>
      </c>
      <c r="H2449">
        <v>1</v>
      </c>
      <c r="I2449" t="s">
        <v>98</v>
      </c>
      <c r="J2449">
        <v>0</v>
      </c>
      <c r="K2449">
        <v>1</v>
      </c>
      <c r="L2449">
        <v>5</v>
      </c>
      <c r="M2449">
        <v>230</v>
      </c>
      <c r="N2449">
        <v>445</v>
      </c>
      <c r="O2449">
        <v>5</v>
      </c>
      <c r="P2449">
        <v>444</v>
      </c>
      <c r="Q2449">
        <v>37</v>
      </c>
      <c r="R2449">
        <v>43</v>
      </c>
      <c r="S2449">
        <v>172</v>
      </c>
      <c r="T2449">
        <v>2</v>
      </c>
      <c r="U2449">
        <v>7</v>
      </c>
      <c r="V2449">
        <v>10</v>
      </c>
      <c r="W2449">
        <v>3</v>
      </c>
      <c r="X2449">
        <v>2</v>
      </c>
      <c r="Y2449">
        <v>131</v>
      </c>
      <c r="Z2449">
        <v>6</v>
      </c>
      <c r="AA2449">
        <v>2</v>
      </c>
      <c r="AB2449">
        <v>2</v>
      </c>
      <c r="AC2449">
        <v>0</v>
      </c>
      <c r="AD2449">
        <v>3</v>
      </c>
      <c r="AE2449">
        <v>2</v>
      </c>
      <c r="AF2449">
        <v>1</v>
      </c>
      <c r="AK2449">
        <v>1</v>
      </c>
      <c r="AL2449">
        <v>1</v>
      </c>
      <c r="AM2449">
        <v>0</v>
      </c>
      <c r="AN2449">
        <v>1</v>
      </c>
      <c r="BC2449">
        <v>0</v>
      </c>
      <c r="BD2449">
        <v>18</v>
      </c>
      <c r="BE2449">
        <v>444</v>
      </c>
      <c r="BF2449">
        <v>444</v>
      </c>
      <c r="BG2449">
        <v>653</v>
      </c>
      <c r="BJ2449">
        <v>1</v>
      </c>
      <c r="BL2449" t="s">
        <v>5095</v>
      </c>
      <c r="BM2449" s="4">
        <v>43283.19027777778</v>
      </c>
      <c r="BN2449" s="4">
        <v>43283.208715277775</v>
      </c>
      <c r="BO2449" s="4">
        <v>43283.208715277775</v>
      </c>
      <c r="BP2449" t="s">
        <v>92</v>
      </c>
      <c r="BQ2449" t="s">
        <v>93</v>
      </c>
      <c r="BR2449" t="s">
        <v>94</v>
      </c>
    </row>
    <row r="2450" spans="1:70" x14ac:dyDescent="0.3">
      <c r="A2450" t="str">
        <f>"201712B0100"</f>
        <v>201712B0100</v>
      </c>
      <c r="B2450" t="s">
        <v>5096</v>
      </c>
      <c r="C2450">
        <v>20</v>
      </c>
      <c r="D2450" t="s">
        <v>88</v>
      </c>
      <c r="E2450">
        <v>386</v>
      </c>
      <c r="F2450" t="s">
        <v>5086</v>
      </c>
      <c r="G2450">
        <v>1712</v>
      </c>
      <c r="H2450">
        <v>1</v>
      </c>
      <c r="I2450" t="s">
        <v>90</v>
      </c>
      <c r="J2450">
        <v>0</v>
      </c>
      <c r="K2450">
        <v>1</v>
      </c>
      <c r="L2450">
        <v>5</v>
      </c>
      <c r="M2450" t="s">
        <v>127</v>
      </c>
      <c r="N2450" t="s">
        <v>127</v>
      </c>
      <c r="O2450" t="s">
        <v>127</v>
      </c>
      <c r="P2450" t="s">
        <v>127</v>
      </c>
      <c r="Q2450">
        <v>54</v>
      </c>
      <c r="R2450">
        <v>29</v>
      </c>
      <c r="S2450">
        <v>137</v>
      </c>
      <c r="T2450">
        <v>11</v>
      </c>
      <c r="U2450">
        <v>13</v>
      </c>
      <c r="V2450">
        <v>9</v>
      </c>
      <c r="W2450">
        <v>2</v>
      </c>
      <c r="X2450">
        <v>2</v>
      </c>
      <c r="Y2450">
        <v>179</v>
      </c>
      <c r="Z2450">
        <v>0</v>
      </c>
      <c r="AA2450">
        <v>2</v>
      </c>
      <c r="AB2450">
        <v>0</v>
      </c>
      <c r="AC2450">
        <v>5</v>
      </c>
      <c r="AD2450">
        <v>1</v>
      </c>
      <c r="AE2450">
        <v>0</v>
      </c>
      <c r="AF2450">
        <v>1</v>
      </c>
      <c r="AK2450">
        <v>5</v>
      </c>
      <c r="AL2450">
        <v>4</v>
      </c>
      <c r="AM2450">
        <v>0</v>
      </c>
      <c r="AN2450">
        <v>0</v>
      </c>
      <c r="BC2450">
        <v>1</v>
      </c>
      <c r="BD2450">
        <v>7</v>
      </c>
      <c r="BE2450">
        <v>468</v>
      </c>
      <c r="BF2450">
        <v>462</v>
      </c>
      <c r="BG2450">
        <v>733</v>
      </c>
      <c r="BJ2450">
        <v>1</v>
      </c>
      <c r="BL2450" t="s">
        <v>5097</v>
      </c>
      <c r="BM2450" s="4">
        <v>43283.46597222222</v>
      </c>
      <c r="BN2450" s="4">
        <v>43283.490636574075</v>
      </c>
      <c r="BO2450" s="4">
        <v>43283.490636574075</v>
      </c>
      <c r="BP2450" t="s">
        <v>92</v>
      </c>
      <c r="BQ2450" t="s">
        <v>93</v>
      </c>
      <c r="BR2450" t="s">
        <v>94</v>
      </c>
    </row>
    <row r="2451" spans="1:70" x14ac:dyDescent="0.3">
      <c r="A2451" t="str">
        <f>"201712C0100"</f>
        <v>201712C0100</v>
      </c>
      <c r="B2451" t="s">
        <v>5098</v>
      </c>
      <c r="C2451">
        <v>20</v>
      </c>
      <c r="D2451" t="s">
        <v>88</v>
      </c>
      <c r="E2451">
        <v>386</v>
      </c>
      <c r="F2451" t="s">
        <v>5086</v>
      </c>
      <c r="G2451">
        <v>1712</v>
      </c>
      <c r="H2451">
        <v>1</v>
      </c>
      <c r="I2451" t="s">
        <v>98</v>
      </c>
      <c r="J2451">
        <v>0</v>
      </c>
      <c r="K2451">
        <v>1</v>
      </c>
      <c r="L2451">
        <v>5</v>
      </c>
      <c r="BG2451">
        <v>733</v>
      </c>
      <c r="BI2451" t="s">
        <v>122</v>
      </c>
      <c r="BJ2451">
        <v>0</v>
      </c>
      <c r="BL2451" t="s">
        <v>5099</v>
      </c>
      <c r="BM2451" s="4">
        <v>43283.663888888892</v>
      </c>
      <c r="BN2451" s="4">
        <v>43283.667361111111</v>
      </c>
      <c r="BO2451" s="4">
        <v>43283.667361111111</v>
      </c>
      <c r="BP2451" t="s">
        <v>92</v>
      </c>
      <c r="BQ2451" t="s">
        <v>93</v>
      </c>
      <c r="BR2451" t="s">
        <v>94</v>
      </c>
    </row>
    <row r="2452" spans="1:70" x14ac:dyDescent="0.3">
      <c r="A2452" t="str">
        <f>"201713B0100"</f>
        <v>201713B0100</v>
      </c>
      <c r="B2452" t="s">
        <v>5100</v>
      </c>
      <c r="C2452">
        <v>20</v>
      </c>
      <c r="D2452" t="s">
        <v>88</v>
      </c>
      <c r="E2452">
        <v>386</v>
      </c>
      <c r="F2452" t="s">
        <v>5086</v>
      </c>
      <c r="G2452">
        <v>1713</v>
      </c>
      <c r="H2452">
        <v>1</v>
      </c>
      <c r="I2452" t="s">
        <v>90</v>
      </c>
      <c r="J2452">
        <v>0</v>
      </c>
      <c r="K2452">
        <v>1</v>
      </c>
      <c r="L2452">
        <v>5</v>
      </c>
      <c r="BG2452">
        <v>584</v>
      </c>
      <c r="BI2452" t="s">
        <v>122</v>
      </c>
      <c r="BJ2452">
        <v>0</v>
      </c>
      <c r="BL2452" t="s">
        <v>5101</v>
      </c>
      <c r="BM2452" s="4">
        <v>43283.664583333331</v>
      </c>
      <c r="BN2452" s="4">
        <v>43283.668217592596</v>
      </c>
      <c r="BO2452" s="4">
        <v>43283.668217592596</v>
      </c>
      <c r="BP2452" t="s">
        <v>92</v>
      </c>
      <c r="BQ2452" t="s">
        <v>93</v>
      </c>
      <c r="BR2452" t="s">
        <v>94</v>
      </c>
    </row>
    <row r="2453" spans="1:70" x14ac:dyDescent="0.3">
      <c r="A2453" t="str">
        <f>"201713C0100"</f>
        <v>201713C0100</v>
      </c>
      <c r="B2453" t="s">
        <v>5102</v>
      </c>
      <c r="C2453">
        <v>20</v>
      </c>
      <c r="D2453" t="s">
        <v>88</v>
      </c>
      <c r="E2453">
        <v>386</v>
      </c>
      <c r="F2453" t="s">
        <v>5086</v>
      </c>
      <c r="G2453">
        <v>1713</v>
      </c>
      <c r="H2453">
        <v>1</v>
      </c>
      <c r="I2453" t="s">
        <v>98</v>
      </c>
      <c r="J2453">
        <v>0</v>
      </c>
      <c r="K2453">
        <v>1</v>
      </c>
      <c r="L2453">
        <v>5</v>
      </c>
      <c r="BG2453">
        <v>584</v>
      </c>
      <c r="BI2453" t="s">
        <v>122</v>
      </c>
      <c r="BJ2453">
        <v>0</v>
      </c>
      <c r="BL2453" t="s">
        <v>5103</v>
      </c>
      <c r="BM2453" s="4">
        <v>43283.664583333331</v>
      </c>
      <c r="BN2453" s="4">
        <v>43283.668043981481</v>
      </c>
      <c r="BO2453" s="4">
        <v>43283.668043981481</v>
      </c>
      <c r="BP2453" t="s">
        <v>92</v>
      </c>
      <c r="BQ2453" t="s">
        <v>93</v>
      </c>
      <c r="BR2453" t="s">
        <v>94</v>
      </c>
    </row>
    <row r="2454" spans="1:70" x14ac:dyDescent="0.3">
      <c r="A2454" t="str">
        <f>"201713C0200"</f>
        <v>201713C0200</v>
      </c>
      <c r="B2454" t="s">
        <v>5104</v>
      </c>
      <c r="C2454">
        <v>20</v>
      </c>
      <c r="D2454" t="s">
        <v>88</v>
      </c>
      <c r="E2454">
        <v>386</v>
      </c>
      <c r="F2454" t="s">
        <v>5086</v>
      </c>
      <c r="G2454">
        <v>1713</v>
      </c>
      <c r="H2454">
        <v>2</v>
      </c>
      <c r="I2454" t="s">
        <v>98</v>
      </c>
      <c r="J2454">
        <v>0</v>
      </c>
      <c r="K2454">
        <v>1</v>
      </c>
      <c r="L2454">
        <v>5</v>
      </c>
      <c r="M2454" t="s">
        <v>105</v>
      </c>
      <c r="N2454" t="s">
        <v>105</v>
      </c>
      <c r="O2454" t="s">
        <v>105</v>
      </c>
      <c r="P2454" t="s">
        <v>105</v>
      </c>
      <c r="Q2454">
        <v>34</v>
      </c>
      <c r="R2454">
        <v>39</v>
      </c>
      <c r="S2454">
        <v>94</v>
      </c>
      <c r="T2454">
        <v>16</v>
      </c>
      <c r="U2454">
        <v>8</v>
      </c>
      <c r="V2454">
        <v>9</v>
      </c>
      <c r="W2454">
        <v>3</v>
      </c>
      <c r="X2454">
        <v>0</v>
      </c>
      <c r="Y2454">
        <v>166</v>
      </c>
      <c r="Z2454">
        <v>3</v>
      </c>
      <c r="AA2454">
        <v>3</v>
      </c>
      <c r="AB2454">
        <v>3</v>
      </c>
      <c r="AC2454">
        <v>3</v>
      </c>
      <c r="AD2454">
        <v>3</v>
      </c>
      <c r="AE2454">
        <v>0</v>
      </c>
      <c r="AF2454">
        <v>2</v>
      </c>
      <c r="AK2454">
        <v>4</v>
      </c>
      <c r="AL2454">
        <v>1</v>
      </c>
      <c r="AM2454">
        <v>0</v>
      </c>
      <c r="AN2454">
        <v>0</v>
      </c>
      <c r="BC2454">
        <v>0</v>
      </c>
      <c r="BD2454">
        <v>14</v>
      </c>
      <c r="BE2454" t="s">
        <v>105</v>
      </c>
      <c r="BF2454">
        <v>405</v>
      </c>
      <c r="BG2454">
        <v>584</v>
      </c>
      <c r="BJ2454">
        <v>1</v>
      </c>
      <c r="BL2454" t="s">
        <v>5105</v>
      </c>
      <c r="BM2454" s="4">
        <v>43283.293749999997</v>
      </c>
      <c r="BN2454" s="4">
        <v>43283.320381944446</v>
      </c>
      <c r="BO2454" s="4">
        <v>43283.320381944446</v>
      </c>
      <c r="BP2454" t="s">
        <v>92</v>
      </c>
      <c r="BQ2454" t="s">
        <v>93</v>
      </c>
      <c r="BR2454" t="s">
        <v>94</v>
      </c>
    </row>
    <row r="2455" spans="1:70" x14ac:dyDescent="0.3">
      <c r="A2455" t="str">
        <f>"201714B0100"</f>
        <v>201714B0100</v>
      </c>
      <c r="B2455" t="s">
        <v>5106</v>
      </c>
      <c r="C2455">
        <v>20</v>
      </c>
      <c r="D2455" t="s">
        <v>88</v>
      </c>
      <c r="E2455">
        <v>386</v>
      </c>
      <c r="F2455" t="s">
        <v>5086</v>
      </c>
      <c r="G2455">
        <v>1714</v>
      </c>
      <c r="H2455">
        <v>1</v>
      </c>
      <c r="I2455" t="s">
        <v>90</v>
      </c>
      <c r="J2455">
        <v>0</v>
      </c>
      <c r="K2455">
        <v>1</v>
      </c>
      <c r="L2455">
        <v>5</v>
      </c>
      <c r="M2455">
        <v>206</v>
      </c>
      <c r="N2455">
        <v>345</v>
      </c>
      <c r="O2455">
        <v>4</v>
      </c>
      <c r="P2455">
        <v>355</v>
      </c>
      <c r="Q2455">
        <v>43</v>
      </c>
      <c r="R2455">
        <v>29</v>
      </c>
      <c r="S2455">
        <v>96</v>
      </c>
      <c r="T2455">
        <v>4</v>
      </c>
      <c r="U2455">
        <v>4</v>
      </c>
      <c r="V2455">
        <v>4</v>
      </c>
      <c r="W2455">
        <v>2</v>
      </c>
      <c r="X2455">
        <v>0</v>
      </c>
      <c r="Y2455">
        <v>128</v>
      </c>
      <c r="Z2455">
        <v>4</v>
      </c>
      <c r="AA2455">
        <v>1</v>
      </c>
      <c r="AB2455">
        <v>2</v>
      </c>
      <c r="AC2455">
        <v>1</v>
      </c>
      <c r="AD2455">
        <v>1</v>
      </c>
      <c r="AE2455">
        <v>0</v>
      </c>
      <c r="AF2455">
        <v>1</v>
      </c>
      <c r="AK2455">
        <v>4</v>
      </c>
      <c r="AL2455">
        <v>0</v>
      </c>
      <c r="AM2455">
        <v>1</v>
      </c>
      <c r="AN2455">
        <v>1</v>
      </c>
      <c r="BC2455">
        <v>0</v>
      </c>
      <c r="BD2455">
        <v>9</v>
      </c>
      <c r="BE2455">
        <v>339</v>
      </c>
      <c r="BF2455">
        <v>335</v>
      </c>
      <c r="BG2455">
        <v>521</v>
      </c>
      <c r="BJ2455">
        <v>1</v>
      </c>
      <c r="BL2455" t="s">
        <v>5107</v>
      </c>
      <c r="BM2455" s="4">
        <v>43283.229861111111</v>
      </c>
      <c r="BN2455" s="4">
        <v>43283.25409722222</v>
      </c>
      <c r="BO2455" s="4">
        <v>43283.25409722222</v>
      </c>
      <c r="BP2455" t="s">
        <v>92</v>
      </c>
      <c r="BQ2455" t="s">
        <v>93</v>
      </c>
      <c r="BR2455" t="s">
        <v>94</v>
      </c>
    </row>
    <row r="2456" spans="1:70" x14ac:dyDescent="0.3">
      <c r="A2456" t="str">
        <f>"201714C0100"</f>
        <v>201714C0100</v>
      </c>
      <c r="B2456" t="s">
        <v>5108</v>
      </c>
      <c r="C2456">
        <v>20</v>
      </c>
      <c r="D2456" t="s">
        <v>88</v>
      </c>
      <c r="E2456">
        <v>386</v>
      </c>
      <c r="F2456" t="s">
        <v>5086</v>
      </c>
      <c r="G2456">
        <v>1714</v>
      </c>
      <c r="H2456">
        <v>1</v>
      </c>
      <c r="I2456" t="s">
        <v>98</v>
      </c>
      <c r="J2456">
        <v>0</v>
      </c>
      <c r="K2456">
        <v>1</v>
      </c>
      <c r="L2456">
        <v>5</v>
      </c>
      <c r="M2456">
        <v>11</v>
      </c>
      <c r="N2456">
        <v>363</v>
      </c>
      <c r="O2456">
        <v>3</v>
      </c>
      <c r="P2456">
        <v>367</v>
      </c>
      <c r="Q2456">
        <v>32</v>
      </c>
      <c r="R2456">
        <v>31</v>
      </c>
      <c r="S2456">
        <v>96</v>
      </c>
      <c r="T2456">
        <v>8</v>
      </c>
      <c r="U2456">
        <v>10</v>
      </c>
      <c r="V2456">
        <v>7</v>
      </c>
      <c r="W2456">
        <v>3</v>
      </c>
      <c r="X2456">
        <v>1</v>
      </c>
      <c r="Y2456">
        <v>148</v>
      </c>
      <c r="Z2456">
        <v>4</v>
      </c>
      <c r="AA2456">
        <v>0</v>
      </c>
      <c r="AB2456">
        <v>6</v>
      </c>
      <c r="AC2456">
        <v>2</v>
      </c>
      <c r="AD2456">
        <v>1</v>
      </c>
      <c r="AE2456">
        <v>0</v>
      </c>
      <c r="AF2456">
        <v>1</v>
      </c>
      <c r="AK2456">
        <v>1</v>
      </c>
      <c r="AL2456">
        <v>3</v>
      </c>
      <c r="AM2456">
        <v>1</v>
      </c>
      <c r="AN2456">
        <v>1</v>
      </c>
      <c r="BC2456">
        <v>0</v>
      </c>
      <c r="BD2456">
        <v>11</v>
      </c>
      <c r="BE2456">
        <v>367</v>
      </c>
      <c r="BF2456">
        <v>367</v>
      </c>
      <c r="BG2456">
        <v>520</v>
      </c>
      <c r="BJ2456">
        <v>1</v>
      </c>
      <c r="BL2456" t="s">
        <v>5109</v>
      </c>
      <c r="BM2456" s="4">
        <v>43283.229861111111</v>
      </c>
      <c r="BN2456" s="4">
        <v>43283.253460648149</v>
      </c>
      <c r="BO2456" s="4">
        <v>43283.253460648149</v>
      </c>
      <c r="BP2456" t="s">
        <v>92</v>
      </c>
      <c r="BQ2456" t="s">
        <v>93</v>
      </c>
      <c r="BR2456" t="s">
        <v>94</v>
      </c>
    </row>
    <row r="2457" spans="1:70" x14ac:dyDescent="0.3">
      <c r="A2457" t="str">
        <f>"201714C0200"</f>
        <v>201714C0200</v>
      </c>
      <c r="B2457" t="s">
        <v>5110</v>
      </c>
      <c r="C2457">
        <v>20</v>
      </c>
      <c r="D2457" t="s">
        <v>88</v>
      </c>
      <c r="E2457">
        <v>386</v>
      </c>
      <c r="F2457" t="s">
        <v>5086</v>
      </c>
      <c r="G2457">
        <v>1714</v>
      </c>
      <c r="H2457">
        <v>2</v>
      </c>
      <c r="I2457" t="s">
        <v>98</v>
      </c>
      <c r="J2457">
        <v>0</v>
      </c>
      <c r="K2457">
        <v>1</v>
      </c>
      <c r="L2457">
        <v>5</v>
      </c>
      <c r="M2457">
        <v>179</v>
      </c>
      <c r="N2457">
        <v>363</v>
      </c>
      <c r="O2457">
        <v>7</v>
      </c>
      <c r="P2457">
        <v>363</v>
      </c>
      <c r="Q2457">
        <v>44</v>
      </c>
      <c r="R2457">
        <v>35</v>
      </c>
      <c r="S2457">
        <v>103</v>
      </c>
      <c r="T2457">
        <v>5</v>
      </c>
      <c r="U2457">
        <v>11</v>
      </c>
      <c r="V2457">
        <v>10</v>
      </c>
      <c r="W2457">
        <v>5</v>
      </c>
      <c r="X2457">
        <v>2</v>
      </c>
      <c r="Y2457">
        <v>132</v>
      </c>
      <c r="Z2457">
        <v>4</v>
      </c>
      <c r="AA2457">
        <v>0</v>
      </c>
      <c r="AB2457">
        <v>1</v>
      </c>
      <c r="AC2457">
        <v>0</v>
      </c>
      <c r="AD2457">
        <v>2</v>
      </c>
      <c r="AE2457">
        <v>0</v>
      </c>
      <c r="AF2457">
        <v>2</v>
      </c>
      <c r="AK2457">
        <v>1</v>
      </c>
      <c r="AL2457">
        <v>1</v>
      </c>
      <c r="AM2457">
        <v>0</v>
      </c>
      <c r="AN2457">
        <v>0</v>
      </c>
      <c r="BC2457">
        <v>0</v>
      </c>
      <c r="BD2457">
        <v>5</v>
      </c>
      <c r="BE2457">
        <v>363</v>
      </c>
      <c r="BF2457">
        <v>363</v>
      </c>
      <c r="BG2457">
        <v>520</v>
      </c>
      <c r="BJ2457">
        <v>1</v>
      </c>
      <c r="BL2457" t="s">
        <v>5111</v>
      </c>
      <c r="BM2457" s="4">
        <v>43283.46597222222</v>
      </c>
      <c r="BN2457" s="4">
        <v>43283.473379629628</v>
      </c>
      <c r="BO2457" s="4">
        <v>43283.473379629628</v>
      </c>
      <c r="BP2457" t="s">
        <v>92</v>
      </c>
      <c r="BQ2457" t="s">
        <v>93</v>
      </c>
      <c r="BR2457" t="s">
        <v>94</v>
      </c>
    </row>
    <row r="2458" spans="1:70" x14ac:dyDescent="0.3">
      <c r="A2458" t="str">
        <f>"201715B0100"</f>
        <v>201715B0100</v>
      </c>
      <c r="B2458" t="s">
        <v>5112</v>
      </c>
      <c r="C2458">
        <v>20</v>
      </c>
      <c r="D2458" t="s">
        <v>88</v>
      </c>
      <c r="E2458">
        <v>386</v>
      </c>
      <c r="F2458" t="s">
        <v>5086</v>
      </c>
      <c r="G2458">
        <v>1715</v>
      </c>
      <c r="H2458">
        <v>1</v>
      </c>
      <c r="I2458" t="s">
        <v>90</v>
      </c>
      <c r="J2458">
        <v>0</v>
      </c>
      <c r="K2458">
        <v>1</v>
      </c>
      <c r="L2458">
        <v>5</v>
      </c>
      <c r="M2458">
        <v>239</v>
      </c>
      <c r="N2458">
        <v>530</v>
      </c>
      <c r="O2458">
        <v>0</v>
      </c>
      <c r="P2458">
        <v>539</v>
      </c>
      <c r="Q2458">
        <v>44</v>
      </c>
      <c r="R2458">
        <v>52</v>
      </c>
      <c r="S2458">
        <v>181</v>
      </c>
      <c r="T2458">
        <v>10</v>
      </c>
      <c r="U2458">
        <v>9</v>
      </c>
      <c r="V2458">
        <v>7</v>
      </c>
      <c r="W2458">
        <v>5</v>
      </c>
      <c r="X2458">
        <v>2</v>
      </c>
      <c r="Y2458">
        <v>175</v>
      </c>
      <c r="Z2458">
        <v>6</v>
      </c>
      <c r="AA2458">
        <v>2</v>
      </c>
      <c r="AB2458">
        <v>9</v>
      </c>
      <c r="AC2458">
        <v>4</v>
      </c>
      <c r="AD2458">
        <v>1</v>
      </c>
      <c r="AE2458">
        <v>2</v>
      </c>
      <c r="AF2458">
        <v>0</v>
      </c>
      <c r="AK2458">
        <v>9</v>
      </c>
      <c r="AL2458">
        <v>1</v>
      </c>
      <c r="AM2458">
        <v>0</v>
      </c>
      <c r="AN2458">
        <v>0</v>
      </c>
      <c r="BC2458">
        <v>2</v>
      </c>
      <c r="BD2458">
        <v>9</v>
      </c>
      <c r="BE2458">
        <v>528</v>
      </c>
      <c r="BF2458">
        <v>530</v>
      </c>
      <c r="BG2458">
        <v>747</v>
      </c>
      <c r="BJ2458">
        <v>1</v>
      </c>
      <c r="BL2458" t="s">
        <v>5113</v>
      </c>
      <c r="BM2458" s="4">
        <v>43283.181944444441</v>
      </c>
      <c r="BN2458" s="4">
        <v>43283.201898148145</v>
      </c>
      <c r="BO2458" s="4">
        <v>43283.201898148145</v>
      </c>
      <c r="BP2458" t="s">
        <v>92</v>
      </c>
      <c r="BQ2458" t="s">
        <v>93</v>
      </c>
      <c r="BR2458" t="s">
        <v>94</v>
      </c>
    </row>
    <row r="2459" spans="1:70" x14ac:dyDescent="0.3">
      <c r="A2459" t="str">
        <f>"201715C0100"</f>
        <v>201715C0100</v>
      </c>
      <c r="B2459" t="s">
        <v>5114</v>
      </c>
      <c r="C2459">
        <v>20</v>
      </c>
      <c r="D2459" t="s">
        <v>88</v>
      </c>
      <c r="E2459">
        <v>386</v>
      </c>
      <c r="F2459" t="s">
        <v>5086</v>
      </c>
      <c r="G2459">
        <v>1715</v>
      </c>
      <c r="H2459">
        <v>1</v>
      </c>
      <c r="I2459" t="s">
        <v>98</v>
      </c>
      <c r="J2459">
        <v>0</v>
      </c>
      <c r="K2459">
        <v>1</v>
      </c>
      <c r="L2459">
        <v>5</v>
      </c>
      <c r="M2459">
        <v>238</v>
      </c>
      <c r="N2459">
        <v>531</v>
      </c>
      <c r="O2459">
        <v>3</v>
      </c>
      <c r="P2459">
        <v>527</v>
      </c>
      <c r="Q2459">
        <v>43</v>
      </c>
      <c r="R2459">
        <v>44</v>
      </c>
      <c r="S2459">
        <v>156</v>
      </c>
      <c r="T2459">
        <v>12</v>
      </c>
      <c r="U2459">
        <v>21</v>
      </c>
      <c r="V2459">
        <v>10</v>
      </c>
      <c r="W2459">
        <v>3</v>
      </c>
      <c r="X2459">
        <v>2</v>
      </c>
      <c r="Y2459">
        <v>191</v>
      </c>
      <c r="Z2459">
        <v>5</v>
      </c>
      <c r="AA2459">
        <v>2</v>
      </c>
      <c r="AB2459">
        <v>5</v>
      </c>
      <c r="AC2459">
        <v>10</v>
      </c>
      <c r="AD2459">
        <v>0</v>
      </c>
      <c r="AE2459">
        <v>0</v>
      </c>
      <c r="AF2459">
        <v>0</v>
      </c>
      <c r="AK2459">
        <v>8</v>
      </c>
      <c r="AL2459">
        <v>0</v>
      </c>
      <c r="AM2459">
        <v>0</v>
      </c>
      <c r="AN2459">
        <v>0</v>
      </c>
      <c r="BC2459">
        <v>0</v>
      </c>
      <c r="BD2459">
        <v>8</v>
      </c>
      <c r="BE2459">
        <v>527</v>
      </c>
      <c r="BF2459">
        <v>520</v>
      </c>
      <c r="BG2459">
        <v>747</v>
      </c>
      <c r="BJ2459">
        <v>1</v>
      </c>
      <c r="BL2459" t="s">
        <v>5115</v>
      </c>
      <c r="BM2459" s="4">
        <v>43283.18472222222</v>
      </c>
      <c r="BN2459" s="4">
        <v>43283.205034722225</v>
      </c>
      <c r="BO2459" s="4">
        <v>43283.205034722225</v>
      </c>
      <c r="BP2459" t="s">
        <v>92</v>
      </c>
      <c r="BQ2459" t="s">
        <v>93</v>
      </c>
      <c r="BR2459" t="s">
        <v>94</v>
      </c>
    </row>
    <row r="2460" spans="1:70" x14ac:dyDescent="0.3">
      <c r="A2460" t="str">
        <f>"201715C0200"</f>
        <v>201715C0200</v>
      </c>
      <c r="B2460" t="s">
        <v>5116</v>
      </c>
      <c r="C2460">
        <v>20</v>
      </c>
      <c r="D2460" t="s">
        <v>88</v>
      </c>
      <c r="E2460">
        <v>386</v>
      </c>
      <c r="F2460" t="s">
        <v>5086</v>
      </c>
      <c r="G2460">
        <v>1715</v>
      </c>
      <c r="H2460">
        <v>2</v>
      </c>
      <c r="I2460" t="s">
        <v>98</v>
      </c>
      <c r="J2460">
        <v>0</v>
      </c>
      <c r="K2460">
        <v>1</v>
      </c>
      <c r="L2460">
        <v>5</v>
      </c>
      <c r="M2460">
        <v>234</v>
      </c>
      <c r="N2460">
        <v>535</v>
      </c>
      <c r="O2460">
        <v>5</v>
      </c>
      <c r="P2460">
        <v>36</v>
      </c>
      <c r="Q2460">
        <v>45</v>
      </c>
      <c r="R2460">
        <v>39</v>
      </c>
      <c r="S2460">
        <v>170</v>
      </c>
      <c r="T2460">
        <v>13</v>
      </c>
      <c r="U2460">
        <v>7</v>
      </c>
      <c r="V2460">
        <v>9</v>
      </c>
      <c r="W2460">
        <v>2</v>
      </c>
      <c r="X2460">
        <v>4</v>
      </c>
      <c r="Y2460">
        <v>197</v>
      </c>
      <c r="Z2460">
        <v>7</v>
      </c>
      <c r="AA2460">
        <v>8</v>
      </c>
      <c r="AB2460">
        <v>7</v>
      </c>
      <c r="AC2460">
        <v>4</v>
      </c>
      <c r="AD2460">
        <v>2</v>
      </c>
      <c r="AE2460">
        <v>0</v>
      </c>
      <c r="AF2460">
        <v>0</v>
      </c>
      <c r="AK2460">
        <v>8</v>
      </c>
      <c r="AL2460">
        <v>0</v>
      </c>
      <c r="AM2460">
        <v>0</v>
      </c>
      <c r="AN2460">
        <v>1</v>
      </c>
      <c r="BC2460">
        <v>1</v>
      </c>
      <c r="BD2460">
        <v>12</v>
      </c>
      <c r="BE2460">
        <v>536</v>
      </c>
      <c r="BF2460">
        <v>536</v>
      </c>
      <c r="BG2460">
        <v>747</v>
      </c>
      <c r="BJ2460">
        <v>1</v>
      </c>
      <c r="BL2460" t="s">
        <v>5117</v>
      </c>
      <c r="BM2460" s="4">
        <v>43283.188888888886</v>
      </c>
      <c r="BN2460" s="4">
        <v>43283.207384259258</v>
      </c>
      <c r="BO2460" s="4">
        <v>43283.207384259258</v>
      </c>
      <c r="BP2460" t="s">
        <v>92</v>
      </c>
      <c r="BQ2460" t="s">
        <v>93</v>
      </c>
      <c r="BR2460" t="s">
        <v>94</v>
      </c>
    </row>
    <row r="2461" spans="1:70" x14ac:dyDescent="0.3">
      <c r="A2461" t="str">
        <f>"201716B0100"</f>
        <v>201716B0100</v>
      </c>
      <c r="B2461" t="s">
        <v>5118</v>
      </c>
      <c r="C2461">
        <v>20</v>
      </c>
      <c r="D2461" t="s">
        <v>88</v>
      </c>
      <c r="E2461">
        <v>386</v>
      </c>
      <c r="F2461" t="s">
        <v>5086</v>
      </c>
      <c r="G2461">
        <v>1716</v>
      </c>
      <c r="H2461">
        <v>1</v>
      </c>
      <c r="I2461" t="s">
        <v>90</v>
      </c>
      <c r="J2461">
        <v>0</v>
      </c>
      <c r="K2461">
        <v>1</v>
      </c>
      <c r="L2461">
        <v>5</v>
      </c>
      <c r="M2461" t="s">
        <v>127</v>
      </c>
      <c r="N2461">
        <v>496</v>
      </c>
      <c r="O2461">
        <v>4</v>
      </c>
      <c r="P2461">
        <v>0</v>
      </c>
      <c r="Q2461">
        <v>42</v>
      </c>
      <c r="R2461">
        <v>33</v>
      </c>
      <c r="S2461">
        <v>177</v>
      </c>
      <c r="T2461">
        <v>5</v>
      </c>
      <c r="U2461">
        <v>16</v>
      </c>
      <c r="V2461">
        <v>10</v>
      </c>
      <c r="W2461">
        <v>4</v>
      </c>
      <c r="X2461">
        <v>0</v>
      </c>
      <c r="Y2461">
        <v>158</v>
      </c>
      <c r="Z2461">
        <v>2</v>
      </c>
      <c r="AA2461">
        <v>3</v>
      </c>
      <c r="AB2461">
        <v>8</v>
      </c>
      <c r="AC2461">
        <v>3</v>
      </c>
      <c r="AD2461">
        <v>6</v>
      </c>
      <c r="AE2461" t="s">
        <v>105</v>
      </c>
      <c r="AF2461">
        <v>3</v>
      </c>
      <c r="AK2461">
        <v>3</v>
      </c>
      <c r="AL2461">
        <v>2</v>
      </c>
      <c r="AM2461" t="s">
        <v>105</v>
      </c>
      <c r="AN2461" t="s">
        <v>105</v>
      </c>
      <c r="BC2461" t="s">
        <v>105</v>
      </c>
      <c r="BD2461">
        <v>15</v>
      </c>
      <c r="BE2461">
        <v>490</v>
      </c>
      <c r="BF2461">
        <v>490</v>
      </c>
      <c r="BG2461">
        <v>709</v>
      </c>
      <c r="BI2461" t="s">
        <v>106</v>
      </c>
      <c r="BJ2461">
        <v>1</v>
      </c>
      <c r="BL2461" t="s">
        <v>5119</v>
      </c>
      <c r="BM2461" s="4">
        <v>43282.937858796293</v>
      </c>
      <c r="BN2461" s="4">
        <v>43282.940891203703</v>
      </c>
      <c r="BO2461" s="4">
        <v>43282.940891203703</v>
      </c>
      <c r="BP2461" t="s">
        <v>339</v>
      </c>
      <c r="BQ2461" t="s">
        <v>340</v>
      </c>
      <c r="BR2461" t="s">
        <v>94</v>
      </c>
    </row>
    <row r="2462" spans="1:70" x14ac:dyDescent="0.3">
      <c r="A2462" t="str">
        <f>"201716C0100"</f>
        <v>201716C0100</v>
      </c>
      <c r="B2462" t="s">
        <v>5120</v>
      </c>
      <c r="C2462">
        <v>20</v>
      </c>
      <c r="D2462" t="s">
        <v>88</v>
      </c>
      <c r="E2462">
        <v>386</v>
      </c>
      <c r="F2462" t="s">
        <v>5086</v>
      </c>
      <c r="G2462">
        <v>1716</v>
      </c>
      <c r="H2462">
        <v>1</v>
      </c>
      <c r="I2462" t="s">
        <v>98</v>
      </c>
      <c r="J2462">
        <v>0</v>
      </c>
      <c r="K2462">
        <v>1</v>
      </c>
      <c r="L2462">
        <v>5</v>
      </c>
      <c r="M2462">
        <v>216</v>
      </c>
      <c r="N2462" t="s">
        <v>105</v>
      </c>
      <c r="O2462">
        <v>3</v>
      </c>
      <c r="P2462">
        <v>508</v>
      </c>
      <c r="Q2462">
        <v>38</v>
      </c>
      <c r="R2462">
        <v>45</v>
      </c>
      <c r="S2462">
        <v>191</v>
      </c>
      <c r="T2462">
        <v>10</v>
      </c>
      <c r="U2462">
        <v>7</v>
      </c>
      <c r="V2462">
        <v>8</v>
      </c>
      <c r="W2462">
        <v>0</v>
      </c>
      <c r="X2462">
        <v>1</v>
      </c>
      <c r="Y2462">
        <v>165</v>
      </c>
      <c r="Z2462">
        <v>8</v>
      </c>
      <c r="AA2462">
        <v>1</v>
      </c>
      <c r="AB2462">
        <v>7</v>
      </c>
      <c r="AC2462">
        <v>4</v>
      </c>
      <c r="AD2462">
        <v>3</v>
      </c>
      <c r="AE2462">
        <v>0</v>
      </c>
      <c r="AF2462">
        <v>3</v>
      </c>
      <c r="AK2462">
        <v>0</v>
      </c>
      <c r="AL2462">
        <v>4</v>
      </c>
      <c r="AM2462">
        <v>0</v>
      </c>
      <c r="AN2462">
        <v>1</v>
      </c>
      <c r="BC2462">
        <v>0</v>
      </c>
      <c r="BD2462">
        <v>15</v>
      </c>
      <c r="BE2462">
        <v>508</v>
      </c>
      <c r="BF2462">
        <v>511</v>
      </c>
      <c r="BG2462">
        <v>709</v>
      </c>
      <c r="BJ2462">
        <v>1</v>
      </c>
      <c r="BL2462" t="s">
        <v>5121</v>
      </c>
      <c r="BM2462" s="4">
        <v>43283.222916666666</v>
      </c>
      <c r="BN2462" s="4">
        <v>43283.252314814818</v>
      </c>
      <c r="BO2462" s="4">
        <v>43283.252314814818</v>
      </c>
      <c r="BP2462" t="s">
        <v>92</v>
      </c>
      <c r="BQ2462" t="s">
        <v>93</v>
      </c>
      <c r="BR2462" t="s">
        <v>94</v>
      </c>
    </row>
    <row r="2463" spans="1:70" x14ac:dyDescent="0.3">
      <c r="A2463" t="str">
        <f>"201716C0200"</f>
        <v>201716C0200</v>
      </c>
      <c r="B2463" t="s">
        <v>5122</v>
      </c>
      <c r="C2463">
        <v>20</v>
      </c>
      <c r="D2463" t="s">
        <v>88</v>
      </c>
      <c r="E2463">
        <v>386</v>
      </c>
      <c r="F2463" t="s">
        <v>5086</v>
      </c>
      <c r="G2463">
        <v>1716</v>
      </c>
      <c r="H2463">
        <v>2</v>
      </c>
      <c r="I2463" t="s">
        <v>98</v>
      </c>
      <c r="J2463">
        <v>0</v>
      </c>
      <c r="K2463">
        <v>1</v>
      </c>
      <c r="L2463">
        <v>5</v>
      </c>
      <c r="BG2463">
        <v>709</v>
      </c>
      <c r="BI2463" t="s">
        <v>122</v>
      </c>
      <c r="BJ2463">
        <v>0</v>
      </c>
      <c r="BL2463" t="s">
        <v>5123</v>
      </c>
      <c r="BM2463" s="4">
        <v>43283.665277777778</v>
      </c>
      <c r="BN2463" s="4">
        <v>43283.669571759259</v>
      </c>
      <c r="BO2463" s="4">
        <v>43283.669571759259</v>
      </c>
      <c r="BP2463" t="s">
        <v>92</v>
      </c>
      <c r="BQ2463" t="s">
        <v>93</v>
      </c>
      <c r="BR2463" t="s">
        <v>94</v>
      </c>
    </row>
    <row r="2464" spans="1:70" x14ac:dyDescent="0.3">
      <c r="A2464" t="str">
        <f>"201717B0100"</f>
        <v>201717B0100</v>
      </c>
      <c r="B2464" t="s">
        <v>5124</v>
      </c>
      <c r="C2464">
        <v>20</v>
      </c>
      <c r="D2464" t="s">
        <v>88</v>
      </c>
      <c r="E2464">
        <v>386</v>
      </c>
      <c r="F2464" t="s">
        <v>5086</v>
      </c>
      <c r="G2464">
        <v>1717</v>
      </c>
      <c r="H2464">
        <v>1</v>
      </c>
      <c r="I2464" t="s">
        <v>90</v>
      </c>
      <c r="J2464">
        <v>0</v>
      </c>
      <c r="K2464">
        <v>1</v>
      </c>
      <c r="L2464">
        <v>5</v>
      </c>
      <c r="M2464">
        <v>165</v>
      </c>
      <c r="N2464">
        <v>444</v>
      </c>
      <c r="O2464">
        <v>6</v>
      </c>
      <c r="P2464">
        <v>438</v>
      </c>
      <c r="Q2464">
        <v>26</v>
      </c>
      <c r="R2464">
        <v>32</v>
      </c>
      <c r="S2464">
        <v>182</v>
      </c>
      <c r="T2464">
        <v>16</v>
      </c>
      <c r="U2464">
        <v>4</v>
      </c>
      <c r="V2464">
        <v>11</v>
      </c>
      <c r="W2464">
        <v>7</v>
      </c>
      <c r="X2464">
        <v>0</v>
      </c>
      <c r="Y2464">
        <v>127</v>
      </c>
      <c r="Z2464">
        <v>2</v>
      </c>
      <c r="AA2464">
        <v>2</v>
      </c>
      <c r="AB2464">
        <v>4</v>
      </c>
      <c r="AC2464">
        <v>7</v>
      </c>
      <c r="AD2464">
        <v>2</v>
      </c>
      <c r="AE2464">
        <v>0</v>
      </c>
      <c r="AF2464">
        <v>3</v>
      </c>
      <c r="AK2464">
        <v>1</v>
      </c>
      <c r="AL2464">
        <v>2</v>
      </c>
      <c r="AM2464">
        <v>0</v>
      </c>
      <c r="AN2464">
        <v>0</v>
      </c>
      <c r="BC2464" t="s">
        <v>105</v>
      </c>
      <c r="BD2464">
        <v>10</v>
      </c>
      <c r="BE2464">
        <v>438</v>
      </c>
      <c r="BF2464">
        <v>438</v>
      </c>
      <c r="BG2464">
        <v>589</v>
      </c>
      <c r="BI2464" t="s">
        <v>106</v>
      </c>
      <c r="BJ2464">
        <v>1</v>
      </c>
      <c r="BL2464" t="s">
        <v>5125</v>
      </c>
      <c r="BM2464" s="4">
        <v>43283.179166666669</v>
      </c>
      <c r="BN2464" s="4">
        <v>43283.196851851855</v>
      </c>
      <c r="BO2464" s="4">
        <v>43283.196851851855</v>
      </c>
      <c r="BP2464" t="s">
        <v>92</v>
      </c>
      <c r="BQ2464" t="s">
        <v>93</v>
      </c>
      <c r="BR2464" t="s">
        <v>94</v>
      </c>
    </row>
    <row r="2465" spans="1:70" x14ac:dyDescent="0.3">
      <c r="A2465" t="str">
        <f>"201717C0100"</f>
        <v>201717C0100</v>
      </c>
      <c r="B2465" t="s">
        <v>5126</v>
      </c>
      <c r="C2465">
        <v>20</v>
      </c>
      <c r="D2465" t="s">
        <v>88</v>
      </c>
      <c r="E2465">
        <v>386</v>
      </c>
      <c r="F2465" t="s">
        <v>5086</v>
      </c>
      <c r="G2465">
        <v>1717</v>
      </c>
      <c r="H2465">
        <v>1</v>
      </c>
      <c r="I2465" t="s">
        <v>98</v>
      </c>
      <c r="J2465">
        <v>0</v>
      </c>
      <c r="K2465">
        <v>1</v>
      </c>
      <c r="L2465">
        <v>5</v>
      </c>
      <c r="M2465">
        <v>172</v>
      </c>
      <c r="N2465">
        <v>436</v>
      </c>
      <c r="O2465">
        <v>2</v>
      </c>
      <c r="P2465">
        <v>436</v>
      </c>
      <c r="Q2465">
        <v>28</v>
      </c>
      <c r="R2465">
        <v>24</v>
      </c>
      <c r="S2465">
        <v>192</v>
      </c>
      <c r="T2465">
        <v>5</v>
      </c>
      <c r="U2465">
        <v>8</v>
      </c>
      <c r="V2465">
        <v>12</v>
      </c>
      <c r="W2465">
        <v>3</v>
      </c>
      <c r="X2465">
        <v>5</v>
      </c>
      <c r="Y2465">
        <v>123</v>
      </c>
      <c r="Z2465">
        <v>9</v>
      </c>
      <c r="AA2465">
        <v>3</v>
      </c>
      <c r="AB2465">
        <v>3</v>
      </c>
      <c r="AC2465">
        <v>1</v>
      </c>
      <c r="AD2465">
        <v>4</v>
      </c>
      <c r="AE2465">
        <v>1</v>
      </c>
      <c r="AF2465" t="s">
        <v>105</v>
      </c>
      <c r="AK2465">
        <v>1</v>
      </c>
      <c r="AL2465" t="s">
        <v>127</v>
      </c>
      <c r="AM2465">
        <v>2</v>
      </c>
      <c r="AN2465">
        <v>2</v>
      </c>
      <c r="BC2465" t="s">
        <v>105</v>
      </c>
      <c r="BD2465">
        <v>11</v>
      </c>
      <c r="BE2465">
        <v>436</v>
      </c>
      <c r="BF2465">
        <v>437</v>
      </c>
      <c r="BG2465">
        <v>588</v>
      </c>
      <c r="BI2465" t="s">
        <v>106</v>
      </c>
      <c r="BJ2465">
        <v>1</v>
      </c>
      <c r="BL2465" t="s">
        <v>5127</v>
      </c>
      <c r="BM2465" s="4">
        <v>43283.179861111108</v>
      </c>
      <c r="BN2465" s="4">
        <v>43283.200567129628</v>
      </c>
      <c r="BO2465" s="4">
        <v>43283.200567129628</v>
      </c>
      <c r="BP2465" t="s">
        <v>92</v>
      </c>
      <c r="BQ2465" t="s">
        <v>93</v>
      </c>
      <c r="BR2465" t="s">
        <v>94</v>
      </c>
    </row>
    <row r="2466" spans="1:70" x14ac:dyDescent="0.3">
      <c r="A2466" t="str">
        <f>"201717C0200"</f>
        <v>201717C0200</v>
      </c>
      <c r="B2466" t="s">
        <v>5128</v>
      </c>
      <c r="C2466">
        <v>20</v>
      </c>
      <c r="D2466" t="s">
        <v>88</v>
      </c>
      <c r="E2466">
        <v>386</v>
      </c>
      <c r="F2466" t="s">
        <v>5086</v>
      </c>
      <c r="G2466">
        <v>1717</v>
      </c>
      <c r="H2466">
        <v>2</v>
      </c>
      <c r="I2466" t="s">
        <v>98</v>
      </c>
      <c r="J2466">
        <v>0</v>
      </c>
      <c r="K2466">
        <v>1</v>
      </c>
      <c r="L2466">
        <v>5</v>
      </c>
      <c r="BG2466">
        <v>588</v>
      </c>
      <c r="BI2466" t="s">
        <v>122</v>
      </c>
      <c r="BJ2466">
        <v>0</v>
      </c>
      <c r="BL2466" t="s">
        <v>5129</v>
      </c>
      <c r="BM2466" s="4">
        <v>43283.665277777778</v>
      </c>
      <c r="BN2466" s="4">
        <v>43283.66983796296</v>
      </c>
      <c r="BO2466" s="4">
        <v>43283.66983796296</v>
      </c>
      <c r="BP2466" t="s">
        <v>92</v>
      </c>
      <c r="BQ2466" t="s">
        <v>93</v>
      </c>
      <c r="BR2466" t="s">
        <v>94</v>
      </c>
    </row>
    <row r="2467" spans="1:70" x14ac:dyDescent="0.3">
      <c r="A2467" t="str">
        <f>"201717C0300"</f>
        <v>201717C0300</v>
      </c>
      <c r="B2467" t="s">
        <v>5130</v>
      </c>
      <c r="C2467">
        <v>20</v>
      </c>
      <c r="D2467" t="s">
        <v>88</v>
      </c>
      <c r="E2467">
        <v>386</v>
      </c>
      <c r="F2467" t="s">
        <v>5086</v>
      </c>
      <c r="G2467">
        <v>1717</v>
      </c>
      <c r="H2467">
        <v>3</v>
      </c>
      <c r="I2467" t="s">
        <v>98</v>
      </c>
      <c r="J2467">
        <v>0</v>
      </c>
      <c r="K2467">
        <v>1</v>
      </c>
      <c r="L2467">
        <v>5</v>
      </c>
      <c r="M2467">
        <v>193</v>
      </c>
      <c r="N2467">
        <v>417</v>
      </c>
      <c r="O2467">
        <v>2</v>
      </c>
      <c r="P2467">
        <v>427</v>
      </c>
      <c r="Q2467">
        <v>27</v>
      </c>
      <c r="R2467">
        <v>22</v>
      </c>
      <c r="S2467">
        <v>181</v>
      </c>
      <c r="T2467">
        <v>10</v>
      </c>
      <c r="U2467">
        <v>10</v>
      </c>
      <c r="V2467">
        <v>8</v>
      </c>
      <c r="W2467">
        <v>3</v>
      </c>
      <c r="X2467">
        <v>0</v>
      </c>
      <c r="Y2467">
        <v>125</v>
      </c>
      <c r="Z2467">
        <v>7</v>
      </c>
      <c r="AA2467">
        <v>1</v>
      </c>
      <c r="AB2467">
        <v>1</v>
      </c>
      <c r="AC2467">
        <v>7</v>
      </c>
      <c r="AD2467">
        <v>2</v>
      </c>
      <c r="AE2467">
        <v>0</v>
      </c>
      <c r="AF2467">
        <v>0</v>
      </c>
      <c r="AK2467">
        <v>2</v>
      </c>
      <c r="AL2467">
        <v>3</v>
      </c>
      <c r="AM2467">
        <v>0</v>
      </c>
      <c r="AN2467">
        <v>2</v>
      </c>
      <c r="BC2467">
        <v>2</v>
      </c>
      <c r="BD2467">
        <v>14</v>
      </c>
      <c r="BE2467">
        <v>427</v>
      </c>
      <c r="BF2467">
        <v>427</v>
      </c>
      <c r="BG2467">
        <v>588</v>
      </c>
      <c r="BJ2467">
        <v>1</v>
      </c>
      <c r="BL2467" t="s">
        <v>5131</v>
      </c>
      <c r="BM2467" s="4">
        <v>43283.222222222219</v>
      </c>
      <c r="BN2467" s="4">
        <v>43283.245138888888</v>
      </c>
      <c r="BO2467" s="4">
        <v>43283.245138888888</v>
      </c>
      <c r="BP2467" t="s">
        <v>92</v>
      </c>
      <c r="BQ2467" t="s">
        <v>93</v>
      </c>
      <c r="BR2467" t="s">
        <v>94</v>
      </c>
    </row>
    <row r="2468" spans="1:70" x14ac:dyDescent="0.3">
      <c r="A2468" t="str">
        <f>"201718B0100"</f>
        <v>201718B0100</v>
      </c>
      <c r="B2468" t="s">
        <v>5132</v>
      </c>
      <c r="C2468">
        <v>20</v>
      </c>
      <c r="D2468" t="s">
        <v>88</v>
      </c>
      <c r="E2468">
        <v>386</v>
      </c>
      <c r="F2468" t="s">
        <v>5086</v>
      </c>
      <c r="G2468">
        <v>1718</v>
      </c>
      <c r="H2468">
        <v>1</v>
      </c>
      <c r="I2468" t="s">
        <v>90</v>
      </c>
      <c r="J2468">
        <v>0</v>
      </c>
      <c r="K2468">
        <v>2</v>
      </c>
      <c r="L2468">
        <v>5</v>
      </c>
      <c r="M2468">
        <v>196</v>
      </c>
      <c r="N2468">
        <v>569</v>
      </c>
      <c r="O2468">
        <v>1</v>
      </c>
      <c r="P2468">
        <v>569</v>
      </c>
      <c r="Q2468">
        <v>31</v>
      </c>
      <c r="R2468">
        <v>42</v>
      </c>
      <c r="S2468">
        <v>296</v>
      </c>
      <c r="T2468">
        <v>7</v>
      </c>
      <c r="U2468">
        <v>10</v>
      </c>
      <c r="V2468">
        <v>16</v>
      </c>
      <c r="W2468">
        <v>0</v>
      </c>
      <c r="X2468">
        <v>0</v>
      </c>
      <c r="Y2468">
        <v>152</v>
      </c>
      <c r="Z2468">
        <v>0</v>
      </c>
      <c r="AA2468">
        <v>0</v>
      </c>
      <c r="AB2468">
        <v>5</v>
      </c>
      <c r="AC2468">
        <v>0</v>
      </c>
      <c r="AD2468">
        <v>5</v>
      </c>
      <c r="AE2468">
        <v>0</v>
      </c>
      <c r="AF2468">
        <v>0</v>
      </c>
      <c r="AK2468">
        <v>5</v>
      </c>
      <c r="AL2468">
        <v>0</v>
      </c>
      <c r="AM2468">
        <v>0</v>
      </c>
      <c r="AN2468">
        <v>0</v>
      </c>
      <c r="BC2468">
        <v>0</v>
      </c>
      <c r="BD2468">
        <v>0</v>
      </c>
      <c r="BE2468">
        <v>569</v>
      </c>
      <c r="BF2468">
        <v>569</v>
      </c>
      <c r="BG2468">
        <v>743</v>
      </c>
      <c r="BJ2468">
        <v>1</v>
      </c>
      <c r="BL2468" t="s">
        <v>5133</v>
      </c>
      <c r="BM2468" s="4">
        <v>43283.223611111112</v>
      </c>
      <c r="BN2468" s="4">
        <v>43283.253078703703</v>
      </c>
      <c r="BO2468" s="4">
        <v>43283.253078703703</v>
      </c>
      <c r="BP2468" t="s">
        <v>92</v>
      </c>
      <c r="BQ2468" t="s">
        <v>93</v>
      </c>
      <c r="BR2468" t="s">
        <v>94</v>
      </c>
    </row>
    <row r="2469" spans="1:70" x14ac:dyDescent="0.3">
      <c r="A2469" t="str">
        <f>"201718C0100"</f>
        <v>201718C0100</v>
      </c>
      <c r="B2469" t="s">
        <v>5134</v>
      </c>
      <c r="C2469">
        <v>20</v>
      </c>
      <c r="D2469" t="s">
        <v>88</v>
      </c>
      <c r="E2469">
        <v>386</v>
      </c>
      <c r="F2469" t="s">
        <v>5086</v>
      </c>
      <c r="G2469">
        <v>1718</v>
      </c>
      <c r="H2469">
        <v>1</v>
      </c>
      <c r="I2469" t="s">
        <v>98</v>
      </c>
      <c r="J2469">
        <v>0</v>
      </c>
      <c r="K2469">
        <v>2</v>
      </c>
      <c r="L2469">
        <v>5</v>
      </c>
      <c r="M2469">
        <v>214</v>
      </c>
      <c r="N2469">
        <v>550</v>
      </c>
      <c r="O2469">
        <v>2</v>
      </c>
      <c r="P2469">
        <v>550</v>
      </c>
      <c r="Q2469">
        <v>23</v>
      </c>
      <c r="R2469">
        <v>31</v>
      </c>
      <c r="S2469">
        <v>302</v>
      </c>
      <c r="T2469">
        <v>8</v>
      </c>
      <c r="U2469">
        <v>2</v>
      </c>
      <c r="V2469">
        <v>15</v>
      </c>
      <c r="W2469">
        <v>4</v>
      </c>
      <c r="X2469">
        <v>2</v>
      </c>
      <c r="Y2469">
        <v>128</v>
      </c>
      <c r="Z2469">
        <v>4</v>
      </c>
      <c r="AA2469">
        <v>2</v>
      </c>
      <c r="AB2469">
        <v>2</v>
      </c>
      <c r="AC2469">
        <v>2</v>
      </c>
      <c r="AD2469">
        <v>2</v>
      </c>
      <c r="AE2469">
        <v>0</v>
      </c>
      <c r="AF2469">
        <v>0</v>
      </c>
      <c r="AK2469">
        <v>6</v>
      </c>
      <c r="AL2469">
        <v>1</v>
      </c>
      <c r="AM2469">
        <v>0</v>
      </c>
      <c r="AN2469">
        <v>0</v>
      </c>
      <c r="BC2469" t="s">
        <v>105</v>
      </c>
      <c r="BD2469">
        <v>18</v>
      </c>
      <c r="BE2469">
        <v>550</v>
      </c>
      <c r="BF2469">
        <v>552</v>
      </c>
      <c r="BG2469">
        <v>743</v>
      </c>
      <c r="BI2469" t="s">
        <v>106</v>
      </c>
      <c r="BJ2469">
        <v>1</v>
      </c>
      <c r="BL2469" t="s">
        <v>5135</v>
      </c>
      <c r="BM2469" s="4">
        <v>43283.229166666664</v>
      </c>
      <c r="BN2469" s="4">
        <v>43283.2653587963</v>
      </c>
      <c r="BO2469" s="4">
        <v>43283.2653587963</v>
      </c>
      <c r="BP2469" t="s">
        <v>92</v>
      </c>
      <c r="BQ2469" t="s">
        <v>93</v>
      </c>
      <c r="BR2469" t="s">
        <v>94</v>
      </c>
    </row>
    <row r="2470" spans="1:70" x14ac:dyDescent="0.3">
      <c r="A2470" t="str">
        <f>"201718C0200"</f>
        <v>201718C0200</v>
      </c>
      <c r="B2470" t="s">
        <v>5136</v>
      </c>
      <c r="C2470">
        <v>20</v>
      </c>
      <c r="D2470" t="s">
        <v>88</v>
      </c>
      <c r="E2470">
        <v>386</v>
      </c>
      <c r="F2470" t="s">
        <v>5086</v>
      </c>
      <c r="G2470">
        <v>1718</v>
      </c>
      <c r="H2470">
        <v>2</v>
      </c>
      <c r="I2470" t="s">
        <v>98</v>
      </c>
      <c r="J2470">
        <v>0</v>
      </c>
      <c r="K2470">
        <v>2</v>
      </c>
      <c r="L2470">
        <v>5</v>
      </c>
      <c r="M2470">
        <v>232</v>
      </c>
      <c r="N2470">
        <v>764</v>
      </c>
      <c r="O2470">
        <v>3</v>
      </c>
      <c r="P2470">
        <v>530</v>
      </c>
      <c r="Q2470">
        <v>41</v>
      </c>
      <c r="R2470">
        <v>39</v>
      </c>
      <c r="S2470">
        <v>270</v>
      </c>
      <c r="T2470">
        <v>13</v>
      </c>
      <c r="U2470">
        <v>10</v>
      </c>
      <c r="V2470">
        <v>7</v>
      </c>
      <c r="W2470">
        <v>3</v>
      </c>
      <c r="X2470" t="s">
        <v>105</v>
      </c>
      <c r="Y2470">
        <v>112</v>
      </c>
      <c r="Z2470">
        <v>7</v>
      </c>
      <c r="AA2470">
        <v>1</v>
      </c>
      <c r="AB2470">
        <v>5</v>
      </c>
      <c r="AC2470">
        <v>8</v>
      </c>
      <c r="AD2470">
        <v>1</v>
      </c>
      <c r="AE2470">
        <v>2</v>
      </c>
      <c r="AF2470" t="s">
        <v>105</v>
      </c>
      <c r="AK2470">
        <v>3</v>
      </c>
      <c r="AL2470">
        <v>0</v>
      </c>
      <c r="AM2470">
        <v>0</v>
      </c>
      <c r="AN2470">
        <v>1</v>
      </c>
      <c r="BC2470">
        <v>0</v>
      </c>
      <c r="BD2470">
        <v>7</v>
      </c>
      <c r="BE2470">
        <v>530</v>
      </c>
      <c r="BF2470">
        <v>530</v>
      </c>
      <c r="BG2470">
        <v>742</v>
      </c>
      <c r="BI2470" t="s">
        <v>106</v>
      </c>
      <c r="BJ2470">
        <v>1</v>
      </c>
      <c r="BL2470" t="s">
        <v>5137</v>
      </c>
      <c r="BM2470" s="4">
        <v>43283.225694444445</v>
      </c>
      <c r="BN2470" s="4">
        <v>43283.249340277776</v>
      </c>
      <c r="BO2470" s="4">
        <v>43283.249340277776</v>
      </c>
      <c r="BP2470" t="s">
        <v>92</v>
      </c>
      <c r="BQ2470" t="s">
        <v>93</v>
      </c>
      <c r="BR2470" t="s">
        <v>94</v>
      </c>
    </row>
    <row r="2471" spans="1:70" x14ac:dyDescent="0.3">
      <c r="A2471" t="str">
        <f>"201718C0300"</f>
        <v>201718C0300</v>
      </c>
      <c r="B2471" t="s">
        <v>5138</v>
      </c>
      <c r="C2471">
        <v>20</v>
      </c>
      <c r="D2471" t="s">
        <v>88</v>
      </c>
      <c r="E2471">
        <v>386</v>
      </c>
      <c r="F2471" t="s">
        <v>5086</v>
      </c>
      <c r="G2471">
        <v>1718</v>
      </c>
      <c r="H2471">
        <v>3</v>
      </c>
      <c r="I2471" t="s">
        <v>98</v>
      </c>
      <c r="J2471">
        <v>0</v>
      </c>
      <c r="K2471">
        <v>2</v>
      </c>
      <c r="L2471">
        <v>5</v>
      </c>
      <c r="M2471">
        <v>235</v>
      </c>
      <c r="N2471" t="s">
        <v>105</v>
      </c>
      <c r="O2471">
        <v>2</v>
      </c>
      <c r="P2471" t="s">
        <v>105</v>
      </c>
      <c r="Q2471">
        <v>28</v>
      </c>
      <c r="R2471">
        <v>37</v>
      </c>
      <c r="S2471">
        <v>276</v>
      </c>
      <c r="T2471">
        <v>6</v>
      </c>
      <c r="U2471">
        <v>4</v>
      </c>
      <c r="V2471">
        <v>21</v>
      </c>
      <c r="W2471">
        <v>5</v>
      </c>
      <c r="X2471">
        <v>1</v>
      </c>
      <c r="Y2471">
        <v>103</v>
      </c>
      <c r="Z2471">
        <v>3</v>
      </c>
      <c r="AA2471">
        <v>3</v>
      </c>
      <c r="AB2471">
        <v>1</v>
      </c>
      <c r="AC2471">
        <v>6</v>
      </c>
      <c r="AD2471">
        <v>6</v>
      </c>
      <c r="AE2471">
        <v>0</v>
      </c>
      <c r="AF2471">
        <v>2</v>
      </c>
      <c r="AK2471">
        <v>6</v>
      </c>
      <c r="AL2471">
        <v>1</v>
      </c>
      <c r="AM2471">
        <v>0</v>
      </c>
      <c r="AN2471">
        <v>5</v>
      </c>
      <c r="BC2471">
        <v>0</v>
      </c>
      <c r="BD2471">
        <v>15</v>
      </c>
      <c r="BE2471">
        <v>529</v>
      </c>
      <c r="BF2471">
        <v>529</v>
      </c>
      <c r="BG2471">
        <v>742</v>
      </c>
      <c r="BJ2471">
        <v>1</v>
      </c>
      <c r="BL2471" t="s">
        <v>5139</v>
      </c>
      <c r="BM2471" s="4">
        <v>43283.224305555559</v>
      </c>
      <c r="BN2471" s="4">
        <v>43283.252291666664</v>
      </c>
      <c r="BO2471" s="4">
        <v>43283.252291666664</v>
      </c>
      <c r="BP2471" t="s">
        <v>92</v>
      </c>
      <c r="BQ2471" t="s">
        <v>93</v>
      </c>
      <c r="BR2471" t="s">
        <v>94</v>
      </c>
    </row>
    <row r="2472" spans="1:70" x14ac:dyDescent="0.3">
      <c r="A2472" t="str">
        <f>"201718C0400"</f>
        <v>201718C0400</v>
      </c>
      <c r="B2472" t="s">
        <v>5140</v>
      </c>
      <c r="C2472">
        <v>20</v>
      </c>
      <c r="D2472" t="s">
        <v>88</v>
      </c>
      <c r="E2472">
        <v>386</v>
      </c>
      <c r="F2472" t="s">
        <v>5086</v>
      </c>
      <c r="G2472">
        <v>1718</v>
      </c>
      <c r="H2472">
        <v>4</v>
      </c>
      <c r="I2472" t="s">
        <v>98</v>
      </c>
      <c r="J2472">
        <v>0</v>
      </c>
      <c r="K2472">
        <v>2</v>
      </c>
      <c r="L2472">
        <v>5</v>
      </c>
      <c r="M2472">
        <v>219</v>
      </c>
      <c r="N2472">
        <v>544</v>
      </c>
      <c r="O2472">
        <v>6</v>
      </c>
      <c r="P2472">
        <v>550</v>
      </c>
      <c r="Q2472">
        <v>30</v>
      </c>
      <c r="R2472">
        <v>39</v>
      </c>
      <c r="S2472">
        <v>310</v>
      </c>
      <c r="T2472">
        <v>12</v>
      </c>
      <c r="U2472">
        <v>6</v>
      </c>
      <c r="V2472">
        <v>8</v>
      </c>
      <c r="W2472">
        <v>3</v>
      </c>
      <c r="X2472" t="s">
        <v>105</v>
      </c>
      <c r="Y2472">
        <v>104</v>
      </c>
      <c r="Z2472">
        <v>4</v>
      </c>
      <c r="AA2472">
        <v>6</v>
      </c>
      <c r="AB2472">
        <v>2</v>
      </c>
      <c r="AC2472">
        <v>3</v>
      </c>
      <c r="AD2472">
        <v>3</v>
      </c>
      <c r="AE2472" t="s">
        <v>105</v>
      </c>
      <c r="AF2472">
        <v>3</v>
      </c>
      <c r="AK2472" t="s">
        <v>105</v>
      </c>
      <c r="AL2472" t="s">
        <v>105</v>
      </c>
      <c r="AM2472" t="s">
        <v>105</v>
      </c>
      <c r="AN2472">
        <v>3</v>
      </c>
      <c r="BC2472" t="s">
        <v>105</v>
      </c>
      <c r="BD2472">
        <v>14</v>
      </c>
      <c r="BE2472" t="s">
        <v>105</v>
      </c>
      <c r="BF2472">
        <v>550</v>
      </c>
      <c r="BG2472">
        <v>742</v>
      </c>
      <c r="BI2472" t="s">
        <v>106</v>
      </c>
      <c r="BJ2472">
        <v>1</v>
      </c>
      <c r="BL2472" t="s">
        <v>5141</v>
      </c>
      <c r="BM2472" s="4">
        <v>43283.229166666664</v>
      </c>
      <c r="BN2472" s="4">
        <v>43283.252129629633</v>
      </c>
      <c r="BO2472" s="4">
        <v>43283.252129629633</v>
      </c>
      <c r="BP2472" t="s">
        <v>92</v>
      </c>
      <c r="BQ2472" t="s">
        <v>93</v>
      </c>
      <c r="BR2472" t="s">
        <v>94</v>
      </c>
    </row>
    <row r="2473" spans="1:70" x14ac:dyDescent="0.3">
      <c r="A2473" t="str">
        <f>"201718C0500"</f>
        <v>201718C0500</v>
      </c>
      <c r="B2473" t="s">
        <v>5142</v>
      </c>
      <c r="C2473">
        <v>20</v>
      </c>
      <c r="D2473" t="s">
        <v>88</v>
      </c>
      <c r="E2473">
        <v>386</v>
      </c>
      <c r="F2473" t="s">
        <v>5086</v>
      </c>
      <c r="G2473">
        <v>1718</v>
      </c>
      <c r="H2473">
        <v>5</v>
      </c>
      <c r="I2473" t="s">
        <v>98</v>
      </c>
      <c r="J2473">
        <v>0</v>
      </c>
      <c r="K2473">
        <v>2</v>
      </c>
      <c r="L2473">
        <v>5</v>
      </c>
      <c r="M2473">
        <v>221</v>
      </c>
      <c r="N2473">
        <v>524</v>
      </c>
      <c r="O2473">
        <v>3</v>
      </c>
      <c r="P2473">
        <v>535</v>
      </c>
      <c r="Q2473">
        <v>38</v>
      </c>
      <c r="R2473">
        <v>44</v>
      </c>
      <c r="S2473">
        <v>291</v>
      </c>
      <c r="T2473">
        <v>1</v>
      </c>
      <c r="U2473">
        <v>6</v>
      </c>
      <c r="V2473">
        <v>10</v>
      </c>
      <c r="W2473">
        <v>5</v>
      </c>
      <c r="X2473">
        <v>0</v>
      </c>
      <c r="Y2473">
        <v>97</v>
      </c>
      <c r="Z2473">
        <v>1</v>
      </c>
      <c r="AA2473">
        <v>4</v>
      </c>
      <c r="AB2473">
        <v>1</v>
      </c>
      <c r="AC2473">
        <v>9</v>
      </c>
      <c r="AD2473">
        <v>2</v>
      </c>
      <c r="AE2473">
        <v>2</v>
      </c>
      <c r="AF2473">
        <v>0</v>
      </c>
      <c r="AK2473">
        <v>0</v>
      </c>
      <c r="AL2473">
        <v>3</v>
      </c>
      <c r="AM2473">
        <v>0</v>
      </c>
      <c r="AN2473">
        <v>0</v>
      </c>
      <c r="BC2473">
        <v>0</v>
      </c>
      <c r="BD2473">
        <v>14</v>
      </c>
      <c r="BE2473">
        <v>535</v>
      </c>
      <c r="BF2473">
        <v>528</v>
      </c>
      <c r="BG2473">
        <v>742</v>
      </c>
      <c r="BJ2473">
        <v>1</v>
      </c>
      <c r="BL2473" t="s">
        <v>5143</v>
      </c>
      <c r="BM2473" s="4">
        <v>43283.225694444445</v>
      </c>
      <c r="BN2473" s="4">
        <v>43283.251944444448</v>
      </c>
      <c r="BO2473" s="4">
        <v>43283.251944444448</v>
      </c>
      <c r="BP2473" t="s">
        <v>92</v>
      </c>
      <c r="BQ2473" t="s">
        <v>93</v>
      </c>
      <c r="BR2473" t="s">
        <v>94</v>
      </c>
    </row>
    <row r="2474" spans="1:70" x14ac:dyDescent="0.3">
      <c r="A2474" t="str">
        <f>"201718S0100"</f>
        <v>201718S0100</v>
      </c>
      <c r="B2474" t="s">
        <v>5144</v>
      </c>
      <c r="C2474">
        <v>20</v>
      </c>
      <c r="D2474" t="s">
        <v>88</v>
      </c>
      <c r="E2474">
        <v>386</v>
      </c>
      <c r="F2474" t="s">
        <v>5086</v>
      </c>
      <c r="G2474">
        <v>1718</v>
      </c>
      <c r="H2474">
        <v>1</v>
      </c>
      <c r="I2474" t="s">
        <v>113</v>
      </c>
      <c r="J2474">
        <v>0</v>
      </c>
      <c r="K2474">
        <v>2</v>
      </c>
      <c r="L2474">
        <v>6</v>
      </c>
      <c r="M2474">
        <v>752</v>
      </c>
      <c r="N2474">
        <v>20</v>
      </c>
      <c r="O2474">
        <v>0</v>
      </c>
      <c r="P2474">
        <v>20</v>
      </c>
      <c r="Q2474">
        <v>1</v>
      </c>
      <c r="R2474">
        <v>1</v>
      </c>
      <c r="S2474">
        <v>7</v>
      </c>
      <c r="T2474">
        <v>0</v>
      </c>
      <c r="U2474">
        <v>1</v>
      </c>
      <c r="V2474">
        <v>0</v>
      </c>
      <c r="W2474">
        <v>0</v>
      </c>
      <c r="X2474">
        <v>0</v>
      </c>
      <c r="Y2474">
        <v>8</v>
      </c>
      <c r="Z2474">
        <v>0</v>
      </c>
      <c r="AA2474">
        <v>1</v>
      </c>
      <c r="AB2474">
        <v>0</v>
      </c>
      <c r="AC2474">
        <v>0</v>
      </c>
      <c r="AD2474">
        <v>0</v>
      </c>
      <c r="AE2474">
        <v>0</v>
      </c>
      <c r="AF2474">
        <v>0</v>
      </c>
      <c r="AK2474">
        <v>1</v>
      </c>
      <c r="AL2474">
        <v>0</v>
      </c>
      <c r="AM2474">
        <v>0</v>
      </c>
      <c r="AN2474">
        <v>0</v>
      </c>
      <c r="BC2474">
        <v>0</v>
      </c>
      <c r="BD2474">
        <v>0</v>
      </c>
      <c r="BE2474">
        <v>20</v>
      </c>
      <c r="BF2474">
        <v>20</v>
      </c>
      <c r="BG2474">
        <v>0</v>
      </c>
      <c r="BJ2474">
        <v>1</v>
      </c>
      <c r="BL2474" s="2" t="s">
        <v>5145</v>
      </c>
      <c r="BM2474" s="4">
        <v>43283.222916666666</v>
      </c>
      <c r="BN2474" s="4">
        <v>43283.247060185182</v>
      </c>
      <c r="BO2474" s="4">
        <v>43283.247060185182</v>
      </c>
      <c r="BP2474" t="s">
        <v>92</v>
      </c>
      <c r="BQ2474" t="s">
        <v>93</v>
      </c>
      <c r="BR2474" t="s">
        <v>94</v>
      </c>
    </row>
    <row r="2475" spans="1:70" x14ac:dyDescent="0.3">
      <c r="A2475" t="str">
        <f>"201719B0100"</f>
        <v>201719B0100</v>
      </c>
      <c r="B2475" t="s">
        <v>5146</v>
      </c>
      <c r="C2475">
        <v>20</v>
      </c>
      <c r="D2475" t="s">
        <v>88</v>
      </c>
      <c r="E2475">
        <v>386</v>
      </c>
      <c r="F2475" t="s">
        <v>5086</v>
      </c>
      <c r="G2475">
        <v>1719</v>
      </c>
      <c r="H2475">
        <v>1</v>
      </c>
      <c r="I2475" t="s">
        <v>90</v>
      </c>
      <c r="J2475">
        <v>0</v>
      </c>
      <c r="K2475">
        <v>1</v>
      </c>
      <c r="L2475">
        <v>5</v>
      </c>
      <c r="M2475">
        <v>191</v>
      </c>
      <c r="N2475">
        <v>494</v>
      </c>
      <c r="O2475">
        <v>4</v>
      </c>
      <c r="P2475" t="s">
        <v>105</v>
      </c>
      <c r="Q2475">
        <v>52</v>
      </c>
      <c r="R2475">
        <v>55</v>
      </c>
      <c r="S2475">
        <v>183</v>
      </c>
      <c r="T2475">
        <v>12</v>
      </c>
      <c r="U2475">
        <v>3</v>
      </c>
      <c r="V2475">
        <v>13</v>
      </c>
      <c r="W2475">
        <v>7</v>
      </c>
      <c r="X2475">
        <v>2</v>
      </c>
      <c r="Y2475">
        <v>130</v>
      </c>
      <c r="Z2475">
        <v>2</v>
      </c>
      <c r="AA2475">
        <v>4</v>
      </c>
      <c r="AB2475">
        <v>7</v>
      </c>
      <c r="AC2475" t="s">
        <v>105</v>
      </c>
      <c r="AD2475" t="s">
        <v>105</v>
      </c>
      <c r="AE2475" t="s">
        <v>105</v>
      </c>
      <c r="AF2475">
        <v>2</v>
      </c>
      <c r="AK2475">
        <v>8</v>
      </c>
      <c r="AL2475" t="s">
        <v>105</v>
      </c>
      <c r="AM2475" t="s">
        <v>105</v>
      </c>
      <c r="AN2475" t="s">
        <v>105</v>
      </c>
      <c r="BC2475">
        <v>2</v>
      </c>
      <c r="BD2475">
        <v>11</v>
      </c>
      <c r="BE2475">
        <v>493</v>
      </c>
      <c r="BF2475">
        <v>493</v>
      </c>
      <c r="BG2475">
        <v>663</v>
      </c>
      <c r="BI2475" t="s">
        <v>106</v>
      </c>
      <c r="BJ2475">
        <v>1</v>
      </c>
      <c r="BL2475" t="s">
        <v>5147</v>
      </c>
      <c r="BM2475" s="4">
        <v>43282.982060185182</v>
      </c>
      <c r="BN2475" s="4">
        <v>43282.987523148149</v>
      </c>
      <c r="BO2475" s="4">
        <v>43282.987523148149</v>
      </c>
      <c r="BP2475" t="s">
        <v>339</v>
      </c>
      <c r="BQ2475" t="s">
        <v>340</v>
      </c>
      <c r="BR2475" t="s">
        <v>94</v>
      </c>
    </row>
    <row r="2476" spans="1:70" x14ac:dyDescent="0.3">
      <c r="A2476" t="str">
        <f>"201719C0100"</f>
        <v>201719C0100</v>
      </c>
      <c r="B2476" t="s">
        <v>5148</v>
      </c>
      <c r="C2476">
        <v>20</v>
      </c>
      <c r="D2476" t="s">
        <v>88</v>
      </c>
      <c r="E2476">
        <v>386</v>
      </c>
      <c r="F2476" t="s">
        <v>5086</v>
      </c>
      <c r="G2476">
        <v>1719</v>
      </c>
      <c r="H2476">
        <v>1</v>
      </c>
      <c r="I2476" t="s">
        <v>98</v>
      </c>
      <c r="J2476">
        <v>0</v>
      </c>
      <c r="K2476">
        <v>1</v>
      </c>
      <c r="L2476">
        <v>5</v>
      </c>
      <c r="M2476">
        <v>205</v>
      </c>
      <c r="N2476">
        <v>480</v>
      </c>
      <c r="O2476">
        <v>6</v>
      </c>
      <c r="P2476">
        <v>481</v>
      </c>
      <c r="Q2476">
        <v>51</v>
      </c>
      <c r="R2476">
        <v>58</v>
      </c>
      <c r="S2476">
        <v>175</v>
      </c>
      <c r="T2476">
        <v>9</v>
      </c>
      <c r="U2476">
        <v>13</v>
      </c>
      <c r="V2476">
        <v>12</v>
      </c>
      <c r="W2476">
        <v>1</v>
      </c>
      <c r="X2476">
        <v>1</v>
      </c>
      <c r="Y2476">
        <v>135</v>
      </c>
      <c r="Z2476">
        <v>2</v>
      </c>
      <c r="AA2476">
        <v>5</v>
      </c>
      <c r="AB2476">
        <v>1</v>
      </c>
      <c r="AC2476">
        <v>2</v>
      </c>
      <c r="AD2476">
        <v>0</v>
      </c>
      <c r="AE2476">
        <v>0</v>
      </c>
      <c r="AF2476">
        <v>1</v>
      </c>
      <c r="AK2476">
        <v>4</v>
      </c>
      <c r="AL2476">
        <v>0</v>
      </c>
      <c r="AM2476">
        <v>0</v>
      </c>
      <c r="AN2476">
        <v>0</v>
      </c>
      <c r="BC2476">
        <v>0</v>
      </c>
      <c r="BD2476">
        <v>11</v>
      </c>
      <c r="BE2476">
        <v>481</v>
      </c>
      <c r="BF2476">
        <v>481</v>
      </c>
      <c r="BG2476">
        <v>663</v>
      </c>
      <c r="BJ2476">
        <v>1</v>
      </c>
      <c r="BL2476" t="s">
        <v>5149</v>
      </c>
      <c r="BM2476" s="4">
        <v>43283.227777777778</v>
      </c>
      <c r="BN2476" s="4">
        <v>43283.250532407408</v>
      </c>
      <c r="BO2476" s="4">
        <v>43283.250532407408</v>
      </c>
      <c r="BP2476" t="s">
        <v>92</v>
      </c>
      <c r="BQ2476" t="s">
        <v>93</v>
      </c>
      <c r="BR2476" t="s">
        <v>94</v>
      </c>
    </row>
    <row r="2477" spans="1:70" x14ac:dyDescent="0.3">
      <c r="A2477" t="str">
        <f>"201719C0200"</f>
        <v>201719C0200</v>
      </c>
      <c r="B2477" t="s">
        <v>5150</v>
      </c>
      <c r="C2477">
        <v>20</v>
      </c>
      <c r="D2477" t="s">
        <v>88</v>
      </c>
      <c r="E2477">
        <v>386</v>
      </c>
      <c r="F2477" t="s">
        <v>5086</v>
      </c>
      <c r="G2477">
        <v>1719</v>
      </c>
      <c r="H2477">
        <v>2</v>
      </c>
      <c r="I2477" t="s">
        <v>98</v>
      </c>
      <c r="J2477">
        <v>0</v>
      </c>
      <c r="K2477">
        <v>1</v>
      </c>
      <c r="L2477">
        <v>5</v>
      </c>
      <c r="M2477">
        <v>190</v>
      </c>
      <c r="N2477">
        <v>494</v>
      </c>
      <c r="O2477">
        <v>8</v>
      </c>
      <c r="P2477" t="s">
        <v>105</v>
      </c>
      <c r="Q2477">
        <v>41</v>
      </c>
      <c r="R2477">
        <v>41</v>
      </c>
      <c r="S2477">
        <v>189</v>
      </c>
      <c r="T2477">
        <v>10</v>
      </c>
      <c r="U2477">
        <v>8</v>
      </c>
      <c r="V2477">
        <v>20</v>
      </c>
      <c r="W2477">
        <v>6</v>
      </c>
      <c r="X2477">
        <v>4</v>
      </c>
      <c r="Y2477">
        <v>137</v>
      </c>
      <c r="Z2477">
        <v>5</v>
      </c>
      <c r="AA2477">
        <v>5</v>
      </c>
      <c r="AB2477">
        <v>2</v>
      </c>
      <c r="AC2477">
        <v>9</v>
      </c>
      <c r="AD2477">
        <v>1</v>
      </c>
      <c r="AE2477">
        <v>0</v>
      </c>
      <c r="AF2477">
        <v>0</v>
      </c>
      <c r="AK2477">
        <v>3</v>
      </c>
      <c r="AL2477">
        <v>2</v>
      </c>
      <c r="AM2477">
        <v>0</v>
      </c>
      <c r="AN2477">
        <v>2</v>
      </c>
      <c r="BC2477">
        <v>0</v>
      </c>
      <c r="BD2477">
        <v>11</v>
      </c>
      <c r="BE2477">
        <v>686</v>
      </c>
      <c r="BF2477">
        <v>496</v>
      </c>
      <c r="BG2477">
        <v>662</v>
      </c>
      <c r="BJ2477">
        <v>1</v>
      </c>
      <c r="BL2477" t="s">
        <v>5151</v>
      </c>
      <c r="BM2477" s="4">
        <v>43282.998460648145</v>
      </c>
      <c r="BN2477" s="4">
        <v>43283.00236111111</v>
      </c>
      <c r="BO2477" s="4">
        <v>43283.00236111111</v>
      </c>
      <c r="BP2477" t="s">
        <v>339</v>
      </c>
      <c r="BQ2477" t="s">
        <v>340</v>
      </c>
      <c r="BR2477" t="s">
        <v>94</v>
      </c>
    </row>
    <row r="2478" spans="1:70" x14ac:dyDescent="0.3">
      <c r="A2478" t="str">
        <f>"201719C0300"</f>
        <v>201719C0300</v>
      </c>
      <c r="B2478" t="s">
        <v>5152</v>
      </c>
      <c r="C2478">
        <v>20</v>
      </c>
      <c r="D2478" t="s">
        <v>88</v>
      </c>
      <c r="E2478">
        <v>386</v>
      </c>
      <c r="F2478" t="s">
        <v>5086</v>
      </c>
      <c r="G2478">
        <v>1719</v>
      </c>
      <c r="H2478">
        <v>3</v>
      </c>
      <c r="I2478" t="s">
        <v>98</v>
      </c>
      <c r="J2478">
        <v>0</v>
      </c>
      <c r="K2478">
        <v>1</v>
      </c>
      <c r="L2478">
        <v>5</v>
      </c>
      <c r="M2478">
        <v>187</v>
      </c>
      <c r="N2478">
        <v>498</v>
      </c>
      <c r="O2478">
        <v>6</v>
      </c>
      <c r="P2478">
        <v>472</v>
      </c>
      <c r="Q2478">
        <v>58</v>
      </c>
      <c r="R2478">
        <v>49</v>
      </c>
      <c r="S2478">
        <v>178</v>
      </c>
      <c r="T2478">
        <v>8</v>
      </c>
      <c r="U2478">
        <v>4</v>
      </c>
      <c r="V2478">
        <v>15</v>
      </c>
      <c r="W2478">
        <v>4</v>
      </c>
      <c r="X2478">
        <v>1</v>
      </c>
      <c r="Y2478">
        <v>148</v>
      </c>
      <c r="Z2478">
        <v>3</v>
      </c>
      <c r="AA2478">
        <v>3</v>
      </c>
      <c r="AB2478">
        <v>3</v>
      </c>
      <c r="AC2478">
        <v>8</v>
      </c>
      <c r="AD2478" t="s">
        <v>105</v>
      </c>
      <c r="AE2478" t="s">
        <v>105</v>
      </c>
      <c r="AF2478">
        <v>2</v>
      </c>
      <c r="AK2478">
        <v>2</v>
      </c>
      <c r="AL2478">
        <v>1</v>
      </c>
      <c r="AM2478" t="s">
        <v>105</v>
      </c>
      <c r="AN2478" t="s">
        <v>105</v>
      </c>
      <c r="BC2478" t="s">
        <v>105</v>
      </c>
      <c r="BD2478">
        <v>8</v>
      </c>
      <c r="BE2478">
        <v>487</v>
      </c>
      <c r="BF2478">
        <v>495</v>
      </c>
      <c r="BG2478">
        <v>662</v>
      </c>
      <c r="BI2478" t="s">
        <v>106</v>
      </c>
      <c r="BJ2478">
        <v>1</v>
      </c>
      <c r="BL2478" t="s">
        <v>5153</v>
      </c>
      <c r="BM2478" s="4">
        <v>43283.001655092594</v>
      </c>
      <c r="BN2478" s="4">
        <v>43283.005254629628</v>
      </c>
      <c r="BO2478" s="4">
        <v>43283.005254629628</v>
      </c>
      <c r="BP2478" t="s">
        <v>339</v>
      </c>
      <c r="BQ2478" t="s">
        <v>340</v>
      </c>
      <c r="BR2478" t="s">
        <v>94</v>
      </c>
    </row>
    <row r="2479" spans="1:70" x14ac:dyDescent="0.3">
      <c r="A2479" t="str">
        <f>"201720B0100"</f>
        <v>201720B0100</v>
      </c>
      <c r="B2479" t="s">
        <v>5154</v>
      </c>
      <c r="C2479">
        <v>20</v>
      </c>
      <c r="D2479" t="s">
        <v>88</v>
      </c>
      <c r="E2479">
        <v>386</v>
      </c>
      <c r="F2479" t="s">
        <v>5086</v>
      </c>
      <c r="G2479">
        <v>1720</v>
      </c>
      <c r="H2479">
        <v>1</v>
      </c>
      <c r="I2479" t="s">
        <v>90</v>
      </c>
      <c r="J2479">
        <v>0</v>
      </c>
      <c r="K2479">
        <v>1</v>
      </c>
      <c r="L2479">
        <v>5</v>
      </c>
      <c r="M2479">
        <v>197</v>
      </c>
      <c r="N2479">
        <v>551</v>
      </c>
      <c r="O2479">
        <v>8</v>
      </c>
      <c r="P2479">
        <v>553</v>
      </c>
      <c r="Q2479">
        <v>64</v>
      </c>
      <c r="R2479">
        <v>50</v>
      </c>
      <c r="S2479">
        <v>218</v>
      </c>
      <c r="T2479">
        <v>15</v>
      </c>
      <c r="U2479">
        <v>8</v>
      </c>
      <c r="V2479">
        <v>27</v>
      </c>
      <c r="W2479">
        <v>4</v>
      </c>
      <c r="X2479">
        <v>3</v>
      </c>
      <c r="Y2479">
        <v>133</v>
      </c>
      <c r="Z2479">
        <v>3</v>
      </c>
      <c r="AA2479">
        <v>6</v>
      </c>
      <c r="AB2479">
        <v>7</v>
      </c>
      <c r="AC2479">
        <v>1</v>
      </c>
      <c r="AD2479">
        <v>1</v>
      </c>
      <c r="AE2479">
        <v>0</v>
      </c>
      <c r="AF2479">
        <v>2</v>
      </c>
      <c r="AK2479">
        <v>1</v>
      </c>
      <c r="AL2479">
        <v>0</v>
      </c>
      <c r="AM2479">
        <v>0</v>
      </c>
      <c r="AN2479">
        <v>1</v>
      </c>
      <c r="BC2479">
        <v>0</v>
      </c>
      <c r="BD2479">
        <v>9</v>
      </c>
      <c r="BE2479">
        <v>553</v>
      </c>
      <c r="BF2479">
        <v>553</v>
      </c>
      <c r="BG2479">
        <v>726</v>
      </c>
      <c r="BJ2479">
        <v>1</v>
      </c>
      <c r="BL2479" t="s">
        <v>5155</v>
      </c>
      <c r="BM2479" s="4">
        <v>43282.983206018522</v>
      </c>
      <c r="BN2479" s="4">
        <v>43282.986111111109</v>
      </c>
      <c r="BO2479" s="4">
        <v>43282.986111111109</v>
      </c>
      <c r="BP2479" t="s">
        <v>339</v>
      </c>
      <c r="BQ2479" t="s">
        <v>340</v>
      </c>
      <c r="BR2479" t="s">
        <v>94</v>
      </c>
    </row>
    <row r="2480" spans="1:70" x14ac:dyDescent="0.3">
      <c r="A2480" t="str">
        <f>"201720C0100"</f>
        <v>201720C0100</v>
      </c>
      <c r="B2480" t="s">
        <v>5156</v>
      </c>
      <c r="C2480">
        <v>20</v>
      </c>
      <c r="D2480" t="s">
        <v>88</v>
      </c>
      <c r="E2480">
        <v>386</v>
      </c>
      <c r="F2480" t="s">
        <v>5086</v>
      </c>
      <c r="G2480">
        <v>1720</v>
      </c>
      <c r="H2480">
        <v>1</v>
      </c>
      <c r="I2480" t="s">
        <v>98</v>
      </c>
      <c r="J2480">
        <v>0</v>
      </c>
      <c r="K2480">
        <v>1</v>
      </c>
      <c r="L2480">
        <v>5</v>
      </c>
      <c r="M2480">
        <v>223</v>
      </c>
      <c r="N2480">
        <v>525</v>
      </c>
      <c r="O2480" t="s">
        <v>105</v>
      </c>
      <c r="P2480">
        <v>525</v>
      </c>
      <c r="Q2480">
        <v>57</v>
      </c>
      <c r="R2480">
        <v>63</v>
      </c>
      <c r="S2480">
        <v>206</v>
      </c>
      <c r="T2480">
        <v>4</v>
      </c>
      <c r="U2480">
        <v>4</v>
      </c>
      <c r="V2480">
        <v>18</v>
      </c>
      <c r="W2480">
        <v>1</v>
      </c>
      <c r="X2480">
        <v>6</v>
      </c>
      <c r="Y2480">
        <v>127</v>
      </c>
      <c r="Z2480">
        <v>5</v>
      </c>
      <c r="AA2480">
        <v>6</v>
      </c>
      <c r="AB2480">
        <v>6</v>
      </c>
      <c r="AC2480">
        <v>3</v>
      </c>
      <c r="AD2480">
        <v>3</v>
      </c>
      <c r="AE2480">
        <v>0</v>
      </c>
      <c r="AF2480">
        <v>1</v>
      </c>
      <c r="AK2480">
        <v>0</v>
      </c>
      <c r="AL2480">
        <v>1</v>
      </c>
      <c r="AM2480">
        <v>0</v>
      </c>
      <c r="AN2480">
        <v>0</v>
      </c>
      <c r="BC2480">
        <v>0</v>
      </c>
      <c r="BD2480">
        <v>14</v>
      </c>
      <c r="BE2480">
        <v>525</v>
      </c>
      <c r="BF2480">
        <v>525</v>
      </c>
      <c r="BG2480">
        <v>726</v>
      </c>
      <c r="BJ2480">
        <v>1</v>
      </c>
      <c r="BL2480" t="s">
        <v>5157</v>
      </c>
      <c r="BM2480" s="4">
        <v>43283.196527777778</v>
      </c>
      <c r="BN2480" s="4">
        <v>43283.21398148148</v>
      </c>
      <c r="BO2480" s="4">
        <v>43283.21398148148</v>
      </c>
      <c r="BP2480" t="s">
        <v>92</v>
      </c>
      <c r="BQ2480" t="s">
        <v>93</v>
      </c>
      <c r="BR2480" t="s">
        <v>94</v>
      </c>
    </row>
    <row r="2481" spans="1:70" x14ac:dyDescent="0.3">
      <c r="A2481" t="str">
        <f>"201720C0200"</f>
        <v>201720C0200</v>
      </c>
      <c r="B2481" t="s">
        <v>5158</v>
      </c>
      <c r="C2481">
        <v>20</v>
      </c>
      <c r="D2481" t="s">
        <v>88</v>
      </c>
      <c r="E2481">
        <v>386</v>
      </c>
      <c r="F2481" t="s">
        <v>5086</v>
      </c>
      <c r="G2481">
        <v>1720</v>
      </c>
      <c r="H2481">
        <v>2</v>
      </c>
      <c r="I2481" t="s">
        <v>98</v>
      </c>
      <c r="J2481">
        <v>0</v>
      </c>
      <c r="K2481">
        <v>1</v>
      </c>
      <c r="L2481">
        <v>5</v>
      </c>
      <c r="M2481">
        <v>228</v>
      </c>
      <c r="N2481">
        <v>520</v>
      </c>
      <c r="O2481">
        <v>10</v>
      </c>
      <c r="P2481">
        <v>524</v>
      </c>
      <c r="Q2481">
        <v>59</v>
      </c>
      <c r="R2481">
        <v>46</v>
      </c>
      <c r="S2481">
        <v>182</v>
      </c>
      <c r="T2481">
        <v>4</v>
      </c>
      <c r="U2481">
        <v>15</v>
      </c>
      <c r="V2481">
        <v>19</v>
      </c>
      <c r="W2481">
        <v>3</v>
      </c>
      <c r="X2481">
        <v>2</v>
      </c>
      <c r="Y2481">
        <v>145</v>
      </c>
      <c r="Z2481">
        <v>7</v>
      </c>
      <c r="AA2481">
        <v>4</v>
      </c>
      <c r="AB2481">
        <v>6</v>
      </c>
      <c r="AC2481">
        <v>7</v>
      </c>
      <c r="AD2481">
        <v>1</v>
      </c>
      <c r="AE2481">
        <v>0</v>
      </c>
      <c r="AF2481">
        <v>3</v>
      </c>
      <c r="AK2481">
        <v>7</v>
      </c>
      <c r="AL2481">
        <v>3</v>
      </c>
      <c r="AM2481">
        <v>0</v>
      </c>
      <c r="AN2481">
        <v>1</v>
      </c>
      <c r="BC2481">
        <v>0</v>
      </c>
      <c r="BD2481">
        <v>10</v>
      </c>
      <c r="BE2481">
        <v>524</v>
      </c>
      <c r="BF2481">
        <v>524</v>
      </c>
      <c r="BG2481">
        <v>726</v>
      </c>
      <c r="BJ2481">
        <v>1</v>
      </c>
      <c r="BL2481" t="s">
        <v>5159</v>
      </c>
      <c r="BM2481" s="4">
        <v>43282.95888888889</v>
      </c>
      <c r="BN2481" s="4">
        <v>43282.966192129628</v>
      </c>
      <c r="BO2481" s="4">
        <v>43282.966192129628</v>
      </c>
      <c r="BP2481" t="s">
        <v>339</v>
      </c>
      <c r="BQ2481" t="s">
        <v>340</v>
      </c>
      <c r="BR2481" t="s">
        <v>94</v>
      </c>
    </row>
    <row r="2482" spans="1:70" x14ac:dyDescent="0.3">
      <c r="A2482" t="str">
        <f>"201720C0300"</f>
        <v>201720C0300</v>
      </c>
      <c r="B2482" t="s">
        <v>5160</v>
      </c>
      <c r="C2482">
        <v>20</v>
      </c>
      <c r="D2482" t="s">
        <v>88</v>
      </c>
      <c r="E2482">
        <v>386</v>
      </c>
      <c r="F2482" t="s">
        <v>5086</v>
      </c>
      <c r="G2482">
        <v>1720</v>
      </c>
      <c r="H2482">
        <v>3</v>
      </c>
      <c r="I2482" t="s">
        <v>98</v>
      </c>
      <c r="J2482">
        <v>0</v>
      </c>
      <c r="K2482">
        <v>1</v>
      </c>
      <c r="L2482">
        <v>5</v>
      </c>
      <c r="M2482">
        <v>212</v>
      </c>
      <c r="N2482" t="s">
        <v>105</v>
      </c>
      <c r="O2482" t="s">
        <v>105</v>
      </c>
      <c r="P2482" t="s">
        <v>105</v>
      </c>
      <c r="Q2482">
        <v>51</v>
      </c>
      <c r="R2482">
        <v>71</v>
      </c>
      <c r="S2482">
        <v>190</v>
      </c>
      <c r="T2482">
        <v>13</v>
      </c>
      <c r="U2482">
        <v>10</v>
      </c>
      <c r="V2482">
        <v>22</v>
      </c>
      <c r="W2482">
        <v>1</v>
      </c>
      <c r="X2482">
        <v>2</v>
      </c>
      <c r="Y2482">
        <v>127</v>
      </c>
      <c r="Z2482">
        <v>5</v>
      </c>
      <c r="AA2482">
        <v>6</v>
      </c>
      <c r="AB2482">
        <v>5</v>
      </c>
      <c r="AC2482">
        <v>5</v>
      </c>
      <c r="AD2482">
        <v>1</v>
      </c>
      <c r="AE2482">
        <v>0</v>
      </c>
      <c r="AF2482">
        <v>2</v>
      </c>
      <c r="AK2482">
        <v>2</v>
      </c>
      <c r="AL2482">
        <v>1</v>
      </c>
      <c r="AM2482">
        <v>0</v>
      </c>
      <c r="AN2482">
        <v>0</v>
      </c>
      <c r="BC2482">
        <v>1</v>
      </c>
      <c r="BD2482">
        <v>15</v>
      </c>
      <c r="BE2482">
        <v>530</v>
      </c>
      <c r="BF2482">
        <v>530</v>
      </c>
      <c r="BG2482">
        <v>726</v>
      </c>
      <c r="BJ2482">
        <v>1</v>
      </c>
      <c r="BL2482" t="s">
        <v>5161</v>
      </c>
      <c r="BM2482" s="4">
        <v>43283.077291666668</v>
      </c>
      <c r="BN2482" s="4">
        <v>43283.080474537041</v>
      </c>
      <c r="BO2482" s="4">
        <v>43283.080474537041</v>
      </c>
      <c r="BP2482" t="s">
        <v>339</v>
      </c>
      <c r="BQ2482" t="s">
        <v>340</v>
      </c>
      <c r="BR2482" t="s">
        <v>94</v>
      </c>
    </row>
    <row r="2483" spans="1:70" x14ac:dyDescent="0.3">
      <c r="A2483" t="str">
        <f>"201720C0400"</f>
        <v>201720C0400</v>
      </c>
      <c r="B2483" t="s">
        <v>5162</v>
      </c>
      <c r="C2483">
        <v>20</v>
      </c>
      <c r="D2483" t="s">
        <v>88</v>
      </c>
      <c r="E2483">
        <v>386</v>
      </c>
      <c r="F2483" t="s">
        <v>5086</v>
      </c>
      <c r="G2483">
        <v>1720</v>
      </c>
      <c r="H2483">
        <v>4</v>
      </c>
      <c r="I2483" t="s">
        <v>98</v>
      </c>
      <c r="J2483">
        <v>0</v>
      </c>
      <c r="K2483">
        <v>1</v>
      </c>
      <c r="L2483">
        <v>5</v>
      </c>
      <c r="M2483">
        <v>217</v>
      </c>
      <c r="N2483">
        <v>531</v>
      </c>
      <c r="O2483">
        <v>9</v>
      </c>
      <c r="P2483">
        <v>531</v>
      </c>
      <c r="Q2483">
        <v>62</v>
      </c>
      <c r="R2483">
        <v>68</v>
      </c>
      <c r="S2483">
        <v>184</v>
      </c>
      <c r="T2483">
        <v>12</v>
      </c>
      <c r="U2483">
        <v>9</v>
      </c>
      <c r="V2483">
        <v>11</v>
      </c>
      <c r="W2483">
        <v>2</v>
      </c>
      <c r="X2483">
        <v>1</v>
      </c>
      <c r="Y2483">
        <v>147</v>
      </c>
      <c r="Z2483">
        <v>5</v>
      </c>
      <c r="AA2483">
        <v>6</v>
      </c>
      <c r="AB2483">
        <v>6</v>
      </c>
      <c r="AC2483">
        <v>3</v>
      </c>
      <c r="AD2483">
        <v>2</v>
      </c>
      <c r="AE2483">
        <v>0</v>
      </c>
      <c r="AF2483">
        <v>3</v>
      </c>
      <c r="AK2483">
        <v>1</v>
      </c>
      <c r="AL2483">
        <v>0</v>
      </c>
      <c r="AM2483">
        <v>0</v>
      </c>
      <c r="AN2483">
        <v>1</v>
      </c>
      <c r="BC2483">
        <v>0</v>
      </c>
      <c r="BD2483">
        <v>8</v>
      </c>
      <c r="BE2483">
        <v>531</v>
      </c>
      <c r="BF2483">
        <v>531</v>
      </c>
      <c r="BG2483">
        <v>725</v>
      </c>
      <c r="BJ2483">
        <v>1</v>
      </c>
      <c r="BL2483" t="s">
        <v>5163</v>
      </c>
      <c r="BM2483" s="4">
        <v>43283.027627314812</v>
      </c>
      <c r="BN2483" s="4">
        <v>43283.031412037039</v>
      </c>
      <c r="BO2483" s="4">
        <v>43283.031412037039</v>
      </c>
      <c r="BP2483" t="s">
        <v>339</v>
      </c>
      <c r="BQ2483" t="s">
        <v>340</v>
      </c>
      <c r="BR2483" t="s">
        <v>94</v>
      </c>
    </row>
    <row r="2484" spans="1:70" x14ac:dyDescent="0.3">
      <c r="A2484" t="str">
        <f>"201720E0100"</f>
        <v>201720E0100</v>
      </c>
      <c r="B2484" s="2" t="s">
        <v>5164</v>
      </c>
      <c r="C2484">
        <v>20</v>
      </c>
      <c r="D2484" t="s">
        <v>88</v>
      </c>
      <c r="E2484">
        <v>386</v>
      </c>
      <c r="F2484" t="s">
        <v>5086</v>
      </c>
      <c r="G2484">
        <v>1720</v>
      </c>
      <c r="H2484">
        <v>1</v>
      </c>
      <c r="I2484" t="s">
        <v>156</v>
      </c>
      <c r="J2484">
        <v>0</v>
      </c>
      <c r="K2484">
        <v>1</v>
      </c>
      <c r="L2484">
        <v>5</v>
      </c>
      <c r="M2484">
        <v>246</v>
      </c>
      <c r="N2484">
        <v>397</v>
      </c>
      <c r="O2484">
        <v>7</v>
      </c>
      <c r="P2484">
        <v>397</v>
      </c>
      <c r="Q2484">
        <v>53</v>
      </c>
      <c r="R2484">
        <v>36</v>
      </c>
      <c r="S2484">
        <v>72</v>
      </c>
      <c r="T2484">
        <v>7</v>
      </c>
      <c r="U2484">
        <v>6</v>
      </c>
      <c r="V2484">
        <v>13</v>
      </c>
      <c r="W2484">
        <v>2</v>
      </c>
      <c r="X2484">
        <v>6</v>
      </c>
      <c r="Y2484">
        <v>171</v>
      </c>
      <c r="Z2484">
        <v>4</v>
      </c>
      <c r="AA2484">
        <v>5</v>
      </c>
      <c r="AB2484">
        <v>5</v>
      </c>
      <c r="AC2484">
        <v>5</v>
      </c>
      <c r="AD2484">
        <v>0</v>
      </c>
      <c r="AE2484">
        <v>0</v>
      </c>
      <c r="AF2484">
        <v>0</v>
      </c>
      <c r="AK2484">
        <v>6</v>
      </c>
      <c r="AL2484">
        <v>2</v>
      </c>
      <c r="AM2484">
        <v>0</v>
      </c>
      <c r="AN2484">
        <v>1</v>
      </c>
      <c r="BC2484">
        <v>0</v>
      </c>
      <c r="BD2484">
        <v>6</v>
      </c>
      <c r="BE2484">
        <v>400</v>
      </c>
      <c r="BF2484">
        <v>400</v>
      </c>
      <c r="BG2484">
        <v>621</v>
      </c>
      <c r="BJ2484">
        <v>1</v>
      </c>
      <c r="BL2484" t="s">
        <v>5165</v>
      </c>
      <c r="BM2484" s="4">
        <v>43283.18472222222</v>
      </c>
      <c r="BN2484" s="4">
        <v>43283.206608796296</v>
      </c>
      <c r="BO2484" s="4">
        <v>43283.206608796296</v>
      </c>
      <c r="BP2484" t="s">
        <v>92</v>
      </c>
      <c r="BQ2484" t="s">
        <v>93</v>
      </c>
      <c r="BR2484" t="s">
        <v>94</v>
      </c>
    </row>
    <row r="2485" spans="1:70" x14ac:dyDescent="0.3">
      <c r="A2485" t="str">
        <f>"201720E0101"</f>
        <v>201720E0101</v>
      </c>
      <c r="B2485" s="2" t="s">
        <v>5166</v>
      </c>
      <c r="C2485">
        <v>20</v>
      </c>
      <c r="D2485" t="s">
        <v>88</v>
      </c>
      <c r="E2485">
        <v>386</v>
      </c>
      <c r="F2485" t="s">
        <v>5086</v>
      </c>
      <c r="G2485">
        <v>1720</v>
      </c>
      <c r="H2485">
        <v>1</v>
      </c>
      <c r="I2485" t="s">
        <v>156</v>
      </c>
      <c r="J2485">
        <v>1</v>
      </c>
      <c r="K2485">
        <v>1</v>
      </c>
      <c r="L2485">
        <v>5</v>
      </c>
      <c r="M2485">
        <v>245</v>
      </c>
      <c r="N2485">
        <v>391</v>
      </c>
      <c r="O2485">
        <v>4</v>
      </c>
      <c r="P2485">
        <v>398</v>
      </c>
      <c r="Q2485">
        <v>48</v>
      </c>
      <c r="R2485">
        <v>42</v>
      </c>
      <c r="S2485">
        <v>77</v>
      </c>
      <c r="T2485">
        <v>5</v>
      </c>
      <c r="U2485">
        <v>4</v>
      </c>
      <c r="V2485">
        <v>5</v>
      </c>
      <c r="W2485">
        <v>0</v>
      </c>
      <c r="X2485">
        <v>2</v>
      </c>
      <c r="Y2485">
        <v>190</v>
      </c>
      <c r="Z2485">
        <v>1</v>
      </c>
      <c r="AA2485">
        <v>0</v>
      </c>
      <c r="AB2485">
        <v>7</v>
      </c>
      <c r="AC2485">
        <v>0</v>
      </c>
      <c r="AD2485">
        <v>3</v>
      </c>
      <c r="AE2485">
        <v>0</v>
      </c>
      <c r="AF2485">
        <v>0</v>
      </c>
      <c r="AK2485">
        <v>3</v>
      </c>
      <c r="AL2485">
        <v>2</v>
      </c>
      <c r="AM2485">
        <v>1</v>
      </c>
      <c r="AN2485">
        <v>1</v>
      </c>
      <c r="BC2485">
        <v>0</v>
      </c>
      <c r="BD2485">
        <v>7</v>
      </c>
      <c r="BE2485">
        <v>398</v>
      </c>
      <c r="BF2485">
        <v>398</v>
      </c>
      <c r="BG2485">
        <v>620</v>
      </c>
      <c r="BJ2485">
        <v>1</v>
      </c>
      <c r="BL2485" t="s">
        <v>5167</v>
      </c>
      <c r="BM2485" s="4">
        <v>43283.192361111112</v>
      </c>
      <c r="BN2485" s="4">
        <v>43283.213495370372</v>
      </c>
      <c r="BO2485" s="4">
        <v>43283.213495370372</v>
      </c>
      <c r="BP2485" t="s">
        <v>92</v>
      </c>
      <c r="BQ2485" t="s">
        <v>93</v>
      </c>
      <c r="BR2485" t="s">
        <v>94</v>
      </c>
    </row>
    <row r="2486" spans="1:70" x14ac:dyDescent="0.3">
      <c r="A2486" t="str">
        <f>"201720E0102"</f>
        <v>201720E0102</v>
      </c>
      <c r="B2486" s="2" t="s">
        <v>5168</v>
      </c>
      <c r="C2486">
        <v>20</v>
      </c>
      <c r="D2486" t="s">
        <v>88</v>
      </c>
      <c r="E2486">
        <v>386</v>
      </c>
      <c r="F2486" t="s">
        <v>5086</v>
      </c>
      <c r="G2486">
        <v>1720</v>
      </c>
      <c r="H2486">
        <v>1</v>
      </c>
      <c r="I2486" t="s">
        <v>156</v>
      </c>
      <c r="J2486">
        <v>2</v>
      </c>
      <c r="K2486">
        <v>1</v>
      </c>
      <c r="L2486">
        <v>5</v>
      </c>
      <c r="M2486">
        <v>242</v>
      </c>
      <c r="N2486">
        <v>399</v>
      </c>
      <c r="O2486">
        <v>5</v>
      </c>
      <c r="P2486">
        <v>398</v>
      </c>
      <c r="Q2486">
        <v>37</v>
      </c>
      <c r="R2486">
        <v>36</v>
      </c>
      <c r="S2486">
        <v>81</v>
      </c>
      <c r="T2486">
        <v>11</v>
      </c>
      <c r="U2486">
        <v>12</v>
      </c>
      <c r="V2486">
        <v>11</v>
      </c>
      <c r="W2486">
        <v>3</v>
      </c>
      <c r="X2486">
        <v>3</v>
      </c>
      <c r="Y2486">
        <v>178</v>
      </c>
      <c r="Z2486">
        <v>3</v>
      </c>
      <c r="AA2486">
        <v>2</v>
      </c>
      <c r="AB2486">
        <v>9</v>
      </c>
      <c r="AC2486">
        <v>0</v>
      </c>
      <c r="AD2486">
        <v>1</v>
      </c>
      <c r="AE2486">
        <v>0</v>
      </c>
      <c r="AF2486">
        <v>0</v>
      </c>
      <c r="AK2486">
        <v>1</v>
      </c>
      <c r="AL2486">
        <v>1</v>
      </c>
      <c r="AM2486">
        <v>0</v>
      </c>
      <c r="AN2486">
        <v>1</v>
      </c>
      <c r="BC2486" t="s">
        <v>105</v>
      </c>
      <c r="BD2486">
        <v>8</v>
      </c>
      <c r="BE2486">
        <v>398</v>
      </c>
      <c r="BF2486">
        <v>398</v>
      </c>
      <c r="BG2486">
        <v>620</v>
      </c>
      <c r="BI2486" t="s">
        <v>106</v>
      </c>
      <c r="BJ2486">
        <v>1</v>
      </c>
      <c r="BL2486" t="s">
        <v>5169</v>
      </c>
      <c r="BM2486" s="4">
        <v>43283.194444444445</v>
      </c>
      <c r="BN2486" s="4">
        <v>43283.212731481479</v>
      </c>
      <c r="BO2486" s="4">
        <v>43283.212731481479</v>
      </c>
      <c r="BP2486" t="s">
        <v>92</v>
      </c>
      <c r="BQ2486" t="s">
        <v>93</v>
      </c>
      <c r="BR2486" t="s">
        <v>94</v>
      </c>
    </row>
    <row r="2487" spans="1:70" x14ac:dyDescent="0.3">
      <c r="A2487" t="str">
        <f>"201720E0103"</f>
        <v>201720E0103</v>
      </c>
      <c r="B2487" s="2" t="s">
        <v>5170</v>
      </c>
      <c r="C2487">
        <v>20</v>
      </c>
      <c r="D2487" t="s">
        <v>88</v>
      </c>
      <c r="E2487">
        <v>386</v>
      </c>
      <c r="F2487" t="s">
        <v>5086</v>
      </c>
      <c r="G2487">
        <v>1720</v>
      </c>
      <c r="H2487">
        <v>1</v>
      </c>
      <c r="I2487" t="s">
        <v>156</v>
      </c>
      <c r="J2487">
        <v>3</v>
      </c>
      <c r="K2487">
        <v>1</v>
      </c>
      <c r="L2487">
        <v>5</v>
      </c>
      <c r="M2487">
        <v>244</v>
      </c>
      <c r="N2487">
        <v>399</v>
      </c>
      <c r="O2487">
        <v>7</v>
      </c>
      <c r="P2487">
        <v>399</v>
      </c>
      <c r="Q2487">
        <v>49</v>
      </c>
      <c r="R2487">
        <v>39</v>
      </c>
      <c r="S2487">
        <v>80</v>
      </c>
      <c r="T2487">
        <v>7</v>
      </c>
      <c r="U2487">
        <v>6</v>
      </c>
      <c r="V2487">
        <v>10</v>
      </c>
      <c r="W2487">
        <v>3</v>
      </c>
      <c r="X2487">
        <v>3</v>
      </c>
      <c r="Y2487">
        <v>173</v>
      </c>
      <c r="Z2487">
        <v>5</v>
      </c>
      <c r="AA2487">
        <v>4</v>
      </c>
      <c r="AB2487">
        <v>5</v>
      </c>
      <c r="AC2487">
        <v>3</v>
      </c>
      <c r="AD2487">
        <v>0</v>
      </c>
      <c r="AE2487">
        <v>0</v>
      </c>
      <c r="AF2487">
        <v>0</v>
      </c>
      <c r="AK2487">
        <v>4</v>
      </c>
      <c r="AL2487">
        <v>0</v>
      </c>
      <c r="AM2487">
        <v>0</v>
      </c>
      <c r="AN2487">
        <v>0</v>
      </c>
      <c r="BC2487">
        <v>0</v>
      </c>
      <c r="BD2487">
        <v>8</v>
      </c>
      <c r="BE2487">
        <v>399</v>
      </c>
      <c r="BF2487">
        <v>399</v>
      </c>
      <c r="BG2487">
        <v>620</v>
      </c>
      <c r="BJ2487">
        <v>1</v>
      </c>
      <c r="BL2487" t="s">
        <v>5171</v>
      </c>
      <c r="BM2487" s="4">
        <v>43283.191666666666</v>
      </c>
      <c r="BN2487" s="4">
        <v>43283.211145833331</v>
      </c>
      <c r="BO2487" s="4">
        <v>43283.211145833331</v>
      </c>
      <c r="BP2487" t="s">
        <v>92</v>
      </c>
      <c r="BQ2487" t="s">
        <v>93</v>
      </c>
      <c r="BR2487" t="s">
        <v>94</v>
      </c>
    </row>
    <row r="2488" spans="1:70" x14ac:dyDescent="0.3">
      <c r="A2488" t="str">
        <f>"201720E0104"</f>
        <v>201720E0104</v>
      </c>
      <c r="B2488" s="2" t="s">
        <v>5172</v>
      </c>
      <c r="C2488">
        <v>20</v>
      </c>
      <c r="D2488" t="s">
        <v>88</v>
      </c>
      <c r="E2488">
        <v>386</v>
      </c>
      <c r="F2488" t="s">
        <v>5086</v>
      </c>
      <c r="G2488">
        <v>1720</v>
      </c>
      <c r="H2488">
        <v>1</v>
      </c>
      <c r="I2488" t="s">
        <v>156</v>
      </c>
      <c r="J2488">
        <v>4</v>
      </c>
      <c r="K2488">
        <v>1</v>
      </c>
      <c r="L2488">
        <v>5</v>
      </c>
      <c r="M2488">
        <v>230</v>
      </c>
      <c r="N2488">
        <v>413</v>
      </c>
      <c r="O2488">
        <v>6</v>
      </c>
      <c r="P2488">
        <v>411</v>
      </c>
      <c r="Q2488">
        <v>36</v>
      </c>
      <c r="R2488">
        <v>42</v>
      </c>
      <c r="S2488">
        <v>86</v>
      </c>
      <c r="T2488">
        <v>4</v>
      </c>
      <c r="U2488">
        <v>8</v>
      </c>
      <c r="V2488">
        <v>13</v>
      </c>
      <c r="W2488">
        <v>4</v>
      </c>
      <c r="X2488">
        <v>2</v>
      </c>
      <c r="Y2488">
        <v>185</v>
      </c>
      <c r="Z2488">
        <v>7</v>
      </c>
      <c r="AA2488">
        <v>5</v>
      </c>
      <c r="AB2488">
        <v>4</v>
      </c>
      <c r="AC2488">
        <v>0</v>
      </c>
      <c r="AD2488">
        <v>0</v>
      </c>
      <c r="AE2488">
        <v>1</v>
      </c>
      <c r="AF2488">
        <v>1</v>
      </c>
      <c r="AK2488">
        <v>0</v>
      </c>
      <c r="AL2488">
        <v>0</v>
      </c>
      <c r="AM2488">
        <v>0</v>
      </c>
      <c r="AN2488">
        <v>1</v>
      </c>
      <c r="BC2488">
        <v>0</v>
      </c>
      <c r="BD2488">
        <v>11</v>
      </c>
      <c r="BE2488">
        <v>411</v>
      </c>
      <c r="BF2488">
        <v>410</v>
      </c>
      <c r="BG2488">
        <v>620</v>
      </c>
      <c r="BJ2488">
        <v>1</v>
      </c>
      <c r="BL2488" t="s">
        <v>5173</v>
      </c>
      <c r="BM2488" s="4">
        <v>43283.195138888892</v>
      </c>
      <c r="BN2488" s="4">
        <v>43283.213391203702</v>
      </c>
      <c r="BO2488" s="4">
        <v>43283.213391203702</v>
      </c>
      <c r="BP2488" t="s">
        <v>92</v>
      </c>
      <c r="BQ2488" t="s">
        <v>93</v>
      </c>
      <c r="BR2488" t="s">
        <v>94</v>
      </c>
    </row>
    <row r="2489" spans="1:70" x14ac:dyDescent="0.3">
      <c r="A2489" t="str">
        <f>"201721B0100"</f>
        <v>201721B0100</v>
      </c>
      <c r="B2489" t="s">
        <v>5174</v>
      </c>
      <c r="C2489">
        <v>20</v>
      </c>
      <c r="D2489" t="s">
        <v>88</v>
      </c>
      <c r="E2489">
        <v>386</v>
      </c>
      <c r="F2489" t="s">
        <v>5086</v>
      </c>
      <c r="G2489">
        <v>1721</v>
      </c>
      <c r="H2489">
        <v>1</v>
      </c>
      <c r="I2489" t="s">
        <v>90</v>
      </c>
      <c r="J2489">
        <v>0</v>
      </c>
      <c r="K2489">
        <v>1</v>
      </c>
      <c r="L2489">
        <v>5</v>
      </c>
      <c r="M2489">
        <v>184</v>
      </c>
      <c r="N2489">
        <v>454</v>
      </c>
      <c r="O2489">
        <v>6</v>
      </c>
      <c r="P2489">
        <v>454</v>
      </c>
      <c r="Q2489">
        <v>34</v>
      </c>
      <c r="R2489">
        <v>47</v>
      </c>
      <c r="S2489">
        <v>197</v>
      </c>
      <c r="T2489">
        <v>2</v>
      </c>
      <c r="U2489">
        <v>2</v>
      </c>
      <c r="V2489">
        <v>10</v>
      </c>
      <c r="W2489">
        <v>5</v>
      </c>
      <c r="X2489">
        <v>0</v>
      </c>
      <c r="Y2489">
        <v>130</v>
      </c>
      <c r="Z2489">
        <v>1</v>
      </c>
      <c r="AA2489">
        <v>1</v>
      </c>
      <c r="AB2489">
        <v>4</v>
      </c>
      <c r="AC2489">
        <v>4</v>
      </c>
      <c r="AD2489">
        <v>1</v>
      </c>
      <c r="AE2489">
        <v>1</v>
      </c>
      <c r="AF2489">
        <v>2</v>
      </c>
      <c r="AK2489">
        <v>1</v>
      </c>
      <c r="AL2489">
        <v>1</v>
      </c>
      <c r="AM2489">
        <v>0</v>
      </c>
      <c r="AN2489">
        <v>0</v>
      </c>
      <c r="BC2489">
        <v>0</v>
      </c>
      <c r="BD2489">
        <v>11</v>
      </c>
      <c r="BE2489">
        <v>454</v>
      </c>
      <c r="BF2489">
        <v>454</v>
      </c>
      <c r="BG2489">
        <v>619</v>
      </c>
      <c r="BJ2489">
        <v>1</v>
      </c>
      <c r="BL2489" t="s">
        <v>5175</v>
      </c>
      <c r="BM2489" s="4">
        <v>43283.228472222225</v>
      </c>
      <c r="BN2489" s="4">
        <v>43283.256712962961</v>
      </c>
      <c r="BO2489" s="4">
        <v>43283.256712962961</v>
      </c>
      <c r="BP2489" t="s">
        <v>92</v>
      </c>
      <c r="BQ2489" t="s">
        <v>93</v>
      </c>
      <c r="BR2489" t="s">
        <v>94</v>
      </c>
    </row>
    <row r="2490" spans="1:70" x14ac:dyDescent="0.3">
      <c r="A2490" t="str">
        <f>"201721C0100"</f>
        <v>201721C0100</v>
      </c>
      <c r="B2490" t="s">
        <v>5176</v>
      </c>
      <c r="C2490">
        <v>20</v>
      </c>
      <c r="D2490" t="s">
        <v>88</v>
      </c>
      <c r="E2490">
        <v>386</v>
      </c>
      <c r="F2490" t="s">
        <v>5086</v>
      </c>
      <c r="G2490">
        <v>1721</v>
      </c>
      <c r="H2490">
        <v>1</v>
      </c>
      <c r="I2490" t="s">
        <v>98</v>
      </c>
      <c r="J2490">
        <v>0</v>
      </c>
      <c r="K2490">
        <v>1</v>
      </c>
      <c r="L2490">
        <v>5</v>
      </c>
      <c r="M2490">
        <v>195</v>
      </c>
      <c r="N2490">
        <v>445</v>
      </c>
      <c r="O2490">
        <v>6</v>
      </c>
      <c r="P2490">
        <v>447</v>
      </c>
      <c r="Q2490">
        <v>24</v>
      </c>
      <c r="R2490">
        <v>47</v>
      </c>
      <c r="S2490">
        <v>205</v>
      </c>
      <c r="T2490">
        <v>5</v>
      </c>
      <c r="U2490">
        <v>10</v>
      </c>
      <c r="V2490">
        <v>8</v>
      </c>
      <c r="W2490">
        <v>4</v>
      </c>
      <c r="X2490">
        <v>0</v>
      </c>
      <c r="Y2490">
        <v>114</v>
      </c>
      <c r="Z2490">
        <v>4</v>
      </c>
      <c r="AA2490">
        <v>5</v>
      </c>
      <c r="AB2490">
        <v>1</v>
      </c>
      <c r="AC2490">
        <v>5</v>
      </c>
      <c r="AD2490">
        <v>0</v>
      </c>
      <c r="AE2490">
        <v>0</v>
      </c>
      <c r="AF2490">
        <v>0</v>
      </c>
      <c r="AK2490">
        <v>5</v>
      </c>
      <c r="AL2490">
        <v>0</v>
      </c>
      <c r="AM2490">
        <v>0</v>
      </c>
      <c r="AN2490">
        <v>0</v>
      </c>
      <c r="BC2490">
        <v>0</v>
      </c>
      <c r="BD2490">
        <v>10</v>
      </c>
      <c r="BE2490">
        <v>447</v>
      </c>
      <c r="BF2490">
        <v>447</v>
      </c>
      <c r="BG2490">
        <v>619</v>
      </c>
      <c r="BJ2490">
        <v>1</v>
      </c>
      <c r="BL2490" t="s">
        <v>5177</v>
      </c>
      <c r="BM2490" s="4">
        <v>43283.228472222225</v>
      </c>
      <c r="BN2490" s="4">
        <v>43283.252280092594</v>
      </c>
      <c r="BO2490" s="4">
        <v>43283.252280092594</v>
      </c>
      <c r="BP2490" t="s">
        <v>92</v>
      </c>
      <c r="BQ2490" t="s">
        <v>93</v>
      </c>
      <c r="BR2490" t="s">
        <v>94</v>
      </c>
    </row>
    <row r="2491" spans="1:70" x14ac:dyDescent="0.3">
      <c r="A2491" t="str">
        <f>"201721C0200"</f>
        <v>201721C0200</v>
      </c>
      <c r="B2491" t="s">
        <v>5178</v>
      </c>
      <c r="C2491">
        <v>20</v>
      </c>
      <c r="D2491" t="s">
        <v>88</v>
      </c>
      <c r="E2491">
        <v>386</v>
      </c>
      <c r="F2491" t="s">
        <v>5086</v>
      </c>
      <c r="G2491">
        <v>1721</v>
      </c>
      <c r="H2491">
        <v>2</v>
      </c>
      <c r="I2491" t="s">
        <v>98</v>
      </c>
      <c r="J2491">
        <v>0</v>
      </c>
      <c r="K2491">
        <v>1</v>
      </c>
      <c r="L2491">
        <v>5</v>
      </c>
      <c r="M2491">
        <v>187</v>
      </c>
      <c r="N2491">
        <v>454</v>
      </c>
      <c r="O2491">
        <v>6</v>
      </c>
      <c r="P2491">
        <v>453</v>
      </c>
      <c r="Q2491">
        <v>25</v>
      </c>
      <c r="R2491">
        <v>51</v>
      </c>
      <c r="S2491">
        <v>203</v>
      </c>
      <c r="T2491">
        <v>7</v>
      </c>
      <c r="U2491">
        <v>5</v>
      </c>
      <c r="V2491">
        <v>7</v>
      </c>
      <c r="W2491">
        <v>6</v>
      </c>
      <c r="X2491">
        <v>1</v>
      </c>
      <c r="Y2491">
        <v>122</v>
      </c>
      <c r="Z2491">
        <v>4</v>
      </c>
      <c r="AA2491">
        <v>4</v>
      </c>
      <c r="AB2491">
        <v>2</v>
      </c>
      <c r="AC2491">
        <v>3</v>
      </c>
      <c r="AD2491">
        <v>1</v>
      </c>
      <c r="AE2491" t="s">
        <v>105</v>
      </c>
      <c r="AF2491" t="s">
        <v>105</v>
      </c>
      <c r="AK2491" t="s">
        <v>105</v>
      </c>
      <c r="AL2491">
        <v>1</v>
      </c>
      <c r="AM2491" t="s">
        <v>105</v>
      </c>
      <c r="AN2491" t="s">
        <v>105</v>
      </c>
      <c r="BC2491" t="s">
        <v>105</v>
      </c>
      <c r="BD2491">
        <v>11</v>
      </c>
      <c r="BE2491" t="s">
        <v>105</v>
      </c>
      <c r="BF2491">
        <v>453</v>
      </c>
      <c r="BG2491">
        <v>619</v>
      </c>
      <c r="BI2491" t="s">
        <v>106</v>
      </c>
      <c r="BJ2491">
        <v>1</v>
      </c>
      <c r="BL2491" t="s">
        <v>5179</v>
      </c>
      <c r="BM2491" s="4">
        <v>43283.230555555558</v>
      </c>
      <c r="BN2491" s="4">
        <v>43283.267025462963</v>
      </c>
      <c r="BO2491" s="4">
        <v>43283.267025462963</v>
      </c>
      <c r="BP2491" t="s">
        <v>92</v>
      </c>
      <c r="BQ2491" t="s">
        <v>93</v>
      </c>
      <c r="BR2491" t="s">
        <v>94</v>
      </c>
    </row>
    <row r="2492" spans="1:70" x14ac:dyDescent="0.3">
      <c r="A2492" t="str">
        <f>"201721C0300"</f>
        <v>201721C0300</v>
      </c>
      <c r="B2492" t="s">
        <v>5180</v>
      </c>
      <c r="C2492">
        <v>20</v>
      </c>
      <c r="D2492" t="s">
        <v>88</v>
      </c>
      <c r="E2492">
        <v>386</v>
      </c>
      <c r="F2492" t="s">
        <v>5086</v>
      </c>
      <c r="G2492">
        <v>1721</v>
      </c>
      <c r="H2492">
        <v>3</v>
      </c>
      <c r="I2492" t="s">
        <v>98</v>
      </c>
      <c r="J2492">
        <v>0</v>
      </c>
      <c r="K2492">
        <v>1</v>
      </c>
      <c r="L2492">
        <v>5</v>
      </c>
      <c r="M2492">
        <v>180</v>
      </c>
      <c r="N2492">
        <v>461</v>
      </c>
      <c r="O2492">
        <v>6</v>
      </c>
      <c r="P2492">
        <v>461</v>
      </c>
      <c r="Q2492">
        <v>32</v>
      </c>
      <c r="R2492">
        <v>35</v>
      </c>
      <c r="S2492">
        <v>224</v>
      </c>
      <c r="T2492">
        <v>9</v>
      </c>
      <c r="U2492">
        <v>1</v>
      </c>
      <c r="V2492">
        <v>9</v>
      </c>
      <c r="W2492">
        <v>5</v>
      </c>
      <c r="X2492">
        <v>0</v>
      </c>
      <c r="Y2492">
        <v>112</v>
      </c>
      <c r="Z2492">
        <v>1</v>
      </c>
      <c r="AA2492">
        <v>3</v>
      </c>
      <c r="AB2492">
        <v>2</v>
      </c>
      <c r="AC2492">
        <v>2</v>
      </c>
      <c r="AD2492">
        <v>2</v>
      </c>
      <c r="AE2492">
        <v>0</v>
      </c>
      <c r="AF2492">
        <v>0</v>
      </c>
      <c r="AK2492">
        <v>0</v>
      </c>
      <c r="AL2492">
        <v>0</v>
      </c>
      <c r="AM2492">
        <v>0</v>
      </c>
      <c r="AN2492">
        <v>1</v>
      </c>
      <c r="BC2492">
        <v>0</v>
      </c>
      <c r="BD2492">
        <v>23</v>
      </c>
      <c r="BE2492">
        <v>461</v>
      </c>
      <c r="BF2492">
        <v>461</v>
      </c>
      <c r="BG2492">
        <v>619</v>
      </c>
      <c r="BJ2492">
        <v>1</v>
      </c>
      <c r="BL2492" t="s">
        <v>5181</v>
      </c>
      <c r="BM2492" s="4">
        <v>43283.467361111114</v>
      </c>
      <c r="BN2492" s="4">
        <v>43283.476284722223</v>
      </c>
      <c r="BO2492" s="4">
        <v>43283.476284722223</v>
      </c>
      <c r="BP2492" t="s">
        <v>92</v>
      </c>
      <c r="BQ2492" t="s">
        <v>93</v>
      </c>
      <c r="BR2492" t="s">
        <v>94</v>
      </c>
    </row>
    <row r="2493" spans="1:70" x14ac:dyDescent="0.3">
      <c r="A2493" t="str">
        <f>"201721C0400"</f>
        <v>201721C0400</v>
      </c>
      <c r="B2493" t="s">
        <v>5182</v>
      </c>
      <c r="C2493">
        <v>20</v>
      </c>
      <c r="D2493" t="s">
        <v>88</v>
      </c>
      <c r="E2493">
        <v>386</v>
      </c>
      <c r="F2493" t="s">
        <v>5086</v>
      </c>
      <c r="G2493">
        <v>1721</v>
      </c>
      <c r="H2493">
        <v>4</v>
      </c>
      <c r="I2493" t="s">
        <v>98</v>
      </c>
      <c r="J2493">
        <v>0</v>
      </c>
      <c r="K2493">
        <v>1</v>
      </c>
      <c r="L2493">
        <v>5</v>
      </c>
      <c r="M2493">
        <v>216</v>
      </c>
      <c r="N2493">
        <v>423</v>
      </c>
      <c r="O2493">
        <v>8</v>
      </c>
      <c r="P2493" t="s">
        <v>105</v>
      </c>
      <c r="Q2493">
        <v>26</v>
      </c>
      <c r="R2493">
        <v>30</v>
      </c>
      <c r="S2493">
        <v>170</v>
      </c>
      <c r="T2493">
        <v>11</v>
      </c>
      <c r="U2493">
        <v>5</v>
      </c>
      <c r="V2493">
        <v>17</v>
      </c>
      <c r="W2493">
        <v>2</v>
      </c>
      <c r="X2493">
        <v>0</v>
      </c>
      <c r="Y2493">
        <v>133</v>
      </c>
      <c r="Z2493">
        <v>3</v>
      </c>
      <c r="AA2493">
        <v>5</v>
      </c>
      <c r="AB2493">
        <v>2</v>
      </c>
      <c r="AC2493">
        <v>1</v>
      </c>
      <c r="AD2493">
        <v>1</v>
      </c>
      <c r="AE2493">
        <v>0</v>
      </c>
      <c r="AF2493">
        <v>0</v>
      </c>
      <c r="AK2493">
        <v>3</v>
      </c>
      <c r="AL2493">
        <v>1</v>
      </c>
      <c r="AM2493">
        <v>0</v>
      </c>
      <c r="AN2493">
        <v>0</v>
      </c>
      <c r="BC2493">
        <v>0</v>
      </c>
      <c r="BD2493">
        <v>17</v>
      </c>
      <c r="BE2493">
        <v>427</v>
      </c>
      <c r="BF2493">
        <v>427</v>
      </c>
      <c r="BG2493">
        <v>618</v>
      </c>
      <c r="BJ2493">
        <v>1</v>
      </c>
      <c r="BL2493" t="s">
        <v>5183</v>
      </c>
      <c r="BM2493" s="4">
        <v>43283.46597222222</v>
      </c>
      <c r="BN2493" s="4">
        <v>43283.473495370374</v>
      </c>
      <c r="BO2493" s="4">
        <v>43283.473495370374</v>
      </c>
      <c r="BP2493" t="s">
        <v>92</v>
      </c>
      <c r="BQ2493" t="s">
        <v>93</v>
      </c>
      <c r="BR2493" t="s">
        <v>94</v>
      </c>
    </row>
    <row r="2494" spans="1:70" x14ac:dyDescent="0.3">
      <c r="A2494" t="str">
        <f>"201722B0100"</f>
        <v>201722B0100</v>
      </c>
      <c r="B2494" t="s">
        <v>5184</v>
      </c>
      <c r="C2494">
        <v>20</v>
      </c>
      <c r="D2494" t="s">
        <v>88</v>
      </c>
      <c r="E2494">
        <v>386</v>
      </c>
      <c r="F2494" t="s">
        <v>5086</v>
      </c>
      <c r="G2494">
        <v>1722</v>
      </c>
      <c r="H2494">
        <v>1</v>
      </c>
      <c r="I2494" t="s">
        <v>90</v>
      </c>
      <c r="J2494">
        <v>0</v>
      </c>
      <c r="K2494">
        <v>1</v>
      </c>
      <c r="L2494">
        <v>5</v>
      </c>
      <c r="BG2494">
        <v>580</v>
      </c>
      <c r="BI2494" t="s">
        <v>122</v>
      </c>
      <c r="BJ2494">
        <v>0</v>
      </c>
      <c r="BL2494" t="s">
        <v>5185</v>
      </c>
      <c r="BM2494" s="4">
        <v>43283.663888888892</v>
      </c>
      <c r="BN2494" s="4">
        <v>43283.667905092596</v>
      </c>
      <c r="BO2494" s="4">
        <v>43283.667905092596</v>
      </c>
      <c r="BP2494" t="s">
        <v>92</v>
      </c>
      <c r="BQ2494" t="s">
        <v>93</v>
      </c>
      <c r="BR2494" t="s">
        <v>94</v>
      </c>
    </row>
    <row r="2495" spans="1:70" x14ac:dyDescent="0.3">
      <c r="A2495" t="str">
        <f>"201722C0100"</f>
        <v>201722C0100</v>
      </c>
      <c r="B2495" t="s">
        <v>5186</v>
      </c>
      <c r="C2495">
        <v>20</v>
      </c>
      <c r="D2495" t="s">
        <v>88</v>
      </c>
      <c r="E2495">
        <v>386</v>
      </c>
      <c r="F2495" t="s">
        <v>5086</v>
      </c>
      <c r="G2495">
        <v>1722</v>
      </c>
      <c r="H2495">
        <v>1</v>
      </c>
      <c r="I2495" t="s">
        <v>98</v>
      </c>
      <c r="J2495">
        <v>0</v>
      </c>
      <c r="K2495">
        <v>1</v>
      </c>
      <c r="L2495">
        <v>5</v>
      </c>
      <c r="BG2495">
        <v>579</v>
      </c>
      <c r="BI2495" t="s">
        <v>122</v>
      </c>
      <c r="BJ2495">
        <v>0</v>
      </c>
      <c r="BL2495" t="s">
        <v>5187</v>
      </c>
      <c r="BM2495" s="4">
        <v>43283.681944444441</v>
      </c>
      <c r="BN2495" s="4">
        <v>43283.686516203707</v>
      </c>
      <c r="BO2495" s="4">
        <v>43283.686516203707</v>
      </c>
      <c r="BP2495" t="s">
        <v>92</v>
      </c>
      <c r="BQ2495" t="s">
        <v>93</v>
      </c>
      <c r="BR2495" t="s">
        <v>94</v>
      </c>
    </row>
    <row r="2496" spans="1:70" x14ac:dyDescent="0.3">
      <c r="A2496" t="str">
        <f>"201722C0200"</f>
        <v>201722C0200</v>
      </c>
      <c r="B2496" t="s">
        <v>5188</v>
      </c>
      <c r="C2496">
        <v>20</v>
      </c>
      <c r="D2496" t="s">
        <v>88</v>
      </c>
      <c r="E2496">
        <v>386</v>
      </c>
      <c r="F2496" t="s">
        <v>5086</v>
      </c>
      <c r="G2496">
        <v>1722</v>
      </c>
      <c r="H2496">
        <v>2</v>
      </c>
      <c r="I2496" t="s">
        <v>98</v>
      </c>
      <c r="J2496">
        <v>0</v>
      </c>
      <c r="K2496">
        <v>1</v>
      </c>
      <c r="L2496">
        <v>5</v>
      </c>
      <c r="M2496">
        <v>149</v>
      </c>
      <c r="N2496">
        <v>464</v>
      </c>
      <c r="O2496">
        <v>10</v>
      </c>
      <c r="P2496">
        <v>427</v>
      </c>
      <c r="Q2496">
        <v>23</v>
      </c>
      <c r="R2496">
        <v>30</v>
      </c>
      <c r="S2496">
        <v>249</v>
      </c>
      <c r="T2496">
        <v>8</v>
      </c>
      <c r="U2496">
        <v>6</v>
      </c>
      <c r="V2496">
        <v>14</v>
      </c>
      <c r="W2496">
        <v>3</v>
      </c>
      <c r="X2496">
        <v>1</v>
      </c>
      <c r="Y2496">
        <v>78</v>
      </c>
      <c r="Z2496">
        <v>3</v>
      </c>
      <c r="AA2496">
        <v>2</v>
      </c>
      <c r="AB2496">
        <v>1</v>
      </c>
      <c r="AC2496">
        <v>8</v>
      </c>
      <c r="AD2496">
        <v>4</v>
      </c>
      <c r="AE2496">
        <v>0</v>
      </c>
      <c r="AF2496">
        <v>2</v>
      </c>
      <c r="AK2496">
        <v>2</v>
      </c>
      <c r="AL2496">
        <v>0</v>
      </c>
      <c r="AM2496">
        <v>0</v>
      </c>
      <c r="AN2496">
        <v>0</v>
      </c>
      <c r="BC2496">
        <v>0</v>
      </c>
      <c r="BD2496">
        <v>9</v>
      </c>
      <c r="BE2496">
        <v>443</v>
      </c>
      <c r="BF2496">
        <v>443</v>
      </c>
      <c r="BG2496">
        <v>579</v>
      </c>
      <c r="BJ2496">
        <v>1</v>
      </c>
      <c r="BL2496" t="s">
        <v>5189</v>
      </c>
      <c r="BM2496" s="4">
        <v>43283.144444444442</v>
      </c>
      <c r="BN2496" s="4">
        <v>43283.209918981483</v>
      </c>
      <c r="BO2496" s="4">
        <v>43283.209918981483</v>
      </c>
      <c r="BP2496" t="s">
        <v>92</v>
      </c>
      <c r="BQ2496" t="s">
        <v>93</v>
      </c>
      <c r="BR2496" t="s">
        <v>94</v>
      </c>
    </row>
    <row r="2497" spans="1:70" x14ac:dyDescent="0.3">
      <c r="A2497" t="str">
        <f>"201722C0300"</f>
        <v>201722C0300</v>
      </c>
      <c r="B2497" t="s">
        <v>5190</v>
      </c>
      <c r="C2497">
        <v>20</v>
      </c>
      <c r="D2497" t="s">
        <v>88</v>
      </c>
      <c r="E2497">
        <v>386</v>
      </c>
      <c r="F2497" t="s">
        <v>5086</v>
      </c>
      <c r="G2497">
        <v>1722</v>
      </c>
      <c r="H2497">
        <v>3</v>
      </c>
      <c r="I2497" t="s">
        <v>98</v>
      </c>
      <c r="J2497">
        <v>0</v>
      </c>
      <c r="K2497">
        <v>1</v>
      </c>
      <c r="L2497">
        <v>5</v>
      </c>
      <c r="BG2497">
        <v>579</v>
      </c>
      <c r="BI2497" t="s">
        <v>122</v>
      </c>
      <c r="BJ2497">
        <v>0</v>
      </c>
      <c r="BL2497" t="s">
        <v>5191</v>
      </c>
      <c r="BM2497" s="4">
        <v>43283.664583333331</v>
      </c>
      <c r="BN2497" s="4">
        <v>43283.669270833336</v>
      </c>
      <c r="BO2497" s="4">
        <v>43283.669270833336</v>
      </c>
      <c r="BP2497" t="s">
        <v>92</v>
      </c>
      <c r="BQ2497" t="s">
        <v>93</v>
      </c>
      <c r="BR2497" t="s">
        <v>94</v>
      </c>
    </row>
    <row r="2498" spans="1:70" x14ac:dyDescent="0.3">
      <c r="A2498" t="str">
        <f>"201722E0100"</f>
        <v>201722E0100</v>
      </c>
      <c r="B2498" s="2" t="s">
        <v>5192</v>
      </c>
      <c r="C2498">
        <v>20</v>
      </c>
      <c r="D2498" t="s">
        <v>88</v>
      </c>
      <c r="E2498">
        <v>386</v>
      </c>
      <c r="F2498" t="s">
        <v>5086</v>
      </c>
      <c r="G2498">
        <v>1722</v>
      </c>
      <c r="H2498">
        <v>1</v>
      </c>
      <c r="I2498" t="s">
        <v>156</v>
      </c>
      <c r="J2498">
        <v>0</v>
      </c>
      <c r="K2498">
        <v>1</v>
      </c>
      <c r="L2498">
        <v>5</v>
      </c>
      <c r="M2498">
        <v>224</v>
      </c>
      <c r="N2498">
        <v>492</v>
      </c>
      <c r="O2498">
        <v>11</v>
      </c>
      <c r="P2498">
        <v>499</v>
      </c>
      <c r="Q2498">
        <v>40</v>
      </c>
      <c r="R2498">
        <v>46</v>
      </c>
      <c r="S2498">
        <v>248</v>
      </c>
      <c r="T2498">
        <v>8</v>
      </c>
      <c r="U2498">
        <v>9</v>
      </c>
      <c r="V2498">
        <v>6</v>
      </c>
      <c r="W2498">
        <v>2</v>
      </c>
      <c r="X2498">
        <v>1</v>
      </c>
      <c r="Y2498">
        <v>112</v>
      </c>
      <c r="Z2498">
        <v>2</v>
      </c>
      <c r="AA2498">
        <v>0</v>
      </c>
      <c r="AB2498">
        <v>3</v>
      </c>
      <c r="AC2498">
        <v>4</v>
      </c>
      <c r="AD2498">
        <v>1</v>
      </c>
      <c r="AE2498">
        <v>0</v>
      </c>
      <c r="AF2498">
        <v>4</v>
      </c>
      <c r="AK2498">
        <v>4</v>
      </c>
      <c r="AL2498">
        <v>1</v>
      </c>
      <c r="AM2498">
        <v>0</v>
      </c>
      <c r="AN2498">
        <v>1</v>
      </c>
      <c r="BC2498">
        <v>0</v>
      </c>
      <c r="BD2498">
        <v>7</v>
      </c>
      <c r="BE2498">
        <v>499</v>
      </c>
      <c r="BF2498">
        <v>499</v>
      </c>
      <c r="BG2498">
        <v>694</v>
      </c>
      <c r="BJ2498">
        <v>1</v>
      </c>
      <c r="BL2498" t="s">
        <v>5193</v>
      </c>
      <c r="BM2498" s="4">
        <v>43283.05641203704</v>
      </c>
      <c r="BN2498" s="4">
        <v>43283.065289351849</v>
      </c>
      <c r="BO2498" s="4">
        <v>43283.065289351849</v>
      </c>
      <c r="BP2498" t="s">
        <v>339</v>
      </c>
      <c r="BQ2498" t="s">
        <v>340</v>
      </c>
      <c r="BR2498" t="s">
        <v>94</v>
      </c>
    </row>
    <row r="2499" spans="1:70" x14ac:dyDescent="0.3">
      <c r="A2499" t="str">
        <f>"201722E0101"</f>
        <v>201722E0101</v>
      </c>
      <c r="B2499" s="2" t="s">
        <v>5194</v>
      </c>
      <c r="C2499">
        <v>20</v>
      </c>
      <c r="D2499" t="s">
        <v>88</v>
      </c>
      <c r="E2499">
        <v>386</v>
      </c>
      <c r="F2499" t="s">
        <v>5086</v>
      </c>
      <c r="G2499">
        <v>1722</v>
      </c>
      <c r="H2499">
        <v>1</v>
      </c>
      <c r="I2499" t="s">
        <v>156</v>
      </c>
      <c r="J2499">
        <v>1</v>
      </c>
      <c r="K2499">
        <v>1</v>
      </c>
      <c r="L2499">
        <v>5</v>
      </c>
      <c r="M2499">
        <v>272</v>
      </c>
      <c r="N2499">
        <v>444</v>
      </c>
      <c r="O2499">
        <v>5</v>
      </c>
      <c r="P2499">
        <v>436</v>
      </c>
      <c r="Q2499">
        <v>21</v>
      </c>
      <c r="R2499">
        <v>37</v>
      </c>
      <c r="S2499">
        <v>220</v>
      </c>
      <c r="T2499">
        <v>4</v>
      </c>
      <c r="U2499">
        <v>3</v>
      </c>
      <c r="V2499">
        <v>7</v>
      </c>
      <c r="W2499">
        <v>0</v>
      </c>
      <c r="X2499">
        <v>1</v>
      </c>
      <c r="Y2499">
        <v>110</v>
      </c>
      <c r="Z2499">
        <v>7</v>
      </c>
      <c r="AA2499">
        <v>0</v>
      </c>
      <c r="AB2499">
        <v>0</v>
      </c>
      <c r="AC2499">
        <v>0</v>
      </c>
      <c r="AD2499">
        <v>3</v>
      </c>
      <c r="AE2499">
        <v>0</v>
      </c>
      <c r="AF2499">
        <v>0</v>
      </c>
      <c r="AK2499">
        <v>6</v>
      </c>
      <c r="AL2499">
        <v>0</v>
      </c>
      <c r="AM2499">
        <v>0</v>
      </c>
      <c r="AN2499">
        <v>4</v>
      </c>
      <c r="BC2499">
        <v>0</v>
      </c>
      <c r="BD2499">
        <v>13</v>
      </c>
      <c r="BE2499">
        <v>436</v>
      </c>
      <c r="BF2499">
        <v>436</v>
      </c>
      <c r="BG2499">
        <v>694</v>
      </c>
      <c r="BJ2499">
        <v>1</v>
      </c>
      <c r="BL2499" t="s">
        <v>5195</v>
      </c>
      <c r="BM2499" s="4">
        <v>43283.012152777781</v>
      </c>
      <c r="BN2499" s="4">
        <v>43283.017094907409</v>
      </c>
      <c r="BO2499" s="4">
        <v>43283.017094907409</v>
      </c>
      <c r="BP2499" t="s">
        <v>339</v>
      </c>
      <c r="BQ2499" t="s">
        <v>340</v>
      </c>
      <c r="BR2499" t="s">
        <v>94</v>
      </c>
    </row>
    <row r="2500" spans="1:70" x14ac:dyDescent="0.3">
      <c r="A2500" t="str">
        <f>"201722E0102"</f>
        <v>201722E0102</v>
      </c>
      <c r="B2500" s="2" t="s">
        <v>5196</v>
      </c>
      <c r="C2500">
        <v>20</v>
      </c>
      <c r="D2500" t="s">
        <v>88</v>
      </c>
      <c r="E2500">
        <v>386</v>
      </c>
      <c r="F2500" t="s">
        <v>5086</v>
      </c>
      <c r="G2500">
        <v>1722</v>
      </c>
      <c r="H2500">
        <v>1</v>
      </c>
      <c r="I2500" t="s">
        <v>156</v>
      </c>
      <c r="J2500">
        <v>2</v>
      </c>
      <c r="K2500">
        <v>1</v>
      </c>
      <c r="L2500">
        <v>5</v>
      </c>
      <c r="M2500">
        <v>230</v>
      </c>
      <c r="N2500">
        <v>483</v>
      </c>
      <c r="O2500">
        <v>3</v>
      </c>
      <c r="P2500" t="s">
        <v>105</v>
      </c>
      <c r="Q2500">
        <v>25</v>
      </c>
      <c r="R2500">
        <v>31</v>
      </c>
      <c r="S2500">
        <v>244</v>
      </c>
      <c r="T2500">
        <v>7</v>
      </c>
      <c r="U2500">
        <v>6</v>
      </c>
      <c r="V2500">
        <v>17</v>
      </c>
      <c r="W2500">
        <v>1</v>
      </c>
      <c r="X2500">
        <v>3</v>
      </c>
      <c r="Y2500">
        <v>106</v>
      </c>
      <c r="Z2500">
        <v>2</v>
      </c>
      <c r="AA2500">
        <v>0</v>
      </c>
      <c r="AB2500">
        <v>0</v>
      </c>
      <c r="AC2500">
        <v>6</v>
      </c>
      <c r="AD2500">
        <v>6</v>
      </c>
      <c r="AE2500">
        <v>0</v>
      </c>
      <c r="AF2500">
        <v>0</v>
      </c>
      <c r="AK2500">
        <v>1</v>
      </c>
      <c r="AL2500">
        <v>2</v>
      </c>
      <c r="AM2500">
        <v>0</v>
      </c>
      <c r="AN2500">
        <v>1</v>
      </c>
      <c r="BC2500">
        <v>0</v>
      </c>
      <c r="BD2500">
        <v>13</v>
      </c>
      <c r="BE2500" t="s">
        <v>105</v>
      </c>
      <c r="BF2500">
        <v>471</v>
      </c>
      <c r="BG2500">
        <v>694</v>
      </c>
      <c r="BJ2500">
        <v>1</v>
      </c>
      <c r="BL2500" t="s">
        <v>5197</v>
      </c>
      <c r="BM2500" s="4">
        <v>43283.005636574075</v>
      </c>
      <c r="BN2500" s="4">
        <v>43283.009363425925</v>
      </c>
      <c r="BO2500" s="4">
        <v>43283.009363425925</v>
      </c>
      <c r="BP2500" t="s">
        <v>339</v>
      </c>
      <c r="BQ2500" t="s">
        <v>340</v>
      </c>
      <c r="BR2500" t="s">
        <v>94</v>
      </c>
    </row>
    <row r="2501" spans="1:70" x14ac:dyDescent="0.3">
      <c r="A2501" t="str">
        <f>"201722E0103"</f>
        <v>201722E0103</v>
      </c>
      <c r="B2501" s="2" t="s">
        <v>5198</v>
      </c>
      <c r="C2501">
        <v>20</v>
      </c>
      <c r="D2501" t="s">
        <v>88</v>
      </c>
      <c r="E2501">
        <v>386</v>
      </c>
      <c r="F2501" t="s">
        <v>5086</v>
      </c>
      <c r="G2501">
        <v>1722</v>
      </c>
      <c r="H2501">
        <v>1</v>
      </c>
      <c r="I2501" t="s">
        <v>156</v>
      </c>
      <c r="J2501">
        <v>3</v>
      </c>
      <c r="K2501">
        <v>1</v>
      </c>
      <c r="L2501">
        <v>5</v>
      </c>
      <c r="M2501">
        <v>219</v>
      </c>
      <c r="N2501">
        <v>497</v>
      </c>
      <c r="O2501">
        <v>6</v>
      </c>
      <c r="P2501">
        <v>495</v>
      </c>
      <c r="Q2501">
        <v>36</v>
      </c>
      <c r="R2501">
        <v>42</v>
      </c>
      <c r="S2501">
        <v>230</v>
      </c>
      <c r="T2501">
        <v>8</v>
      </c>
      <c r="U2501">
        <v>13</v>
      </c>
      <c r="V2501">
        <v>10</v>
      </c>
      <c r="W2501">
        <v>2</v>
      </c>
      <c r="X2501">
        <v>2</v>
      </c>
      <c r="Y2501">
        <v>122</v>
      </c>
      <c r="Z2501">
        <v>1</v>
      </c>
      <c r="AA2501">
        <v>3</v>
      </c>
      <c r="AB2501">
        <v>1</v>
      </c>
      <c r="AC2501">
        <v>5</v>
      </c>
      <c r="AD2501">
        <v>0</v>
      </c>
      <c r="AE2501">
        <v>0</v>
      </c>
      <c r="AF2501">
        <v>0</v>
      </c>
      <c r="AK2501">
        <v>0</v>
      </c>
      <c r="AL2501">
        <v>0</v>
      </c>
      <c r="AM2501">
        <v>0</v>
      </c>
      <c r="AN2501">
        <v>3</v>
      </c>
      <c r="BC2501">
        <v>2</v>
      </c>
      <c r="BD2501">
        <v>15</v>
      </c>
      <c r="BE2501" t="s">
        <v>105</v>
      </c>
      <c r="BF2501">
        <v>495</v>
      </c>
      <c r="BG2501">
        <v>694</v>
      </c>
      <c r="BJ2501">
        <v>1</v>
      </c>
      <c r="BL2501" t="s">
        <v>5199</v>
      </c>
      <c r="BM2501" s="4">
        <v>43283.04115740741</v>
      </c>
      <c r="BN2501" s="4">
        <v>43283.046377314815</v>
      </c>
      <c r="BO2501" s="4">
        <v>43283.046377314815</v>
      </c>
      <c r="BP2501" t="s">
        <v>339</v>
      </c>
      <c r="BQ2501" t="s">
        <v>340</v>
      </c>
      <c r="BR2501" t="s">
        <v>94</v>
      </c>
    </row>
    <row r="2502" spans="1:70" x14ac:dyDescent="0.3">
      <c r="A2502" t="str">
        <f>"201722E0104"</f>
        <v>201722E0104</v>
      </c>
      <c r="B2502" s="2" t="s">
        <v>5200</v>
      </c>
      <c r="C2502">
        <v>20</v>
      </c>
      <c r="D2502" t="s">
        <v>88</v>
      </c>
      <c r="E2502">
        <v>386</v>
      </c>
      <c r="F2502" t="s">
        <v>5086</v>
      </c>
      <c r="G2502">
        <v>1722</v>
      </c>
      <c r="H2502">
        <v>1</v>
      </c>
      <c r="I2502" t="s">
        <v>156</v>
      </c>
      <c r="J2502">
        <v>4</v>
      </c>
      <c r="K2502">
        <v>1</v>
      </c>
      <c r="L2502">
        <v>5</v>
      </c>
      <c r="BG2502">
        <v>694</v>
      </c>
      <c r="BI2502" t="s">
        <v>122</v>
      </c>
      <c r="BJ2502">
        <v>0</v>
      </c>
      <c r="BL2502" t="s">
        <v>5201</v>
      </c>
      <c r="BM2502" s="4">
        <v>43283.665277777778</v>
      </c>
      <c r="BN2502" s="4">
        <v>43283.669409722221</v>
      </c>
      <c r="BO2502" s="4">
        <v>43283.669409722221</v>
      </c>
      <c r="BP2502" t="s">
        <v>92</v>
      </c>
      <c r="BQ2502" t="s">
        <v>93</v>
      </c>
      <c r="BR2502" t="s">
        <v>94</v>
      </c>
    </row>
    <row r="2503" spans="1:70" x14ac:dyDescent="0.3">
      <c r="A2503" t="str">
        <f>"201722E0200"</f>
        <v>201722E0200</v>
      </c>
      <c r="B2503" s="2" t="s">
        <v>5202</v>
      </c>
      <c r="C2503">
        <v>20</v>
      </c>
      <c r="D2503" t="s">
        <v>88</v>
      </c>
      <c r="E2503">
        <v>386</v>
      </c>
      <c r="F2503" t="s">
        <v>5086</v>
      </c>
      <c r="G2503">
        <v>1722</v>
      </c>
      <c r="H2503">
        <v>2</v>
      </c>
      <c r="I2503" t="s">
        <v>156</v>
      </c>
      <c r="J2503">
        <v>0</v>
      </c>
      <c r="K2503">
        <v>1</v>
      </c>
      <c r="L2503">
        <v>5</v>
      </c>
      <c r="M2503">
        <v>237</v>
      </c>
      <c r="N2503">
        <v>535</v>
      </c>
      <c r="O2503">
        <v>5</v>
      </c>
      <c r="P2503">
        <v>534</v>
      </c>
      <c r="Q2503">
        <v>30</v>
      </c>
      <c r="R2503">
        <v>34</v>
      </c>
      <c r="S2503">
        <v>243</v>
      </c>
      <c r="T2503">
        <v>14</v>
      </c>
      <c r="U2503">
        <v>10</v>
      </c>
      <c r="V2503">
        <v>14</v>
      </c>
      <c r="W2503">
        <v>1</v>
      </c>
      <c r="X2503">
        <v>3</v>
      </c>
      <c r="Y2503">
        <v>158</v>
      </c>
      <c r="Z2503">
        <v>6</v>
      </c>
      <c r="AA2503">
        <v>4</v>
      </c>
      <c r="AB2503">
        <v>1</v>
      </c>
      <c r="AC2503">
        <v>3</v>
      </c>
      <c r="AD2503" t="s">
        <v>105</v>
      </c>
      <c r="AE2503" t="s">
        <v>105</v>
      </c>
      <c r="AF2503" t="s">
        <v>105</v>
      </c>
      <c r="AK2503">
        <v>6</v>
      </c>
      <c r="AL2503" t="s">
        <v>105</v>
      </c>
      <c r="AM2503" t="s">
        <v>105</v>
      </c>
      <c r="AN2503" t="s">
        <v>105</v>
      </c>
      <c r="BC2503" t="s">
        <v>105</v>
      </c>
      <c r="BD2503">
        <v>7</v>
      </c>
      <c r="BE2503">
        <v>534</v>
      </c>
      <c r="BF2503">
        <v>534</v>
      </c>
      <c r="BG2503">
        <v>750</v>
      </c>
      <c r="BI2503" t="s">
        <v>106</v>
      </c>
      <c r="BJ2503">
        <v>1</v>
      </c>
      <c r="BL2503" t="s">
        <v>5203</v>
      </c>
      <c r="BM2503" s="4">
        <v>43283.170138888891</v>
      </c>
      <c r="BN2503" s="4">
        <v>43283.187013888892</v>
      </c>
      <c r="BO2503" s="4">
        <v>43283.187013888892</v>
      </c>
      <c r="BP2503" t="s">
        <v>92</v>
      </c>
      <c r="BQ2503" t="s">
        <v>93</v>
      </c>
      <c r="BR2503" t="s">
        <v>94</v>
      </c>
    </row>
    <row r="2504" spans="1:70" x14ac:dyDescent="0.3">
      <c r="A2504" t="str">
        <f>"201722E0201"</f>
        <v>201722E0201</v>
      </c>
      <c r="B2504" s="2" t="s">
        <v>5204</v>
      </c>
      <c r="C2504">
        <v>20</v>
      </c>
      <c r="D2504" t="s">
        <v>88</v>
      </c>
      <c r="E2504">
        <v>386</v>
      </c>
      <c r="F2504" t="s">
        <v>5086</v>
      </c>
      <c r="G2504">
        <v>1722</v>
      </c>
      <c r="H2504">
        <v>2</v>
      </c>
      <c r="I2504" t="s">
        <v>156</v>
      </c>
      <c r="J2504">
        <v>1</v>
      </c>
      <c r="K2504">
        <v>1</v>
      </c>
      <c r="L2504">
        <v>5</v>
      </c>
      <c r="M2504">
        <v>255</v>
      </c>
      <c r="N2504">
        <v>517</v>
      </c>
      <c r="O2504">
        <v>6</v>
      </c>
      <c r="P2504">
        <v>516</v>
      </c>
      <c r="Q2504">
        <v>35</v>
      </c>
      <c r="R2504">
        <v>31</v>
      </c>
      <c r="S2504">
        <v>233</v>
      </c>
      <c r="T2504">
        <v>22</v>
      </c>
      <c r="U2504">
        <v>7</v>
      </c>
      <c r="V2504">
        <v>10</v>
      </c>
      <c r="W2504">
        <v>3</v>
      </c>
      <c r="X2504">
        <v>2</v>
      </c>
      <c r="Y2504">
        <v>133</v>
      </c>
      <c r="Z2504">
        <v>9</v>
      </c>
      <c r="AA2504">
        <v>3</v>
      </c>
      <c r="AB2504">
        <v>1</v>
      </c>
      <c r="AC2504">
        <v>6</v>
      </c>
      <c r="AD2504">
        <v>4</v>
      </c>
      <c r="AE2504">
        <v>0</v>
      </c>
      <c r="AF2504">
        <v>2</v>
      </c>
      <c r="AK2504">
        <v>4</v>
      </c>
      <c r="AL2504">
        <v>2</v>
      </c>
      <c r="AM2504">
        <v>0</v>
      </c>
      <c r="AN2504">
        <v>2</v>
      </c>
      <c r="BC2504">
        <v>0</v>
      </c>
      <c r="BD2504">
        <v>7</v>
      </c>
      <c r="BE2504">
        <v>516</v>
      </c>
      <c r="BF2504">
        <v>516</v>
      </c>
      <c r="BG2504">
        <v>750</v>
      </c>
      <c r="BJ2504">
        <v>1</v>
      </c>
      <c r="BL2504" t="s">
        <v>5205</v>
      </c>
      <c r="BM2504" s="4">
        <v>43283.169444444444</v>
      </c>
      <c r="BN2504" s="4">
        <v>43283.184756944444</v>
      </c>
      <c r="BO2504" s="4">
        <v>43283.184756944444</v>
      </c>
      <c r="BP2504" t="s">
        <v>92</v>
      </c>
      <c r="BQ2504" t="s">
        <v>93</v>
      </c>
      <c r="BR2504" t="s">
        <v>94</v>
      </c>
    </row>
    <row r="2505" spans="1:70" x14ac:dyDescent="0.3">
      <c r="A2505" t="str">
        <f>"201722E0202"</f>
        <v>201722E0202</v>
      </c>
      <c r="B2505" s="2" t="s">
        <v>5206</v>
      </c>
      <c r="C2505">
        <v>20</v>
      </c>
      <c r="D2505" t="s">
        <v>88</v>
      </c>
      <c r="E2505">
        <v>386</v>
      </c>
      <c r="F2505" t="s">
        <v>5086</v>
      </c>
      <c r="G2505">
        <v>1722</v>
      </c>
      <c r="H2505">
        <v>2</v>
      </c>
      <c r="I2505" t="s">
        <v>156</v>
      </c>
      <c r="J2505">
        <v>2</v>
      </c>
      <c r="K2505">
        <v>1</v>
      </c>
      <c r="L2505">
        <v>5</v>
      </c>
      <c r="M2505">
        <v>247</v>
      </c>
      <c r="N2505">
        <v>525</v>
      </c>
      <c r="O2505">
        <v>6</v>
      </c>
      <c r="P2505">
        <v>525</v>
      </c>
      <c r="Q2505">
        <v>35</v>
      </c>
      <c r="R2505">
        <v>44</v>
      </c>
      <c r="S2505">
        <v>232</v>
      </c>
      <c r="T2505">
        <v>17</v>
      </c>
      <c r="U2505">
        <v>6</v>
      </c>
      <c r="V2505">
        <v>3</v>
      </c>
      <c r="W2505">
        <v>5</v>
      </c>
      <c r="X2505">
        <v>0</v>
      </c>
      <c r="Y2505">
        <v>148</v>
      </c>
      <c r="Z2505">
        <v>8</v>
      </c>
      <c r="AA2505">
        <v>2</v>
      </c>
      <c r="AB2505">
        <v>0</v>
      </c>
      <c r="AC2505">
        <v>8</v>
      </c>
      <c r="AD2505">
        <v>0</v>
      </c>
      <c r="AE2505">
        <v>0</v>
      </c>
      <c r="AF2505">
        <v>0</v>
      </c>
      <c r="AK2505">
        <v>4</v>
      </c>
      <c r="AL2505">
        <v>0</v>
      </c>
      <c r="AM2505">
        <v>0</v>
      </c>
      <c r="AN2505">
        <v>0</v>
      </c>
      <c r="BC2505" t="s">
        <v>105</v>
      </c>
      <c r="BD2505">
        <v>13</v>
      </c>
      <c r="BE2505">
        <v>525</v>
      </c>
      <c r="BF2505">
        <v>525</v>
      </c>
      <c r="BG2505">
        <v>750</v>
      </c>
      <c r="BI2505" t="s">
        <v>106</v>
      </c>
      <c r="BJ2505">
        <v>1</v>
      </c>
      <c r="BL2505" t="s">
        <v>5207</v>
      </c>
      <c r="BM2505" s="4">
        <v>43283.194444444445</v>
      </c>
      <c r="BN2505" s="4">
        <v>43283.212916666664</v>
      </c>
      <c r="BO2505" s="4">
        <v>43283.212916666664</v>
      </c>
      <c r="BP2505" t="s">
        <v>92</v>
      </c>
      <c r="BQ2505" t="s">
        <v>93</v>
      </c>
      <c r="BR2505" t="s">
        <v>94</v>
      </c>
    </row>
    <row r="2506" spans="1:70" x14ac:dyDescent="0.3">
      <c r="A2506" t="str">
        <f>"201722E0203"</f>
        <v>201722E0203</v>
      </c>
      <c r="B2506" s="2" t="s">
        <v>5208</v>
      </c>
      <c r="C2506">
        <v>20</v>
      </c>
      <c r="D2506" t="s">
        <v>88</v>
      </c>
      <c r="E2506">
        <v>386</v>
      </c>
      <c r="F2506" t="s">
        <v>5086</v>
      </c>
      <c r="G2506">
        <v>1722</v>
      </c>
      <c r="H2506">
        <v>2</v>
      </c>
      <c r="I2506" t="s">
        <v>156</v>
      </c>
      <c r="J2506">
        <v>3</v>
      </c>
      <c r="K2506">
        <v>1</v>
      </c>
      <c r="L2506">
        <v>5</v>
      </c>
      <c r="M2506">
        <v>245</v>
      </c>
      <c r="N2506">
        <v>532</v>
      </c>
      <c r="O2506">
        <v>6</v>
      </c>
      <c r="P2506">
        <v>521</v>
      </c>
      <c r="Q2506">
        <v>35</v>
      </c>
      <c r="R2506">
        <v>27</v>
      </c>
      <c r="S2506">
        <v>227</v>
      </c>
      <c r="T2506">
        <v>9</v>
      </c>
      <c r="U2506">
        <v>7</v>
      </c>
      <c r="V2506">
        <v>11</v>
      </c>
      <c r="W2506">
        <v>4</v>
      </c>
      <c r="X2506">
        <v>3</v>
      </c>
      <c r="Y2506">
        <v>181</v>
      </c>
      <c r="Z2506">
        <v>1</v>
      </c>
      <c r="AA2506">
        <v>3</v>
      </c>
      <c r="AB2506">
        <v>1</v>
      </c>
      <c r="AC2506" t="s">
        <v>105</v>
      </c>
      <c r="AD2506">
        <v>2</v>
      </c>
      <c r="AE2506" t="s">
        <v>105</v>
      </c>
      <c r="AF2506" t="s">
        <v>105</v>
      </c>
      <c r="AK2506">
        <v>2</v>
      </c>
      <c r="AL2506">
        <v>6</v>
      </c>
      <c r="AM2506" t="s">
        <v>105</v>
      </c>
      <c r="AN2506" t="s">
        <v>105</v>
      </c>
      <c r="BC2506" t="s">
        <v>105</v>
      </c>
      <c r="BD2506">
        <v>7</v>
      </c>
      <c r="BE2506">
        <v>526</v>
      </c>
      <c r="BF2506">
        <v>526</v>
      </c>
      <c r="BG2506">
        <v>750</v>
      </c>
      <c r="BI2506" t="s">
        <v>106</v>
      </c>
      <c r="BJ2506">
        <v>1</v>
      </c>
      <c r="BL2506" t="s">
        <v>5209</v>
      </c>
      <c r="BM2506" s="4">
        <v>43283.168055555558</v>
      </c>
      <c r="BN2506" s="4">
        <v>43283.182488425926</v>
      </c>
      <c r="BO2506" s="4">
        <v>43283.182488425926</v>
      </c>
      <c r="BP2506" t="s">
        <v>92</v>
      </c>
      <c r="BQ2506" t="s">
        <v>93</v>
      </c>
      <c r="BR2506" t="s">
        <v>94</v>
      </c>
    </row>
    <row r="2507" spans="1:70" x14ac:dyDescent="0.3">
      <c r="A2507" t="str">
        <f>"201723B0100"</f>
        <v>201723B0100</v>
      </c>
      <c r="B2507" t="s">
        <v>5210</v>
      </c>
      <c r="C2507">
        <v>20</v>
      </c>
      <c r="D2507" t="s">
        <v>88</v>
      </c>
      <c r="E2507">
        <v>386</v>
      </c>
      <c r="F2507" t="s">
        <v>5086</v>
      </c>
      <c r="G2507">
        <v>1723</v>
      </c>
      <c r="H2507">
        <v>1</v>
      </c>
      <c r="I2507" t="s">
        <v>90</v>
      </c>
      <c r="J2507">
        <v>0</v>
      </c>
      <c r="K2507">
        <v>1</v>
      </c>
      <c r="L2507">
        <v>5</v>
      </c>
      <c r="M2507">
        <v>225</v>
      </c>
      <c r="N2507">
        <v>478</v>
      </c>
      <c r="O2507">
        <v>0</v>
      </c>
      <c r="P2507">
        <v>478</v>
      </c>
      <c r="Q2507">
        <v>38</v>
      </c>
      <c r="R2507">
        <v>41</v>
      </c>
      <c r="S2507">
        <v>186</v>
      </c>
      <c r="T2507">
        <v>13</v>
      </c>
      <c r="U2507">
        <v>9</v>
      </c>
      <c r="V2507">
        <v>13</v>
      </c>
      <c r="W2507">
        <v>1</v>
      </c>
      <c r="X2507">
        <v>1</v>
      </c>
      <c r="Y2507">
        <v>140</v>
      </c>
      <c r="Z2507">
        <v>3</v>
      </c>
      <c r="AA2507">
        <v>2</v>
      </c>
      <c r="AB2507">
        <v>3</v>
      </c>
      <c r="AC2507">
        <v>1</v>
      </c>
      <c r="AD2507">
        <v>1</v>
      </c>
      <c r="AE2507">
        <v>0</v>
      </c>
      <c r="AF2507">
        <v>0</v>
      </c>
      <c r="AK2507">
        <v>6</v>
      </c>
      <c r="AL2507">
        <v>0</v>
      </c>
      <c r="AM2507">
        <v>0</v>
      </c>
      <c r="AN2507">
        <v>0</v>
      </c>
      <c r="BC2507">
        <v>0</v>
      </c>
      <c r="BD2507">
        <v>20</v>
      </c>
      <c r="BE2507">
        <v>478</v>
      </c>
      <c r="BF2507">
        <v>478</v>
      </c>
      <c r="BG2507">
        <v>681</v>
      </c>
      <c r="BJ2507">
        <v>1</v>
      </c>
      <c r="BL2507" t="s">
        <v>5211</v>
      </c>
      <c r="BM2507" s="4">
        <v>43282.943101851852</v>
      </c>
      <c r="BN2507" s="4">
        <v>43282.945972222224</v>
      </c>
      <c r="BO2507" s="4">
        <v>43282.945972222224</v>
      </c>
      <c r="BP2507" t="s">
        <v>339</v>
      </c>
      <c r="BQ2507" t="s">
        <v>340</v>
      </c>
      <c r="BR2507" t="s">
        <v>94</v>
      </c>
    </row>
    <row r="2508" spans="1:70" x14ac:dyDescent="0.3">
      <c r="A2508" t="str">
        <f>"201723C0100"</f>
        <v>201723C0100</v>
      </c>
      <c r="B2508" t="s">
        <v>5212</v>
      </c>
      <c r="C2508">
        <v>20</v>
      </c>
      <c r="D2508" t="s">
        <v>88</v>
      </c>
      <c r="E2508">
        <v>386</v>
      </c>
      <c r="F2508" t="s">
        <v>5086</v>
      </c>
      <c r="G2508">
        <v>1723</v>
      </c>
      <c r="H2508">
        <v>1</v>
      </c>
      <c r="I2508" t="s">
        <v>98</v>
      </c>
      <c r="J2508">
        <v>0</v>
      </c>
      <c r="K2508">
        <v>1</v>
      </c>
      <c r="L2508">
        <v>5</v>
      </c>
      <c r="M2508">
        <v>221</v>
      </c>
      <c r="N2508">
        <v>481</v>
      </c>
      <c r="O2508">
        <v>5</v>
      </c>
      <c r="P2508">
        <v>471</v>
      </c>
      <c r="Q2508">
        <v>33</v>
      </c>
      <c r="R2508">
        <v>35</v>
      </c>
      <c r="S2508">
        <v>196</v>
      </c>
      <c r="T2508">
        <v>12</v>
      </c>
      <c r="U2508">
        <v>8</v>
      </c>
      <c r="V2508">
        <v>17</v>
      </c>
      <c r="W2508">
        <v>3</v>
      </c>
      <c r="X2508">
        <v>1</v>
      </c>
      <c r="Y2508">
        <v>130</v>
      </c>
      <c r="Z2508">
        <v>3</v>
      </c>
      <c r="AA2508">
        <v>1</v>
      </c>
      <c r="AB2508">
        <v>3</v>
      </c>
      <c r="AC2508">
        <v>8</v>
      </c>
      <c r="AD2508">
        <v>3</v>
      </c>
      <c r="AE2508">
        <v>0</v>
      </c>
      <c r="AF2508">
        <v>1</v>
      </c>
      <c r="AK2508">
        <v>1</v>
      </c>
      <c r="AL2508">
        <v>0</v>
      </c>
      <c r="AM2508">
        <v>0</v>
      </c>
      <c r="AN2508">
        <v>0</v>
      </c>
      <c r="BC2508">
        <v>1</v>
      </c>
      <c r="BD2508">
        <v>15</v>
      </c>
      <c r="BE2508">
        <v>471</v>
      </c>
      <c r="BF2508">
        <v>471</v>
      </c>
      <c r="BG2508">
        <v>681</v>
      </c>
      <c r="BJ2508">
        <v>1</v>
      </c>
      <c r="BL2508" t="s">
        <v>5213</v>
      </c>
      <c r="BM2508" s="4">
        <v>43283.022673611114</v>
      </c>
      <c r="BN2508" s="4">
        <v>43283.029699074075</v>
      </c>
      <c r="BO2508" s="4">
        <v>43283.029699074075</v>
      </c>
      <c r="BP2508" t="s">
        <v>339</v>
      </c>
      <c r="BQ2508" t="s">
        <v>340</v>
      </c>
      <c r="BR2508" t="s">
        <v>94</v>
      </c>
    </row>
    <row r="2509" spans="1:70" x14ac:dyDescent="0.3">
      <c r="A2509" t="str">
        <f>"201723C0200"</f>
        <v>201723C0200</v>
      </c>
      <c r="B2509" t="s">
        <v>5214</v>
      </c>
      <c r="C2509">
        <v>20</v>
      </c>
      <c r="D2509" t="s">
        <v>88</v>
      </c>
      <c r="E2509">
        <v>386</v>
      </c>
      <c r="F2509" t="s">
        <v>5086</v>
      </c>
      <c r="G2509">
        <v>1723</v>
      </c>
      <c r="H2509">
        <v>2</v>
      </c>
      <c r="I2509" t="s">
        <v>98</v>
      </c>
      <c r="J2509">
        <v>0</v>
      </c>
      <c r="K2509">
        <v>1</v>
      </c>
      <c r="L2509">
        <v>5</v>
      </c>
      <c r="M2509">
        <v>249</v>
      </c>
      <c r="N2509">
        <v>454</v>
      </c>
      <c r="O2509">
        <v>2</v>
      </c>
      <c r="P2509">
        <v>454</v>
      </c>
      <c r="Q2509">
        <v>27</v>
      </c>
      <c r="R2509">
        <v>47</v>
      </c>
      <c r="S2509">
        <v>170</v>
      </c>
      <c r="T2509">
        <v>10</v>
      </c>
      <c r="U2509">
        <v>4</v>
      </c>
      <c r="V2509">
        <v>9</v>
      </c>
      <c r="W2509">
        <v>5</v>
      </c>
      <c r="X2509">
        <v>1</v>
      </c>
      <c r="Y2509">
        <v>142</v>
      </c>
      <c r="Z2509">
        <v>7</v>
      </c>
      <c r="AA2509">
        <v>2</v>
      </c>
      <c r="AB2509">
        <v>4</v>
      </c>
      <c r="AC2509">
        <v>7</v>
      </c>
      <c r="AD2509">
        <v>2</v>
      </c>
      <c r="AE2509">
        <v>0</v>
      </c>
      <c r="AF2509">
        <v>0</v>
      </c>
      <c r="AK2509">
        <v>5</v>
      </c>
      <c r="AL2509">
        <v>1</v>
      </c>
      <c r="AM2509">
        <v>0</v>
      </c>
      <c r="AN2509">
        <v>0</v>
      </c>
      <c r="BC2509">
        <v>0</v>
      </c>
      <c r="BD2509">
        <v>11</v>
      </c>
      <c r="BE2509">
        <v>454</v>
      </c>
      <c r="BF2509">
        <v>454</v>
      </c>
      <c r="BG2509">
        <v>681</v>
      </c>
      <c r="BJ2509">
        <v>1</v>
      </c>
      <c r="BL2509" t="s">
        <v>5215</v>
      </c>
      <c r="BM2509" s="4">
        <v>43282.974062499998</v>
      </c>
      <c r="BN2509" s="4">
        <v>43282.977662037039</v>
      </c>
      <c r="BO2509" s="4">
        <v>43282.977662037039</v>
      </c>
      <c r="BP2509" t="s">
        <v>339</v>
      </c>
      <c r="BQ2509" t="s">
        <v>340</v>
      </c>
      <c r="BR2509" t="s">
        <v>94</v>
      </c>
    </row>
    <row r="2510" spans="1:70" x14ac:dyDescent="0.3">
      <c r="A2510" t="str">
        <f>"201723C0300"</f>
        <v>201723C0300</v>
      </c>
      <c r="B2510" t="s">
        <v>5216</v>
      </c>
      <c r="C2510">
        <v>20</v>
      </c>
      <c r="D2510" t="s">
        <v>88</v>
      </c>
      <c r="E2510">
        <v>386</v>
      </c>
      <c r="F2510" t="s">
        <v>5086</v>
      </c>
      <c r="G2510">
        <v>1723</v>
      </c>
      <c r="H2510">
        <v>3</v>
      </c>
      <c r="I2510" t="s">
        <v>98</v>
      </c>
      <c r="J2510">
        <v>0</v>
      </c>
      <c r="K2510">
        <v>1</v>
      </c>
      <c r="L2510">
        <v>5</v>
      </c>
      <c r="M2510">
        <v>219</v>
      </c>
      <c r="N2510">
        <v>484</v>
      </c>
      <c r="O2510">
        <v>3</v>
      </c>
      <c r="P2510">
        <v>484</v>
      </c>
      <c r="Q2510">
        <v>27</v>
      </c>
      <c r="R2510">
        <v>50</v>
      </c>
      <c r="S2510">
        <v>184</v>
      </c>
      <c r="T2510">
        <v>8</v>
      </c>
      <c r="U2510">
        <v>10</v>
      </c>
      <c r="V2510">
        <v>14</v>
      </c>
      <c r="W2510">
        <v>4</v>
      </c>
      <c r="X2510">
        <v>2</v>
      </c>
      <c r="Y2510">
        <v>140</v>
      </c>
      <c r="Z2510">
        <v>2</v>
      </c>
      <c r="AA2510">
        <v>1</v>
      </c>
      <c r="AB2510">
        <v>7</v>
      </c>
      <c r="AC2510">
        <v>5</v>
      </c>
      <c r="AD2510">
        <v>6</v>
      </c>
      <c r="AE2510">
        <v>1</v>
      </c>
      <c r="AF2510">
        <v>3</v>
      </c>
      <c r="AK2510">
        <v>0</v>
      </c>
      <c r="AL2510">
        <v>1</v>
      </c>
      <c r="AM2510">
        <v>0</v>
      </c>
      <c r="AN2510">
        <v>0</v>
      </c>
      <c r="BC2510">
        <v>0</v>
      </c>
      <c r="BD2510">
        <v>19</v>
      </c>
      <c r="BE2510">
        <v>484</v>
      </c>
      <c r="BF2510">
        <v>484</v>
      </c>
      <c r="BG2510">
        <v>681</v>
      </c>
      <c r="BJ2510">
        <v>1</v>
      </c>
      <c r="BL2510" t="s">
        <v>5217</v>
      </c>
      <c r="BM2510" s="4">
        <v>43282.989756944444</v>
      </c>
      <c r="BN2510" s="4">
        <v>43282.992638888885</v>
      </c>
      <c r="BO2510" s="4">
        <v>43282.992638888885</v>
      </c>
      <c r="BP2510" t="s">
        <v>339</v>
      </c>
      <c r="BQ2510" t="s">
        <v>340</v>
      </c>
      <c r="BR2510" t="s">
        <v>94</v>
      </c>
    </row>
    <row r="2511" spans="1:70" x14ac:dyDescent="0.3">
      <c r="A2511" t="str">
        <f>"201723C0400"</f>
        <v>201723C0400</v>
      </c>
      <c r="B2511" t="s">
        <v>5218</v>
      </c>
      <c r="C2511">
        <v>20</v>
      </c>
      <c r="D2511" t="s">
        <v>88</v>
      </c>
      <c r="E2511">
        <v>386</v>
      </c>
      <c r="F2511" t="s">
        <v>5086</v>
      </c>
      <c r="G2511">
        <v>1723</v>
      </c>
      <c r="H2511">
        <v>4</v>
      </c>
      <c r="I2511" t="s">
        <v>98</v>
      </c>
      <c r="J2511">
        <v>0</v>
      </c>
      <c r="K2511">
        <v>1</v>
      </c>
      <c r="L2511">
        <v>5</v>
      </c>
      <c r="M2511">
        <v>261</v>
      </c>
      <c r="N2511">
        <v>439</v>
      </c>
      <c r="O2511">
        <v>2</v>
      </c>
      <c r="P2511">
        <v>442</v>
      </c>
      <c r="Q2511">
        <v>26</v>
      </c>
      <c r="R2511">
        <v>42</v>
      </c>
      <c r="S2511">
        <v>180</v>
      </c>
      <c r="T2511">
        <v>10</v>
      </c>
      <c r="U2511">
        <v>6</v>
      </c>
      <c r="V2511">
        <v>9</v>
      </c>
      <c r="W2511">
        <v>2</v>
      </c>
      <c r="X2511" t="s">
        <v>105</v>
      </c>
      <c r="Y2511">
        <v>143</v>
      </c>
      <c r="Z2511">
        <v>4</v>
      </c>
      <c r="AA2511" t="s">
        <v>105</v>
      </c>
      <c r="AB2511">
        <v>4</v>
      </c>
      <c r="AC2511">
        <v>2</v>
      </c>
      <c r="AD2511">
        <v>2</v>
      </c>
      <c r="AE2511" t="s">
        <v>105</v>
      </c>
      <c r="AF2511" t="s">
        <v>105</v>
      </c>
      <c r="AK2511">
        <v>3</v>
      </c>
      <c r="AL2511" t="s">
        <v>105</v>
      </c>
      <c r="AM2511" t="s">
        <v>105</v>
      </c>
      <c r="AN2511">
        <v>1</v>
      </c>
      <c r="BC2511" t="s">
        <v>105</v>
      </c>
      <c r="BD2511">
        <v>9</v>
      </c>
      <c r="BE2511">
        <v>443</v>
      </c>
      <c r="BF2511">
        <v>443</v>
      </c>
      <c r="BG2511">
        <v>680</v>
      </c>
      <c r="BI2511" t="s">
        <v>106</v>
      </c>
      <c r="BJ2511">
        <v>1</v>
      </c>
      <c r="BL2511" t="s">
        <v>5219</v>
      </c>
      <c r="BM2511" s="4">
        <v>43283.000451388885</v>
      </c>
      <c r="BN2511" s="4">
        <v>43283.00371527778</v>
      </c>
      <c r="BO2511" s="4">
        <v>43283.00371527778</v>
      </c>
      <c r="BP2511" t="s">
        <v>339</v>
      </c>
      <c r="BQ2511" t="s">
        <v>340</v>
      </c>
      <c r="BR2511" t="s">
        <v>94</v>
      </c>
    </row>
    <row r="2512" spans="1:70" x14ac:dyDescent="0.3">
      <c r="A2512" t="str">
        <f>"201724B0100"</f>
        <v>201724B0100</v>
      </c>
      <c r="B2512" t="s">
        <v>5220</v>
      </c>
      <c r="C2512">
        <v>20</v>
      </c>
      <c r="D2512" t="s">
        <v>88</v>
      </c>
      <c r="E2512">
        <v>386</v>
      </c>
      <c r="F2512" t="s">
        <v>5086</v>
      </c>
      <c r="G2512">
        <v>1724</v>
      </c>
      <c r="H2512">
        <v>1</v>
      </c>
      <c r="I2512" t="s">
        <v>90</v>
      </c>
      <c r="J2512">
        <v>0</v>
      </c>
      <c r="K2512">
        <v>1</v>
      </c>
      <c r="L2512">
        <v>5</v>
      </c>
      <c r="BG2512">
        <v>730</v>
      </c>
      <c r="BI2512" t="s">
        <v>122</v>
      </c>
      <c r="BJ2512">
        <v>0</v>
      </c>
      <c r="BL2512" t="s">
        <v>5221</v>
      </c>
      <c r="BM2512" s="4">
        <v>43283.665972222225</v>
      </c>
      <c r="BN2512" s="4">
        <v>43283.669976851852</v>
      </c>
      <c r="BO2512" s="4">
        <v>43283.669976851852</v>
      </c>
      <c r="BP2512" t="s">
        <v>92</v>
      </c>
      <c r="BQ2512" t="s">
        <v>93</v>
      </c>
      <c r="BR2512" t="s">
        <v>94</v>
      </c>
    </row>
    <row r="2513" spans="1:70" x14ac:dyDescent="0.3">
      <c r="A2513" t="str">
        <f>"201724C0100"</f>
        <v>201724C0100</v>
      </c>
      <c r="B2513" t="s">
        <v>5222</v>
      </c>
      <c r="C2513">
        <v>20</v>
      </c>
      <c r="D2513" t="s">
        <v>88</v>
      </c>
      <c r="E2513">
        <v>386</v>
      </c>
      <c r="F2513" t="s">
        <v>5086</v>
      </c>
      <c r="G2513">
        <v>1724</v>
      </c>
      <c r="H2513">
        <v>1</v>
      </c>
      <c r="I2513" t="s">
        <v>98</v>
      </c>
      <c r="J2513">
        <v>0</v>
      </c>
      <c r="K2513">
        <v>1</v>
      </c>
      <c r="L2513">
        <v>5</v>
      </c>
      <c r="M2513">
        <v>233</v>
      </c>
      <c r="N2513">
        <v>519</v>
      </c>
      <c r="O2513">
        <v>3</v>
      </c>
      <c r="P2513">
        <v>519</v>
      </c>
      <c r="Q2513">
        <v>30</v>
      </c>
      <c r="R2513">
        <v>57</v>
      </c>
      <c r="S2513">
        <v>214</v>
      </c>
      <c r="T2513">
        <v>9</v>
      </c>
      <c r="U2513">
        <v>12</v>
      </c>
      <c r="V2513">
        <v>14</v>
      </c>
      <c r="W2513">
        <v>1</v>
      </c>
      <c r="X2513">
        <v>2</v>
      </c>
      <c r="Y2513">
        <v>159</v>
      </c>
      <c r="Z2513">
        <v>4</v>
      </c>
      <c r="AA2513">
        <v>4</v>
      </c>
      <c r="AB2513">
        <v>2</v>
      </c>
      <c r="AC2513">
        <v>2</v>
      </c>
      <c r="AD2513">
        <v>1</v>
      </c>
      <c r="AE2513">
        <v>1</v>
      </c>
      <c r="AF2513">
        <v>0</v>
      </c>
      <c r="AK2513">
        <v>0</v>
      </c>
      <c r="AL2513">
        <v>2</v>
      </c>
      <c r="AM2513">
        <v>0</v>
      </c>
      <c r="AN2513">
        <v>1</v>
      </c>
      <c r="BC2513">
        <v>0</v>
      </c>
      <c r="BD2513">
        <v>14</v>
      </c>
      <c r="BE2513">
        <v>519</v>
      </c>
      <c r="BF2513">
        <v>529</v>
      </c>
      <c r="BG2513">
        <v>730</v>
      </c>
      <c r="BJ2513">
        <v>1</v>
      </c>
      <c r="BL2513" t="s">
        <v>5223</v>
      </c>
      <c r="BM2513" s="4">
        <v>43283.036550925928</v>
      </c>
      <c r="BN2513" s="4">
        <v>43283.040312500001</v>
      </c>
      <c r="BO2513" s="4">
        <v>43283.040312500001</v>
      </c>
      <c r="BP2513" t="s">
        <v>339</v>
      </c>
      <c r="BQ2513" t="s">
        <v>340</v>
      </c>
      <c r="BR2513" t="s">
        <v>94</v>
      </c>
    </row>
    <row r="2514" spans="1:70" x14ac:dyDescent="0.3">
      <c r="A2514" t="str">
        <f>"201724C0200"</f>
        <v>201724C0200</v>
      </c>
      <c r="B2514" t="s">
        <v>5224</v>
      </c>
      <c r="C2514">
        <v>20</v>
      </c>
      <c r="D2514" t="s">
        <v>88</v>
      </c>
      <c r="E2514">
        <v>386</v>
      </c>
      <c r="F2514" t="s">
        <v>5086</v>
      </c>
      <c r="G2514">
        <v>1724</v>
      </c>
      <c r="H2514">
        <v>2</v>
      </c>
      <c r="I2514" t="s">
        <v>98</v>
      </c>
      <c r="J2514">
        <v>0</v>
      </c>
      <c r="K2514">
        <v>1</v>
      </c>
      <c r="L2514">
        <v>5</v>
      </c>
      <c r="M2514">
        <v>226</v>
      </c>
      <c r="N2514">
        <v>526</v>
      </c>
      <c r="O2514">
        <v>1</v>
      </c>
      <c r="P2514">
        <v>525</v>
      </c>
      <c r="Q2514">
        <v>50</v>
      </c>
      <c r="R2514">
        <v>57</v>
      </c>
      <c r="S2514">
        <v>186</v>
      </c>
      <c r="T2514">
        <v>8</v>
      </c>
      <c r="U2514">
        <v>9</v>
      </c>
      <c r="V2514">
        <v>13</v>
      </c>
      <c r="W2514">
        <v>2</v>
      </c>
      <c r="X2514">
        <v>2</v>
      </c>
      <c r="Y2514">
        <v>159</v>
      </c>
      <c r="Z2514">
        <v>5</v>
      </c>
      <c r="AA2514">
        <v>1</v>
      </c>
      <c r="AB2514">
        <v>2</v>
      </c>
      <c r="AC2514">
        <v>3</v>
      </c>
      <c r="AD2514">
        <v>2</v>
      </c>
      <c r="AE2514">
        <v>0</v>
      </c>
      <c r="AF2514">
        <v>0</v>
      </c>
      <c r="AK2514">
        <v>6</v>
      </c>
      <c r="AL2514">
        <v>2</v>
      </c>
      <c r="AM2514">
        <v>0</v>
      </c>
      <c r="AN2514">
        <v>1</v>
      </c>
      <c r="BC2514">
        <v>0</v>
      </c>
      <c r="BD2514">
        <v>17</v>
      </c>
      <c r="BE2514">
        <v>525</v>
      </c>
      <c r="BF2514">
        <v>525</v>
      </c>
      <c r="BG2514">
        <v>730</v>
      </c>
      <c r="BJ2514">
        <v>1</v>
      </c>
      <c r="BL2514" t="s">
        <v>5225</v>
      </c>
      <c r="BM2514" s="4">
        <v>43283.042557870373</v>
      </c>
      <c r="BN2514" s="4">
        <v>43283.04582175926</v>
      </c>
      <c r="BO2514" s="4">
        <v>43283.04582175926</v>
      </c>
      <c r="BP2514" t="s">
        <v>339</v>
      </c>
      <c r="BQ2514" t="s">
        <v>340</v>
      </c>
      <c r="BR2514" t="s">
        <v>94</v>
      </c>
    </row>
    <row r="2515" spans="1:70" x14ac:dyDescent="0.3">
      <c r="A2515" t="str">
        <f>"201725B0100"</f>
        <v>201725B0100</v>
      </c>
      <c r="B2515" t="s">
        <v>5226</v>
      </c>
      <c r="C2515">
        <v>20</v>
      </c>
      <c r="D2515" t="s">
        <v>88</v>
      </c>
      <c r="E2515">
        <v>386</v>
      </c>
      <c r="F2515" t="s">
        <v>5086</v>
      </c>
      <c r="G2515">
        <v>1725</v>
      </c>
      <c r="H2515">
        <v>1</v>
      </c>
      <c r="I2515" t="s">
        <v>90</v>
      </c>
      <c r="J2515">
        <v>0</v>
      </c>
      <c r="K2515">
        <v>1</v>
      </c>
      <c r="L2515">
        <v>5</v>
      </c>
      <c r="M2515">
        <v>189</v>
      </c>
      <c r="N2515">
        <v>473</v>
      </c>
      <c r="O2515">
        <v>9</v>
      </c>
      <c r="P2515">
        <v>472</v>
      </c>
      <c r="Q2515">
        <v>25</v>
      </c>
      <c r="R2515">
        <v>53</v>
      </c>
      <c r="S2515">
        <v>177</v>
      </c>
      <c r="T2515">
        <v>4</v>
      </c>
      <c r="U2515">
        <v>14</v>
      </c>
      <c r="V2515">
        <v>11</v>
      </c>
      <c r="W2515">
        <v>3</v>
      </c>
      <c r="X2515">
        <v>1</v>
      </c>
      <c r="Y2515">
        <v>147</v>
      </c>
      <c r="Z2515">
        <v>2</v>
      </c>
      <c r="AA2515">
        <v>5</v>
      </c>
      <c r="AB2515">
        <v>1</v>
      </c>
      <c r="AC2515">
        <v>3</v>
      </c>
      <c r="AD2515">
        <v>2</v>
      </c>
      <c r="AE2515">
        <v>2</v>
      </c>
      <c r="AF2515">
        <v>0</v>
      </c>
      <c r="AK2515">
        <v>0</v>
      </c>
      <c r="AL2515">
        <v>1</v>
      </c>
      <c r="AM2515">
        <v>0</v>
      </c>
      <c r="AN2515">
        <v>0</v>
      </c>
      <c r="BC2515">
        <v>1</v>
      </c>
      <c r="BD2515">
        <v>20</v>
      </c>
      <c r="BE2515">
        <v>472</v>
      </c>
      <c r="BF2515">
        <v>472</v>
      </c>
      <c r="BG2515">
        <v>640</v>
      </c>
      <c r="BJ2515">
        <v>1</v>
      </c>
      <c r="BL2515" t="s">
        <v>5227</v>
      </c>
      <c r="BM2515" s="4">
        <v>43282.982743055552</v>
      </c>
      <c r="BN2515" s="4">
        <v>43282.987638888888</v>
      </c>
      <c r="BO2515" s="4">
        <v>43282.987638888888</v>
      </c>
      <c r="BP2515" t="s">
        <v>339</v>
      </c>
      <c r="BQ2515" t="s">
        <v>340</v>
      </c>
      <c r="BR2515" t="s">
        <v>94</v>
      </c>
    </row>
    <row r="2516" spans="1:70" x14ac:dyDescent="0.3">
      <c r="A2516" t="str">
        <f>"201725C0100"</f>
        <v>201725C0100</v>
      </c>
      <c r="B2516" t="s">
        <v>5228</v>
      </c>
      <c r="C2516">
        <v>20</v>
      </c>
      <c r="D2516" t="s">
        <v>88</v>
      </c>
      <c r="E2516">
        <v>386</v>
      </c>
      <c r="F2516" t="s">
        <v>5086</v>
      </c>
      <c r="G2516">
        <v>1725</v>
      </c>
      <c r="H2516">
        <v>1</v>
      </c>
      <c r="I2516" t="s">
        <v>98</v>
      </c>
      <c r="J2516">
        <v>0</v>
      </c>
      <c r="K2516">
        <v>1</v>
      </c>
      <c r="L2516">
        <v>5</v>
      </c>
      <c r="M2516">
        <v>204</v>
      </c>
      <c r="N2516">
        <v>455</v>
      </c>
      <c r="O2516">
        <v>5</v>
      </c>
      <c r="P2516">
        <v>457</v>
      </c>
      <c r="Q2516">
        <v>34</v>
      </c>
      <c r="R2516">
        <v>41</v>
      </c>
      <c r="S2516">
        <v>185</v>
      </c>
      <c r="T2516">
        <v>7</v>
      </c>
      <c r="U2516">
        <v>11</v>
      </c>
      <c r="V2516">
        <v>9</v>
      </c>
      <c r="W2516">
        <v>3</v>
      </c>
      <c r="X2516">
        <v>1</v>
      </c>
      <c r="Y2516">
        <v>130</v>
      </c>
      <c r="Z2516">
        <v>8</v>
      </c>
      <c r="AA2516">
        <v>3</v>
      </c>
      <c r="AB2516">
        <v>1</v>
      </c>
      <c r="AC2516">
        <v>3</v>
      </c>
      <c r="AD2516">
        <v>3</v>
      </c>
      <c r="AE2516">
        <v>1</v>
      </c>
      <c r="AF2516" t="s">
        <v>105</v>
      </c>
      <c r="AK2516">
        <v>3</v>
      </c>
      <c r="AL2516">
        <v>1</v>
      </c>
      <c r="AM2516" t="s">
        <v>105</v>
      </c>
      <c r="AN2516" t="s">
        <v>105</v>
      </c>
      <c r="BC2516" t="s">
        <v>105</v>
      </c>
      <c r="BD2516">
        <v>13</v>
      </c>
      <c r="BE2516">
        <v>457</v>
      </c>
      <c r="BF2516">
        <v>457</v>
      </c>
      <c r="BG2516">
        <v>640</v>
      </c>
      <c r="BI2516" t="s">
        <v>106</v>
      </c>
      <c r="BJ2516">
        <v>1</v>
      </c>
      <c r="BL2516" t="s">
        <v>5229</v>
      </c>
      <c r="BM2516" s="4">
        <v>43282.99800925926</v>
      </c>
      <c r="BN2516" s="4">
        <v>43283.000347222223</v>
      </c>
      <c r="BO2516" s="4">
        <v>43283.000347222223</v>
      </c>
      <c r="BP2516" t="s">
        <v>339</v>
      </c>
      <c r="BQ2516" t="s">
        <v>340</v>
      </c>
      <c r="BR2516" t="s">
        <v>94</v>
      </c>
    </row>
    <row r="2517" spans="1:70" x14ac:dyDescent="0.3">
      <c r="A2517" t="str">
        <f>"201725C0200"</f>
        <v>201725C0200</v>
      </c>
      <c r="B2517" t="s">
        <v>5230</v>
      </c>
      <c r="C2517">
        <v>20</v>
      </c>
      <c r="D2517" t="s">
        <v>88</v>
      </c>
      <c r="E2517">
        <v>386</v>
      </c>
      <c r="F2517" t="s">
        <v>5086</v>
      </c>
      <c r="G2517">
        <v>1725</v>
      </c>
      <c r="H2517">
        <v>2</v>
      </c>
      <c r="I2517" t="s">
        <v>98</v>
      </c>
      <c r="J2517">
        <v>0</v>
      </c>
      <c r="K2517">
        <v>1</v>
      </c>
      <c r="L2517">
        <v>5</v>
      </c>
      <c r="M2517">
        <v>198</v>
      </c>
      <c r="N2517">
        <v>465</v>
      </c>
      <c r="O2517">
        <v>6</v>
      </c>
      <c r="P2517">
        <v>469</v>
      </c>
      <c r="Q2517">
        <v>30</v>
      </c>
      <c r="R2517">
        <v>39</v>
      </c>
      <c r="S2517">
        <v>182</v>
      </c>
      <c r="T2517">
        <v>4</v>
      </c>
      <c r="U2517">
        <v>12</v>
      </c>
      <c r="V2517">
        <v>17</v>
      </c>
      <c r="W2517">
        <v>6</v>
      </c>
      <c r="X2517">
        <v>0</v>
      </c>
      <c r="Y2517">
        <v>159</v>
      </c>
      <c r="Z2517">
        <v>2</v>
      </c>
      <c r="AA2517">
        <v>0</v>
      </c>
      <c r="AB2517">
        <v>2</v>
      </c>
      <c r="AC2517">
        <v>1</v>
      </c>
      <c r="AD2517">
        <v>0</v>
      </c>
      <c r="AE2517">
        <v>0</v>
      </c>
      <c r="AF2517">
        <v>0</v>
      </c>
      <c r="AK2517">
        <v>2</v>
      </c>
      <c r="AL2517">
        <v>2</v>
      </c>
      <c r="AM2517">
        <v>1</v>
      </c>
      <c r="AN2517">
        <v>0</v>
      </c>
      <c r="BC2517">
        <v>0</v>
      </c>
      <c r="BD2517">
        <v>11</v>
      </c>
      <c r="BE2517">
        <v>469</v>
      </c>
      <c r="BF2517">
        <v>470</v>
      </c>
      <c r="BG2517">
        <v>640</v>
      </c>
      <c r="BJ2517">
        <v>1</v>
      </c>
      <c r="BL2517" t="s">
        <v>5231</v>
      </c>
      <c r="BM2517" s="4">
        <v>43283.031909722224</v>
      </c>
      <c r="BN2517" s="4">
        <v>43283.035277777781</v>
      </c>
      <c r="BO2517" s="4">
        <v>43283.035277777781</v>
      </c>
      <c r="BP2517" t="s">
        <v>339</v>
      </c>
      <c r="BQ2517" t="s">
        <v>340</v>
      </c>
      <c r="BR2517" t="s">
        <v>94</v>
      </c>
    </row>
    <row r="2518" spans="1:70" x14ac:dyDescent="0.3">
      <c r="A2518" t="str">
        <f>"201725C0300"</f>
        <v>201725C0300</v>
      </c>
      <c r="B2518" t="s">
        <v>5232</v>
      </c>
      <c r="C2518">
        <v>20</v>
      </c>
      <c r="D2518" t="s">
        <v>88</v>
      </c>
      <c r="E2518">
        <v>386</v>
      </c>
      <c r="F2518" t="s">
        <v>5086</v>
      </c>
      <c r="G2518">
        <v>1725</v>
      </c>
      <c r="H2518">
        <v>3</v>
      </c>
      <c r="I2518" t="s">
        <v>98</v>
      </c>
      <c r="J2518">
        <v>0</v>
      </c>
      <c r="K2518">
        <v>1</v>
      </c>
      <c r="L2518">
        <v>5</v>
      </c>
      <c r="M2518">
        <v>215</v>
      </c>
      <c r="N2518">
        <v>446</v>
      </c>
      <c r="O2518">
        <v>4</v>
      </c>
      <c r="P2518">
        <v>443</v>
      </c>
      <c r="Q2518">
        <v>31</v>
      </c>
      <c r="R2518">
        <v>46</v>
      </c>
      <c r="S2518">
        <v>198</v>
      </c>
      <c r="T2518">
        <v>6</v>
      </c>
      <c r="U2518">
        <v>8</v>
      </c>
      <c r="V2518">
        <v>9</v>
      </c>
      <c r="W2518">
        <v>3</v>
      </c>
      <c r="X2518">
        <v>0</v>
      </c>
      <c r="Y2518">
        <v>113</v>
      </c>
      <c r="Z2518">
        <v>7</v>
      </c>
      <c r="AA2518">
        <v>2</v>
      </c>
      <c r="AB2518">
        <v>2</v>
      </c>
      <c r="AC2518">
        <v>4</v>
      </c>
      <c r="AD2518">
        <v>2</v>
      </c>
      <c r="AE2518">
        <v>0</v>
      </c>
      <c r="AF2518">
        <v>1</v>
      </c>
      <c r="AK2518">
        <v>0</v>
      </c>
      <c r="AL2518">
        <v>1</v>
      </c>
      <c r="AM2518">
        <v>0</v>
      </c>
      <c r="AN2518">
        <v>3</v>
      </c>
      <c r="BC2518">
        <v>0</v>
      </c>
      <c r="BD2518">
        <v>7</v>
      </c>
      <c r="BE2518">
        <v>443</v>
      </c>
      <c r="BF2518">
        <v>443</v>
      </c>
      <c r="BG2518">
        <v>640</v>
      </c>
      <c r="BJ2518">
        <v>1</v>
      </c>
      <c r="BL2518" t="s">
        <v>5233</v>
      </c>
      <c r="BM2518" s="4">
        <v>43282.977662037039</v>
      </c>
      <c r="BN2518" s="4">
        <v>43282.980636574073</v>
      </c>
      <c r="BO2518" s="4">
        <v>43282.980636574073</v>
      </c>
      <c r="BP2518" t="s">
        <v>339</v>
      </c>
      <c r="BQ2518" t="s">
        <v>340</v>
      </c>
      <c r="BR2518" t="s">
        <v>94</v>
      </c>
    </row>
    <row r="2519" spans="1:70" x14ac:dyDescent="0.3">
      <c r="A2519" t="str">
        <f>"201725C0400"</f>
        <v>201725C0400</v>
      </c>
      <c r="B2519" t="s">
        <v>5234</v>
      </c>
      <c r="C2519">
        <v>20</v>
      </c>
      <c r="D2519" t="s">
        <v>88</v>
      </c>
      <c r="E2519">
        <v>386</v>
      </c>
      <c r="F2519" t="s">
        <v>5086</v>
      </c>
      <c r="G2519">
        <v>1725</v>
      </c>
      <c r="H2519">
        <v>4</v>
      </c>
      <c r="I2519" t="s">
        <v>98</v>
      </c>
      <c r="J2519">
        <v>0</v>
      </c>
      <c r="K2519">
        <v>1</v>
      </c>
      <c r="L2519">
        <v>5</v>
      </c>
      <c r="M2519">
        <v>188</v>
      </c>
      <c r="N2519">
        <v>474</v>
      </c>
      <c r="O2519">
        <v>4</v>
      </c>
      <c r="P2519">
        <v>472</v>
      </c>
      <c r="Q2519">
        <v>37</v>
      </c>
      <c r="R2519">
        <v>59</v>
      </c>
      <c r="S2519">
        <v>203</v>
      </c>
      <c r="T2519">
        <v>4</v>
      </c>
      <c r="U2519">
        <v>7</v>
      </c>
      <c r="V2519">
        <v>10</v>
      </c>
      <c r="W2519">
        <v>3</v>
      </c>
      <c r="X2519">
        <v>3</v>
      </c>
      <c r="Y2519">
        <v>116</v>
      </c>
      <c r="Z2519">
        <v>5</v>
      </c>
      <c r="AA2519">
        <v>2</v>
      </c>
      <c r="AB2519">
        <v>4</v>
      </c>
      <c r="AC2519">
        <v>0</v>
      </c>
      <c r="AD2519">
        <v>0</v>
      </c>
      <c r="AE2519">
        <v>0</v>
      </c>
      <c r="AF2519">
        <v>2</v>
      </c>
      <c r="AK2519">
        <v>5</v>
      </c>
      <c r="AL2519">
        <v>0</v>
      </c>
      <c r="AM2519">
        <v>0</v>
      </c>
      <c r="AN2519">
        <v>0</v>
      </c>
      <c r="BC2519">
        <v>0</v>
      </c>
      <c r="BD2519">
        <v>12</v>
      </c>
      <c r="BE2519">
        <v>472</v>
      </c>
      <c r="BF2519">
        <v>472</v>
      </c>
      <c r="BG2519">
        <v>639</v>
      </c>
      <c r="BJ2519">
        <v>1</v>
      </c>
      <c r="BL2519" t="s">
        <v>5235</v>
      </c>
      <c r="BM2519" s="4">
        <v>43282.950844907406</v>
      </c>
      <c r="BN2519" s="4">
        <v>43282.956180555557</v>
      </c>
      <c r="BO2519" s="4">
        <v>43282.956180555557</v>
      </c>
      <c r="BP2519" t="s">
        <v>339</v>
      </c>
      <c r="BQ2519" t="s">
        <v>340</v>
      </c>
      <c r="BR2519" t="s">
        <v>94</v>
      </c>
    </row>
    <row r="2520" spans="1:70" x14ac:dyDescent="0.3">
      <c r="A2520" t="str">
        <f>"201726B0100"</f>
        <v>201726B0100</v>
      </c>
      <c r="B2520" t="s">
        <v>5236</v>
      </c>
      <c r="C2520">
        <v>20</v>
      </c>
      <c r="D2520" t="s">
        <v>88</v>
      </c>
      <c r="E2520">
        <v>386</v>
      </c>
      <c r="F2520" t="s">
        <v>5086</v>
      </c>
      <c r="G2520">
        <v>1726</v>
      </c>
      <c r="H2520">
        <v>1</v>
      </c>
      <c r="I2520" t="s">
        <v>90</v>
      </c>
      <c r="J2520">
        <v>0</v>
      </c>
      <c r="K2520">
        <v>2</v>
      </c>
      <c r="L2520">
        <v>5</v>
      </c>
      <c r="M2520">
        <v>225</v>
      </c>
      <c r="N2520">
        <v>467</v>
      </c>
      <c r="O2520">
        <v>1</v>
      </c>
      <c r="P2520">
        <v>452</v>
      </c>
      <c r="Q2520">
        <v>33</v>
      </c>
      <c r="R2520">
        <v>55</v>
      </c>
      <c r="S2520">
        <v>148</v>
      </c>
      <c r="T2520">
        <v>10</v>
      </c>
      <c r="U2520">
        <v>8</v>
      </c>
      <c r="V2520">
        <v>19</v>
      </c>
      <c r="W2520">
        <v>6</v>
      </c>
      <c r="X2520">
        <v>3</v>
      </c>
      <c r="Y2520">
        <v>142</v>
      </c>
      <c r="Z2520">
        <v>1</v>
      </c>
      <c r="AA2520">
        <v>2</v>
      </c>
      <c r="AB2520">
        <v>3</v>
      </c>
      <c r="AC2520">
        <v>1</v>
      </c>
      <c r="AD2520">
        <v>5</v>
      </c>
      <c r="AE2520">
        <v>0</v>
      </c>
      <c r="AF2520">
        <v>0</v>
      </c>
      <c r="AK2520">
        <v>4</v>
      </c>
      <c r="AL2520">
        <v>2</v>
      </c>
      <c r="AM2520">
        <v>0</v>
      </c>
      <c r="AN2520">
        <v>1</v>
      </c>
      <c r="BC2520">
        <v>0</v>
      </c>
      <c r="BD2520">
        <v>9</v>
      </c>
      <c r="BE2520">
        <v>452</v>
      </c>
      <c r="BF2520">
        <v>452</v>
      </c>
      <c r="BG2520">
        <v>670</v>
      </c>
      <c r="BJ2520">
        <v>1</v>
      </c>
      <c r="BL2520" t="s">
        <v>5237</v>
      </c>
      <c r="BM2520" s="4">
        <v>43283.168749999997</v>
      </c>
      <c r="BN2520" s="4">
        <v>43283.183171296296</v>
      </c>
      <c r="BO2520" s="4">
        <v>43283.183171296296</v>
      </c>
      <c r="BP2520" t="s">
        <v>92</v>
      </c>
      <c r="BQ2520" t="s">
        <v>93</v>
      </c>
      <c r="BR2520" t="s">
        <v>94</v>
      </c>
    </row>
    <row r="2521" spans="1:70" x14ac:dyDescent="0.3">
      <c r="A2521" t="str">
        <f>"201726C0100"</f>
        <v>201726C0100</v>
      </c>
      <c r="B2521" t="s">
        <v>5238</v>
      </c>
      <c r="C2521">
        <v>20</v>
      </c>
      <c r="D2521" t="s">
        <v>88</v>
      </c>
      <c r="E2521">
        <v>386</v>
      </c>
      <c r="F2521" t="s">
        <v>5086</v>
      </c>
      <c r="G2521">
        <v>1726</v>
      </c>
      <c r="H2521">
        <v>1</v>
      </c>
      <c r="I2521" t="s">
        <v>98</v>
      </c>
      <c r="J2521">
        <v>0</v>
      </c>
      <c r="K2521">
        <v>2</v>
      </c>
      <c r="L2521">
        <v>5</v>
      </c>
      <c r="M2521">
        <v>220</v>
      </c>
      <c r="N2521">
        <v>472</v>
      </c>
      <c r="O2521">
        <v>4</v>
      </c>
      <c r="P2521">
        <v>458</v>
      </c>
      <c r="Q2521">
        <v>53</v>
      </c>
      <c r="R2521">
        <v>41</v>
      </c>
      <c r="S2521">
        <v>156</v>
      </c>
      <c r="T2521">
        <v>15</v>
      </c>
      <c r="U2521">
        <v>9</v>
      </c>
      <c r="V2521">
        <v>7</v>
      </c>
      <c r="W2521">
        <v>1</v>
      </c>
      <c r="X2521">
        <v>2</v>
      </c>
      <c r="Y2521">
        <v>144</v>
      </c>
      <c r="Z2521">
        <v>4</v>
      </c>
      <c r="AA2521">
        <v>2</v>
      </c>
      <c r="AB2521">
        <v>3</v>
      </c>
      <c r="AC2521">
        <v>1</v>
      </c>
      <c r="AD2521">
        <v>2</v>
      </c>
      <c r="AE2521">
        <v>0</v>
      </c>
      <c r="AF2521">
        <v>1</v>
      </c>
      <c r="AK2521">
        <v>4</v>
      </c>
      <c r="AL2521">
        <v>0</v>
      </c>
      <c r="AM2521">
        <v>0</v>
      </c>
      <c r="AN2521">
        <v>0</v>
      </c>
      <c r="BC2521">
        <v>0</v>
      </c>
      <c r="BD2521">
        <v>13</v>
      </c>
      <c r="BE2521">
        <v>458</v>
      </c>
      <c r="BF2521">
        <v>458</v>
      </c>
      <c r="BG2521">
        <v>670</v>
      </c>
      <c r="BJ2521">
        <v>1</v>
      </c>
      <c r="BL2521" t="s">
        <v>5239</v>
      </c>
      <c r="BM2521" s="4">
        <v>43283.167361111111</v>
      </c>
      <c r="BN2521" s="4">
        <v>43283.18037037037</v>
      </c>
      <c r="BO2521" s="4">
        <v>43283.18037037037</v>
      </c>
      <c r="BP2521" t="s">
        <v>92</v>
      </c>
      <c r="BQ2521" t="s">
        <v>93</v>
      </c>
      <c r="BR2521" t="s">
        <v>94</v>
      </c>
    </row>
    <row r="2522" spans="1:70" x14ac:dyDescent="0.3">
      <c r="A2522" t="str">
        <f>"201726C0200"</f>
        <v>201726C0200</v>
      </c>
      <c r="B2522" t="s">
        <v>5240</v>
      </c>
      <c r="C2522">
        <v>20</v>
      </c>
      <c r="D2522" t="s">
        <v>88</v>
      </c>
      <c r="E2522">
        <v>386</v>
      </c>
      <c r="F2522" t="s">
        <v>5086</v>
      </c>
      <c r="G2522">
        <v>1726</v>
      </c>
      <c r="H2522">
        <v>2</v>
      </c>
      <c r="I2522" t="s">
        <v>98</v>
      </c>
      <c r="J2522">
        <v>0</v>
      </c>
      <c r="K2522">
        <v>2</v>
      </c>
      <c r="L2522">
        <v>5</v>
      </c>
      <c r="M2522">
        <v>224</v>
      </c>
      <c r="N2522">
        <v>468</v>
      </c>
      <c r="O2522">
        <v>3</v>
      </c>
      <c r="P2522">
        <v>492</v>
      </c>
      <c r="Q2522">
        <v>47</v>
      </c>
      <c r="R2522">
        <v>39</v>
      </c>
      <c r="S2522">
        <v>180</v>
      </c>
      <c r="T2522">
        <v>16</v>
      </c>
      <c r="U2522">
        <v>9</v>
      </c>
      <c r="V2522">
        <v>18</v>
      </c>
      <c r="W2522">
        <v>0</v>
      </c>
      <c r="X2522">
        <v>0</v>
      </c>
      <c r="Y2522">
        <v>141</v>
      </c>
      <c r="Z2522">
        <v>7</v>
      </c>
      <c r="AA2522">
        <v>2</v>
      </c>
      <c r="AB2522">
        <v>8</v>
      </c>
      <c r="AC2522">
        <v>3</v>
      </c>
      <c r="AD2522">
        <v>1</v>
      </c>
      <c r="AE2522">
        <v>0</v>
      </c>
      <c r="AF2522">
        <v>0</v>
      </c>
      <c r="AK2522">
        <v>2</v>
      </c>
      <c r="AL2522">
        <v>5</v>
      </c>
      <c r="AM2522">
        <v>0</v>
      </c>
      <c r="AN2522">
        <v>2</v>
      </c>
      <c r="BC2522">
        <v>0</v>
      </c>
      <c r="BD2522">
        <v>12</v>
      </c>
      <c r="BE2522">
        <v>492</v>
      </c>
      <c r="BF2522">
        <v>492</v>
      </c>
      <c r="BG2522">
        <v>670</v>
      </c>
      <c r="BJ2522">
        <v>1</v>
      </c>
      <c r="BL2522" t="s">
        <v>5241</v>
      </c>
      <c r="BM2522" s="4">
        <v>43283.145833333336</v>
      </c>
      <c r="BN2522" s="4">
        <v>43283.192349537036</v>
      </c>
      <c r="BO2522" s="4">
        <v>43283.192349537036</v>
      </c>
      <c r="BP2522" t="s">
        <v>92</v>
      </c>
      <c r="BQ2522" t="s">
        <v>93</v>
      </c>
      <c r="BR2522" t="s">
        <v>94</v>
      </c>
    </row>
    <row r="2523" spans="1:70" x14ac:dyDescent="0.3">
      <c r="A2523" t="str">
        <f>"201726C0300"</f>
        <v>201726C0300</v>
      </c>
      <c r="B2523" t="s">
        <v>5242</v>
      </c>
      <c r="C2523">
        <v>20</v>
      </c>
      <c r="D2523" t="s">
        <v>88</v>
      </c>
      <c r="E2523">
        <v>386</v>
      </c>
      <c r="F2523" t="s">
        <v>5086</v>
      </c>
      <c r="G2523">
        <v>1726</v>
      </c>
      <c r="H2523">
        <v>3</v>
      </c>
      <c r="I2523" t="s">
        <v>98</v>
      </c>
      <c r="J2523">
        <v>0</v>
      </c>
      <c r="K2523">
        <v>2</v>
      </c>
      <c r="L2523">
        <v>5</v>
      </c>
      <c r="M2523">
        <v>208</v>
      </c>
      <c r="N2523">
        <v>485</v>
      </c>
      <c r="O2523">
        <v>6</v>
      </c>
      <c r="P2523">
        <v>439</v>
      </c>
      <c r="Q2523">
        <v>29</v>
      </c>
      <c r="R2523">
        <v>35</v>
      </c>
      <c r="S2523">
        <v>158</v>
      </c>
      <c r="T2523">
        <v>7</v>
      </c>
      <c r="U2523">
        <v>6</v>
      </c>
      <c r="V2523">
        <v>11</v>
      </c>
      <c r="W2523">
        <v>1</v>
      </c>
      <c r="X2523">
        <v>1</v>
      </c>
      <c r="Y2523">
        <v>163</v>
      </c>
      <c r="Z2523">
        <v>1</v>
      </c>
      <c r="AA2523">
        <v>2</v>
      </c>
      <c r="AB2523">
        <v>4</v>
      </c>
      <c r="AC2523">
        <v>5</v>
      </c>
      <c r="AD2523" t="s">
        <v>105</v>
      </c>
      <c r="AE2523" t="s">
        <v>105</v>
      </c>
      <c r="AF2523" t="s">
        <v>105</v>
      </c>
      <c r="AK2523" t="s">
        <v>105</v>
      </c>
      <c r="AL2523">
        <v>1</v>
      </c>
      <c r="AM2523" t="s">
        <v>105</v>
      </c>
      <c r="AN2523" t="s">
        <v>105</v>
      </c>
      <c r="BC2523" t="s">
        <v>105</v>
      </c>
      <c r="BD2523" t="s">
        <v>105</v>
      </c>
      <c r="BE2523">
        <v>424</v>
      </c>
      <c r="BF2523">
        <v>424</v>
      </c>
      <c r="BG2523">
        <v>670</v>
      </c>
      <c r="BI2523" t="s">
        <v>106</v>
      </c>
      <c r="BJ2523">
        <v>1</v>
      </c>
      <c r="BL2523" t="s">
        <v>5243</v>
      </c>
      <c r="BM2523" s="4">
        <v>43283.177083333336</v>
      </c>
      <c r="BN2523" s="4">
        <v>43283.19740740741</v>
      </c>
      <c r="BO2523" s="4">
        <v>43283.19740740741</v>
      </c>
      <c r="BP2523" t="s">
        <v>92</v>
      </c>
      <c r="BQ2523" t="s">
        <v>93</v>
      </c>
      <c r="BR2523" t="s">
        <v>94</v>
      </c>
    </row>
    <row r="2524" spans="1:70" x14ac:dyDescent="0.3">
      <c r="A2524" t="str">
        <f>"201726C0400"</f>
        <v>201726C0400</v>
      </c>
      <c r="B2524" t="s">
        <v>5244</v>
      </c>
      <c r="C2524">
        <v>20</v>
      </c>
      <c r="D2524" t="s">
        <v>88</v>
      </c>
      <c r="E2524">
        <v>386</v>
      </c>
      <c r="F2524" t="s">
        <v>5086</v>
      </c>
      <c r="G2524">
        <v>1726</v>
      </c>
      <c r="H2524">
        <v>4</v>
      </c>
      <c r="I2524" t="s">
        <v>98</v>
      </c>
      <c r="J2524">
        <v>0</v>
      </c>
      <c r="K2524">
        <v>2</v>
      </c>
      <c r="L2524">
        <v>5</v>
      </c>
      <c r="M2524">
        <v>218</v>
      </c>
      <c r="N2524">
        <v>473</v>
      </c>
      <c r="O2524">
        <v>4</v>
      </c>
      <c r="P2524">
        <v>479</v>
      </c>
      <c r="Q2524">
        <v>31</v>
      </c>
      <c r="R2524">
        <v>34</v>
      </c>
      <c r="S2524">
        <v>186</v>
      </c>
      <c r="T2524">
        <v>11</v>
      </c>
      <c r="U2524">
        <v>12</v>
      </c>
      <c r="V2524">
        <v>8</v>
      </c>
      <c r="W2524">
        <v>3</v>
      </c>
      <c r="X2524">
        <v>2</v>
      </c>
      <c r="Y2524">
        <v>151</v>
      </c>
      <c r="Z2524">
        <v>2</v>
      </c>
      <c r="AA2524">
        <v>7</v>
      </c>
      <c r="AB2524">
        <v>2</v>
      </c>
      <c r="AC2524">
        <v>3</v>
      </c>
      <c r="AD2524">
        <v>2</v>
      </c>
      <c r="AE2524">
        <v>0</v>
      </c>
      <c r="AF2524">
        <v>1</v>
      </c>
      <c r="AK2524">
        <v>4</v>
      </c>
      <c r="AL2524">
        <v>0</v>
      </c>
      <c r="AM2524">
        <v>0</v>
      </c>
      <c r="AN2524">
        <v>2</v>
      </c>
      <c r="BC2524">
        <v>0</v>
      </c>
      <c r="BD2524">
        <v>18</v>
      </c>
      <c r="BE2524">
        <v>479</v>
      </c>
      <c r="BF2524">
        <v>479</v>
      </c>
      <c r="BG2524">
        <v>670</v>
      </c>
      <c r="BJ2524">
        <v>1</v>
      </c>
      <c r="BL2524" t="s">
        <v>5245</v>
      </c>
      <c r="BM2524" s="4">
        <v>43283.177777777775</v>
      </c>
      <c r="BN2524" s="4">
        <v>43283.195787037039</v>
      </c>
      <c r="BO2524" s="4">
        <v>43283.195787037039</v>
      </c>
      <c r="BP2524" t="s">
        <v>92</v>
      </c>
      <c r="BQ2524" t="s">
        <v>93</v>
      </c>
      <c r="BR2524" t="s">
        <v>94</v>
      </c>
    </row>
    <row r="2525" spans="1:70" x14ac:dyDescent="0.3">
      <c r="A2525" t="str">
        <f>"201726C0500"</f>
        <v>201726C0500</v>
      </c>
      <c r="B2525" t="s">
        <v>5246</v>
      </c>
      <c r="C2525">
        <v>20</v>
      </c>
      <c r="D2525" t="s">
        <v>88</v>
      </c>
      <c r="E2525">
        <v>386</v>
      </c>
      <c r="F2525" t="s">
        <v>5086</v>
      </c>
      <c r="G2525">
        <v>1726</v>
      </c>
      <c r="H2525">
        <v>5</v>
      </c>
      <c r="I2525" t="s">
        <v>98</v>
      </c>
      <c r="J2525">
        <v>0</v>
      </c>
      <c r="K2525">
        <v>2</v>
      </c>
      <c r="L2525">
        <v>5</v>
      </c>
      <c r="M2525">
        <v>221</v>
      </c>
      <c r="N2525">
        <v>472</v>
      </c>
      <c r="O2525">
        <v>2</v>
      </c>
      <c r="P2525" t="s">
        <v>127</v>
      </c>
      <c r="Q2525">
        <v>30</v>
      </c>
      <c r="R2525">
        <v>59</v>
      </c>
      <c r="S2525">
        <v>165</v>
      </c>
      <c r="T2525">
        <v>17</v>
      </c>
      <c r="U2525">
        <v>10</v>
      </c>
      <c r="V2525">
        <v>9</v>
      </c>
      <c r="W2525">
        <v>1</v>
      </c>
      <c r="X2525">
        <v>3</v>
      </c>
      <c r="Y2525">
        <v>149</v>
      </c>
      <c r="Z2525">
        <v>2</v>
      </c>
      <c r="AA2525">
        <v>2</v>
      </c>
      <c r="AB2525">
        <v>3</v>
      </c>
      <c r="AC2525">
        <v>4</v>
      </c>
      <c r="AD2525">
        <v>3</v>
      </c>
      <c r="AE2525">
        <v>0</v>
      </c>
      <c r="AF2525">
        <v>2</v>
      </c>
      <c r="AK2525">
        <v>1</v>
      </c>
      <c r="AL2525">
        <v>1</v>
      </c>
      <c r="AM2525">
        <v>0</v>
      </c>
      <c r="AN2525">
        <v>0</v>
      </c>
      <c r="BC2525">
        <v>0</v>
      </c>
      <c r="BD2525">
        <v>7</v>
      </c>
      <c r="BE2525">
        <v>468</v>
      </c>
      <c r="BF2525">
        <v>468</v>
      </c>
      <c r="BG2525">
        <v>670</v>
      </c>
      <c r="BJ2525">
        <v>1</v>
      </c>
      <c r="BL2525" t="s">
        <v>5247</v>
      </c>
      <c r="BM2525" s="4">
        <v>43283.178472222222</v>
      </c>
      <c r="BN2525" s="4">
        <v>43283.196157407408</v>
      </c>
      <c r="BO2525" s="4">
        <v>43283.196157407408</v>
      </c>
      <c r="BP2525" t="s">
        <v>92</v>
      </c>
      <c r="BQ2525" t="s">
        <v>93</v>
      </c>
      <c r="BR2525" t="s">
        <v>94</v>
      </c>
    </row>
    <row r="2526" spans="1:70" x14ac:dyDescent="0.3">
      <c r="A2526" t="str">
        <f>"201726E0100"</f>
        <v>201726E0100</v>
      </c>
      <c r="B2526" s="2" t="s">
        <v>5248</v>
      </c>
      <c r="C2526">
        <v>20</v>
      </c>
      <c r="D2526" t="s">
        <v>88</v>
      </c>
      <c r="E2526">
        <v>386</v>
      </c>
      <c r="F2526" t="s">
        <v>5086</v>
      </c>
      <c r="G2526">
        <v>1726</v>
      </c>
      <c r="H2526">
        <v>1</v>
      </c>
      <c r="I2526" t="s">
        <v>156</v>
      </c>
      <c r="J2526">
        <v>0</v>
      </c>
      <c r="K2526">
        <v>2</v>
      </c>
      <c r="L2526">
        <v>5</v>
      </c>
      <c r="M2526">
        <v>202</v>
      </c>
      <c r="N2526">
        <v>358</v>
      </c>
      <c r="O2526">
        <v>9</v>
      </c>
      <c r="P2526">
        <v>359</v>
      </c>
      <c r="Q2526">
        <v>20</v>
      </c>
      <c r="R2526">
        <v>16</v>
      </c>
      <c r="S2526">
        <v>151</v>
      </c>
      <c r="T2526">
        <v>5</v>
      </c>
      <c r="U2526">
        <v>9</v>
      </c>
      <c r="V2526">
        <v>8</v>
      </c>
      <c r="W2526">
        <v>0</v>
      </c>
      <c r="X2526">
        <v>3</v>
      </c>
      <c r="Y2526">
        <v>113</v>
      </c>
      <c r="Z2526">
        <v>3</v>
      </c>
      <c r="AA2526">
        <v>3</v>
      </c>
      <c r="AB2526">
        <v>0</v>
      </c>
      <c r="AC2526">
        <v>5</v>
      </c>
      <c r="AD2526">
        <v>3</v>
      </c>
      <c r="AE2526">
        <v>0</v>
      </c>
      <c r="AF2526">
        <v>0</v>
      </c>
      <c r="AK2526">
        <v>6</v>
      </c>
      <c r="AL2526">
        <v>2</v>
      </c>
      <c r="AM2526">
        <v>1</v>
      </c>
      <c r="AN2526">
        <v>0</v>
      </c>
      <c r="BC2526">
        <v>0</v>
      </c>
      <c r="BD2526">
        <v>11</v>
      </c>
      <c r="BE2526">
        <v>359</v>
      </c>
      <c r="BF2526">
        <v>359</v>
      </c>
      <c r="BG2526">
        <v>539</v>
      </c>
      <c r="BJ2526">
        <v>1</v>
      </c>
      <c r="BL2526" t="s">
        <v>5249</v>
      </c>
      <c r="BM2526" s="4">
        <v>43283.005590277775</v>
      </c>
      <c r="BN2526" s="4">
        <v>43283.009525462963</v>
      </c>
      <c r="BO2526" s="4">
        <v>43283.009525462963</v>
      </c>
      <c r="BP2526" t="s">
        <v>339</v>
      </c>
      <c r="BQ2526" t="s">
        <v>340</v>
      </c>
      <c r="BR2526" t="s">
        <v>94</v>
      </c>
    </row>
    <row r="2527" spans="1:70" x14ac:dyDescent="0.3">
      <c r="A2527" t="str">
        <f>"201727B0100"</f>
        <v>201727B0100</v>
      </c>
      <c r="B2527" t="s">
        <v>5250</v>
      </c>
      <c r="C2527">
        <v>20</v>
      </c>
      <c r="D2527" t="s">
        <v>88</v>
      </c>
      <c r="E2527">
        <v>386</v>
      </c>
      <c r="F2527" t="s">
        <v>5086</v>
      </c>
      <c r="G2527">
        <v>1727</v>
      </c>
      <c r="H2527">
        <v>1</v>
      </c>
      <c r="I2527" t="s">
        <v>90</v>
      </c>
      <c r="J2527">
        <v>0</v>
      </c>
      <c r="K2527">
        <v>2</v>
      </c>
      <c r="L2527">
        <v>5</v>
      </c>
      <c r="BG2527">
        <v>627</v>
      </c>
      <c r="BI2527" t="s">
        <v>122</v>
      </c>
      <c r="BJ2527">
        <v>0</v>
      </c>
      <c r="BL2527" t="s">
        <v>5251</v>
      </c>
      <c r="BM2527" s="4">
        <v>43283.665972222225</v>
      </c>
      <c r="BN2527" s="4">
        <v>43283.670104166667</v>
      </c>
      <c r="BO2527" s="4">
        <v>43283.670104166667</v>
      </c>
      <c r="BP2527" t="s">
        <v>92</v>
      </c>
      <c r="BQ2527" t="s">
        <v>93</v>
      </c>
      <c r="BR2527" t="s">
        <v>94</v>
      </c>
    </row>
    <row r="2528" spans="1:70" x14ac:dyDescent="0.3">
      <c r="A2528" t="str">
        <f>"201727C0100"</f>
        <v>201727C0100</v>
      </c>
      <c r="B2528" t="s">
        <v>5252</v>
      </c>
      <c r="C2528">
        <v>20</v>
      </c>
      <c r="D2528" t="s">
        <v>88</v>
      </c>
      <c r="E2528">
        <v>386</v>
      </c>
      <c r="F2528" t="s">
        <v>5086</v>
      </c>
      <c r="G2528">
        <v>1727</v>
      </c>
      <c r="H2528">
        <v>1</v>
      </c>
      <c r="I2528" t="s">
        <v>98</v>
      </c>
      <c r="J2528">
        <v>0</v>
      </c>
      <c r="K2528">
        <v>2</v>
      </c>
      <c r="L2528">
        <v>5</v>
      </c>
      <c r="BG2528">
        <v>627</v>
      </c>
      <c r="BI2528" t="s">
        <v>122</v>
      </c>
      <c r="BJ2528">
        <v>0</v>
      </c>
      <c r="BL2528" t="s">
        <v>5253</v>
      </c>
      <c r="BM2528" s="4">
        <v>43283.666666666664</v>
      </c>
      <c r="BN2528" s="4">
        <v>43283.670312499999</v>
      </c>
      <c r="BO2528" s="4">
        <v>43283.670312499999</v>
      </c>
      <c r="BP2528" t="s">
        <v>92</v>
      </c>
      <c r="BQ2528" t="s">
        <v>93</v>
      </c>
      <c r="BR2528" t="s">
        <v>94</v>
      </c>
    </row>
    <row r="2529" spans="1:70" x14ac:dyDescent="0.3">
      <c r="A2529" t="str">
        <f>"201727C0200"</f>
        <v>201727C0200</v>
      </c>
      <c r="B2529" t="s">
        <v>5254</v>
      </c>
      <c r="C2529">
        <v>20</v>
      </c>
      <c r="D2529" t="s">
        <v>88</v>
      </c>
      <c r="E2529">
        <v>386</v>
      </c>
      <c r="F2529" t="s">
        <v>5086</v>
      </c>
      <c r="G2529">
        <v>1727</v>
      </c>
      <c r="H2529">
        <v>2</v>
      </c>
      <c r="I2529" t="s">
        <v>98</v>
      </c>
      <c r="J2529">
        <v>0</v>
      </c>
      <c r="K2529">
        <v>2</v>
      </c>
      <c r="L2529">
        <v>5</v>
      </c>
      <c r="M2529">
        <v>169</v>
      </c>
      <c r="N2529">
        <v>480</v>
      </c>
      <c r="O2529">
        <v>0</v>
      </c>
      <c r="P2529">
        <v>457</v>
      </c>
      <c r="Q2529">
        <v>31</v>
      </c>
      <c r="R2529">
        <v>78</v>
      </c>
      <c r="S2529">
        <v>223</v>
      </c>
      <c r="T2529">
        <v>8</v>
      </c>
      <c r="U2529">
        <v>3</v>
      </c>
      <c r="V2529">
        <v>7</v>
      </c>
      <c r="W2529">
        <v>3</v>
      </c>
      <c r="X2529">
        <v>2</v>
      </c>
      <c r="Y2529">
        <v>76</v>
      </c>
      <c r="Z2529">
        <v>1</v>
      </c>
      <c r="AA2529">
        <v>4</v>
      </c>
      <c r="AB2529">
        <v>1</v>
      </c>
      <c r="AC2529">
        <v>1</v>
      </c>
      <c r="AD2529">
        <v>5</v>
      </c>
      <c r="AE2529">
        <v>1</v>
      </c>
      <c r="AF2529" t="s">
        <v>105</v>
      </c>
      <c r="AK2529">
        <v>3</v>
      </c>
      <c r="AL2529" t="s">
        <v>105</v>
      </c>
      <c r="AM2529" t="s">
        <v>105</v>
      </c>
      <c r="AN2529" t="s">
        <v>105</v>
      </c>
      <c r="BC2529" t="s">
        <v>105</v>
      </c>
      <c r="BD2529">
        <v>10</v>
      </c>
      <c r="BE2529">
        <v>457</v>
      </c>
      <c r="BF2529">
        <v>457</v>
      </c>
      <c r="BG2529">
        <v>626</v>
      </c>
      <c r="BI2529" t="s">
        <v>106</v>
      </c>
      <c r="BJ2529">
        <v>1</v>
      </c>
      <c r="BL2529" t="s">
        <v>5255</v>
      </c>
      <c r="BM2529" s="4">
        <v>43283.139525462961</v>
      </c>
      <c r="BN2529" s="4">
        <v>43283.143634259257</v>
      </c>
      <c r="BO2529" s="4">
        <v>43283.143634259257</v>
      </c>
      <c r="BP2529" t="s">
        <v>339</v>
      </c>
      <c r="BQ2529" t="s">
        <v>340</v>
      </c>
      <c r="BR2529" t="s">
        <v>94</v>
      </c>
    </row>
    <row r="2530" spans="1:70" x14ac:dyDescent="0.3">
      <c r="A2530" t="str">
        <f>"201727C0300"</f>
        <v>201727C0300</v>
      </c>
      <c r="B2530" t="s">
        <v>5256</v>
      </c>
      <c r="C2530">
        <v>20</v>
      </c>
      <c r="D2530" t="s">
        <v>88</v>
      </c>
      <c r="E2530">
        <v>386</v>
      </c>
      <c r="F2530" t="s">
        <v>5086</v>
      </c>
      <c r="G2530">
        <v>1727</v>
      </c>
      <c r="H2530">
        <v>3</v>
      </c>
      <c r="I2530" t="s">
        <v>98</v>
      </c>
      <c r="J2530">
        <v>0</v>
      </c>
      <c r="K2530">
        <v>2</v>
      </c>
      <c r="L2530">
        <v>5</v>
      </c>
      <c r="BG2530">
        <v>626</v>
      </c>
      <c r="BI2530" t="s">
        <v>122</v>
      </c>
      <c r="BJ2530">
        <v>0</v>
      </c>
      <c r="BL2530" t="s">
        <v>5257</v>
      </c>
      <c r="BM2530" s="4">
        <v>43283.668055555558</v>
      </c>
      <c r="BN2530" s="4">
        <v>43283.670659722222</v>
      </c>
      <c r="BO2530" s="4">
        <v>43283.670659722222</v>
      </c>
      <c r="BP2530" t="s">
        <v>92</v>
      </c>
      <c r="BQ2530" t="s">
        <v>93</v>
      </c>
      <c r="BR2530" t="s">
        <v>94</v>
      </c>
    </row>
    <row r="2531" spans="1:70" x14ac:dyDescent="0.3">
      <c r="A2531" t="str">
        <f>"201727C0400"</f>
        <v>201727C0400</v>
      </c>
      <c r="B2531" t="s">
        <v>5258</v>
      </c>
      <c r="C2531">
        <v>20</v>
      </c>
      <c r="D2531" t="s">
        <v>88</v>
      </c>
      <c r="E2531">
        <v>386</v>
      </c>
      <c r="F2531" t="s">
        <v>5086</v>
      </c>
      <c r="G2531">
        <v>1727</v>
      </c>
      <c r="H2531">
        <v>4</v>
      </c>
      <c r="I2531" t="s">
        <v>98</v>
      </c>
      <c r="J2531">
        <v>0</v>
      </c>
      <c r="K2531">
        <v>2</v>
      </c>
      <c r="L2531">
        <v>5</v>
      </c>
      <c r="BG2531">
        <v>626</v>
      </c>
      <c r="BI2531" t="s">
        <v>122</v>
      </c>
      <c r="BJ2531">
        <v>0</v>
      </c>
      <c r="BL2531" t="s">
        <v>5259</v>
      </c>
      <c r="BM2531" s="4">
        <v>43283.668055555558</v>
      </c>
      <c r="BN2531" s="4">
        <v>43283.67082175926</v>
      </c>
      <c r="BO2531" s="4">
        <v>43283.67082175926</v>
      </c>
      <c r="BP2531" t="s">
        <v>92</v>
      </c>
      <c r="BQ2531" t="s">
        <v>93</v>
      </c>
      <c r="BR2531" t="s">
        <v>94</v>
      </c>
    </row>
    <row r="2532" spans="1:70" x14ac:dyDescent="0.3">
      <c r="A2532" t="str">
        <f>"201727C0500"</f>
        <v>201727C0500</v>
      </c>
      <c r="B2532" t="s">
        <v>5260</v>
      </c>
      <c r="C2532">
        <v>20</v>
      </c>
      <c r="D2532" t="s">
        <v>88</v>
      </c>
      <c r="E2532">
        <v>386</v>
      </c>
      <c r="F2532" t="s">
        <v>5086</v>
      </c>
      <c r="G2532">
        <v>1727</v>
      </c>
      <c r="H2532">
        <v>5</v>
      </c>
      <c r="I2532" t="s">
        <v>98</v>
      </c>
      <c r="J2532">
        <v>0</v>
      </c>
      <c r="K2532">
        <v>2</v>
      </c>
      <c r="L2532">
        <v>5</v>
      </c>
      <c r="M2532">
        <v>184</v>
      </c>
      <c r="N2532">
        <v>463</v>
      </c>
      <c r="O2532">
        <v>3</v>
      </c>
      <c r="P2532">
        <v>487</v>
      </c>
      <c r="Q2532">
        <v>19</v>
      </c>
      <c r="R2532">
        <v>95</v>
      </c>
      <c r="S2532">
        <v>232</v>
      </c>
      <c r="T2532">
        <v>11</v>
      </c>
      <c r="U2532">
        <v>9</v>
      </c>
      <c r="V2532">
        <v>8</v>
      </c>
      <c r="W2532">
        <v>1</v>
      </c>
      <c r="X2532">
        <v>4</v>
      </c>
      <c r="Y2532">
        <v>86</v>
      </c>
      <c r="Z2532">
        <v>0</v>
      </c>
      <c r="AA2532">
        <v>0</v>
      </c>
      <c r="AB2532">
        <v>1</v>
      </c>
      <c r="AC2532">
        <v>0</v>
      </c>
      <c r="AD2532">
        <v>1</v>
      </c>
      <c r="AE2532">
        <v>0</v>
      </c>
      <c r="AF2532">
        <v>2</v>
      </c>
      <c r="AK2532">
        <v>0</v>
      </c>
      <c r="AL2532">
        <v>2</v>
      </c>
      <c r="AM2532">
        <v>1</v>
      </c>
      <c r="AN2532">
        <v>0</v>
      </c>
      <c r="BC2532">
        <v>0</v>
      </c>
      <c r="BD2532">
        <v>15</v>
      </c>
      <c r="BE2532">
        <v>487</v>
      </c>
      <c r="BF2532">
        <v>487</v>
      </c>
      <c r="BG2532">
        <v>626</v>
      </c>
      <c r="BJ2532">
        <v>1</v>
      </c>
      <c r="BL2532" t="s">
        <v>5261</v>
      </c>
      <c r="BM2532" s="4">
        <v>43283.151400462964</v>
      </c>
      <c r="BN2532" s="4">
        <v>43283.159398148149</v>
      </c>
      <c r="BO2532" s="4">
        <v>43283.159398148149</v>
      </c>
      <c r="BP2532" t="s">
        <v>339</v>
      </c>
      <c r="BQ2532" t="s">
        <v>340</v>
      </c>
      <c r="BR2532" t="s">
        <v>94</v>
      </c>
    </row>
    <row r="2533" spans="1:70" x14ac:dyDescent="0.3">
      <c r="A2533" t="str">
        <f>"201728B0100"</f>
        <v>201728B0100</v>
      </c>
      <c r="B2533" t="s">
        <v>5262</v>
      </c>
      <c r="C2533">
        <v>20</v>
      </c>
      <c r="D2533" t="s">
        <v>88</v>
      </c>
      <c r="E2533">
        <v>386</v>
      </c>
      <c r="F2533" t="s">
        <v>5086</v>
      </c>
      <c r="G2533">
        <v>1728</v>
      </c>
      <c r="H2533">
        <v>1</v>
      </c>
      <c r="I2533" t="s">
        <v>90</v>
      </c>
      <c r="J2533">
        <v>0</v>
      </c>
      <c r="K2533">
        <v>2</v>
      </c>
      <c r="L2533">
        <v>5</v>
      </c>
      <c r="M2533">
        <v>230</v>
      </c>
      <c r="N2533">
        <v>482</v>
      </c>
      <c r="O2533">
        <v>4</v>
      </c>
      <c r="P2533">
        <v>482</v>
      </c>
      <c r="Q2533">
        <v>39</v>
      </c>
      <c r="R2533">
        <v>43</v>
      </c>
      <c r="S2533">
        <v>171</v>
      </c>
      <c r="T2533">
        <v>9</v>
      </c>
      <c r="U2533">
        <v>8</v>
      </c>
      <c r="V2533">
        <v>15</v>
      </c>
      <c r="W2533">
        <v>6</v>
      </c>
      <c r="X2533">
        <v>2</v>
      </c>
      <c r="Y2533">
        <v>142</v>
      </c>
      <c r="Z2533">
        <v>5</v>
      </c>
      <c r="AA2533">
        <v>4</v>
      </c>
      <c r="AB2533">
        <v>3</v>
      </c>
      <c r="AC2533">
        <v>4</v>
      </c>
      <c r="AD2533">
        <v>5</v>
      </c>
      <c r="AE2533">
        <v>2</v>
      </c>
      <c r="AF2533">
        <v>2</v>
      </c>
      <c r="AK2533">
        <v>3</v>
      </c>
      <c r="AL2533">
        <v>4</v>
      </c>
      <c r="AM2533">
        <v>0</v>
      </c>
      <c r="AN2533">
        <v>1</v>
      </c>
      <c r="BC2533">
        <v>0</v>
      </c>
      <c r="BD2533">
        <v>14</v>
      </c>
      <c r="BE2533">
        <v>482</v>
      </c>
      <c r="BF2533">
        <v>482</v>
      </c>
      <c r="BG2533">
        <v>690</v>
      </c>
      <c r="BJ2533">
        <v>1</v>
      </c>
      <c r="BL2533" t="s">
        <v>5263</v>
      </c>
      <c r="BM2533" s="4">
        <v>43283.031076388892</v>
      </c>
      <c r="BN2533" s="4">
        <v>43283.034479166665</v>
      </c>
      <c r="BO2533" s="4">
        <v>43283.034479166665</v>
      </c>
      <c r="BP2533" t="s">
        <v>339</v>
      </c>
      <c r="BQ2533" t="s">
        <v>340</v>
      </c>
      <c r="BR2533" t="s">
        <v>94</v>
      </c>
    </row>
    <row r="2534" spans="1:70" x14ac:dyDescent="0.3">
      <c r="A2534" t="str">
        <f>"201728C0100"</f>
        <v>201728C0100</v>
      </c>
      <c r="B2534" t="s">
        <v>5264</v>
      </c>
      <c r="C2534">
        <v>20</v>
      </c>
      <c r="D2534" t="s">
        <v>88</v>
      </c>
      <c r="E2534">
        <v>386</v>
      </c>
      <c r="F2534" t="s">
        <v>5086</v>
      </c>
      <c r="G2534">
        <v>1728</v>
      </c>
      <c r="H2534">
        <v>1</v>
      </c>
      <c r="I2534" t="s">
        <v>98</v>
      </c>
      <c r="J2534">
        <v>0</v>
      </c>
      <c r="K2534">
        <v>2</v>
      </c>
      <c r="L2534">
        <v>5</v>
      </c>
      <c r="M2534">
        <v>233</v>
      </c>
      <c r="N2534">
        <v>479</v>
      </c>
      <c r="O2534">
        <v>15</v>
      </c>
      <c r="P2534">
        <v>480</v>
      </c>
      <c r="Q2534">
        <v>41</v>
      </c>
      <c r="R2534">
        <v>28</v>
      </c>
      <c r="S2534">
        <v>194</v>
      </c>
      <c r="T2534">
        <v>11</v>
      </c>
      <c r="U2534">
        <v>10</v>
      </c>
      <c r="V2534">
        <v>9</v>
      </c>
      <c r="W2534">
        <v>4</v>
      </c>
      <c r="X2534">
        <v>1</v>
      </c>
      <c r="Y2534">
        <v>136</v>
      </c>
      <c r="Z2534">
        <v>3</v>
      </c>
      <c r="AA2534">
        <v>5</v>
      </c>
      <c r="AB2534">
        <v>2</v>
      </c>
      <c r="AC2534">
        <v>5</v>
      </c>
      <c r="AD2534">
        <v>5</v>
      </c>
      <c r="AE2534">
        <v>0</v>
      </c>
      <c r="AF2534">
        <v>2</v>
      </c>
      <c r="AK2534">
        <v>3</v>
      </c>
      <c r="AL2534">
        <v>0</v>
      </c>
      <c r="AM2534">
        <v>0</v>
      </c>
      <c r="AN2534">
        <v>0</v>
      </c>
      <c r="BC2534">
        <v>0</v>
      </c>
      <c r="BD2534">
        <v>21</v>
      </c>
      <c r="BE2534">
        <v>480</v>
      </c>
      <c r="BF2534">
        <v>480</v>
      </c>
      <c r="BG2534">
        <v>690</v>
      </c>
      <c r="BJ2534">
        <v>1</v>
      </c>
      <c r="BL2534" t="s">
        <v>5265</v>
      </c>
      <c r="BM2534" s="4">
        <v>43283.029108796298</v>
      </c>
      <c r="BN2534" s="4">
        <v>43283.031990740739</v>
      </c>
      <c r="BO2534" s="4">
        <v>43283.031990740739</v>
      </c>
      <c r="BP2534" t="s">
        <v>339</v>
      </c>
      <c r="BQ2534" t="s">
        <v>340</v>
      </c>
      <c r="BR2534" t="s">
        <v>94</v>
      </c>
    </row>
    <row r="2535" spans="1:70" x14ac:dyDescent="0.3">
      <c r="A2535" t="str">
        <f>"201728C0200"</f>
        <v>201728C0200</v>
      </c>
      <c r="B2535" t="s">
        <v>5266</v>
      </c>
      <c r="C2535">
        <v>20</v>
      </c>
      <c r="D2535" t="s">
        <v>88</v>
      </c>
      <c r="E2535">
        <v>386</v>
      </c>
      <c r="F2535" t="s">
        <v>5086</v>
      </c>
      <c r="G2535">
        <v>1728</v>
      </c>
      <c r="H2535">
        <v>2</v>
      </c>
      <c r="I2535" t="s">
        <v>98</v>
      </c>
      <c r="J2535">
        <v>0</v>
      </c>
      <c r="K2535">
        <v>2</v>
      </c>
      <c r="L2535">
        <v>5</v>
      </c>
      <c r="M2535">
        <v>244</v>
      </c>
      <c r="N2535">
        <v>464</v>
      </c>
      <c r="O2535">
        <v>9</v>
      </c>
      <c r="P2535">
        <v>463</v>
      </c>
      <c r="Q2535">
        <v>41</v>
      </c>
      <c r="R2535">
        <v>41</v>
      </c>
      <c r="S2535">
        <v>191</v>
      </c>
      <c r="T2535">
        <v>7</v>
      </c>
      <c r="U2535">
        <v>6</v>
      </c>
      <c r="V2535">
        <v>13</v>
      </c>
      <c r="W2535">
        <v>5</v>
      </c>
      <c r="X2535">
        <v>2</v>
      </c>
      <c r="Y2535">
        <v>118</v>
      </c>
      <c r="Z2535">
        <v>2</v>
      </c>
      <c r="AA2535">
        <v>11</v>
      </c>
      <c r="AB2535">
        <v>2</v>
      </c>
      <c r="AC2535">
        <v>2</v>
      </c>
      <c r="AD2535">
        <v>2</v>
      </c>
      <c r="AE2535">
        <v>0</v>
      </c>
      <c r="AF2535">
        <v>0</v>
      </c>
      <c r="AK2535">
        <v>2</v>
      </c>
      <c r="AL2535">
        <v>0</v>
      </c>
      <c r="AM2535">
        <v>0</v>
      </c>
      <c r="AN2535">
        <v>3</v>
      </c>
      <c r="BC2535">
        <v>0</v>
      </c>
      <c r="BD2535">
        <v>15</v>
      </c>
      <c r="BE2535">
        <v>463</v>
      </c>
      <c r="BF2535">
        <v>463</v>
      </c>
      <c r="BG2535">
        <v>689</v>
      </c>
      <c r="BJ2535">
        <v>1</v>
      </c>
      <c r="BL2535" t="s">
        <v>5267</v>
      </c>
      <c r="BM2535" s="4">
        <v>43283.034687500003</v>
      </c>
      <c r="BN2535" s="4">
        <v>43283.038240740738</v>
      </c>
      <c r="BO2535" s="4">
        <v>43283.038240740738</v>
      </c>
      <c r="BP2535" t="s">
        <v>339</v>
      </c>
      <c r="BQ2535" t="s">
        <v>340</v>
      </c>
      <c r="BR2535" t="s">
        <v>94</v>
      </c>
    </row>
    <row r="2536" spans="1:70" x14ac:dyDescent="0.3">
      <c r="A2536" t="str">
        <f>"201728E0100"</f>
        <v>201728E0100</v>
      </c>
      <c r="B2536" s="2" t="s">
        <v>5268</v>
      </c>
      <c r="C2536">
        <v>20</v>
      </c>
      <c r="D2536" t="s">
        <v>88</v>
      </c>
      <c r="E2536">
        <v>386</v>
      </c>
      <c r="F2536" t="s">
        <v>5086</v>
      </c>
      <c r="G2536">
        <v>1728</v>
      </c>
      <c r="H2536">
        <v>1</v>
      </c>
      <c r="I2536" t="s">
        <v>156</v>
      </c>
      <c r="J2536">
        <v>0</v>
      </c>
      <c r="K2536">
        <v>2</v>
      </c>
      <c r="L2536">
        <v>5</v>
      </c>
      <c r="M2536">
        <v>278</v>
      </c>
      <c r="N2536">
        <v>464</v>
      </c>
      <c r="O2536">
        <v>2</v>
      </c>
      <c r="P2536">
        <v>464</v>
      </c>
      <c r="Q2536">
        <v>21</v>
      </c>
      <c r="R2536">
        <v>31</v>
      </c>
      <c r="S2536">
        <v>153</v>
      </c>
      <c r="T2536">
        <v>7</v>
      </c>
      <c r="U2536">
        <v>16</v>
      </c>
      <c r="V2536">
        <v>9</v>
      </c>
      <c r="W2536">
        <v>4</v>
      </c>
      <c r="X2536">
        <v>1</v>
      </c>
      <c r="Y2536">
        <v>174</v>
      </c>
      <c r="Z2536">
        <v>1</v>
      </c>
      <c r="AA2536">
        <v>13</v>
      </c>
      <c r="AB2536">
        <v>0</v>
      </c>
      <c r="AC2536">
        <v>3</v>
      </c>
      <c r="AD2536">
        <v>3</v>
      </c>
      <c r="AE2536" t="s">
        <v>105</v>
      </c>
      <c r="AF2536">
        <v>4</v>
      </c>
      <c r="AK2536">
        <v>3</v>
      </c>
      <c r="AL2536" t="s">
        <v>105</v>
      </c>
      <c r="AM2536" t="s">
        <v>105</v>
      </c>
      <c r="AN2536" t="s">
        <v>105</v>
      </c>
      <c r="BC2536" t="s">
        <v>105</v>
      </c>
      <c r="BD2536" t="s">
        <v>105</v>
      </c>
      <c r="BE2536">
        <v>464</v>
      </c>
      <c r="BF2536">
        <v>443</v>
      </c>
      <c r="BG2536">
        <v>722</v>
      </c>
      <c r="BI2536" t="s">
        <v>106</v>
      </c>
      <c r="BJ2536">
        <v>1</v>
      </c>
      <c r="BL2536" t="s">
        <v>5269</v>
      </c>
      <c r="BM2536" s="4">
        <v>43282.948923611111</v>
      </c>
      <c r="BN2536" s="4">
        <v>43282.953055555554</v>
      </c>
      <c r="BO2536" s="4">
        <v>43282.953055555554</v>
      </c>
      <c r="BP2536" t="s">
        <v>339</v>
      </c>
      <c r="BQ2536" t="s">
        <v>340</v>
      </c>
      <c r="BR2536" t="s">
        <v>94</v>
      </c>
    </row>
    <row r="2537" spans="1:70" x14ac:dyDescent="0.3">
      <c r="A2537" t="str">
        <f>"201728E0101"</f>
        <v>201728E0101</v>
      </c>
      <c r="B2537" s="2" t="s">
        <v>5270</v>
      </c>
      <c r="C2537">
        <v>20</v>
      </c>
      <c r="D2537" t="s">
        <v>88</v>
      </c>
      <c r="E2537">
        <v>386</v>
      </c>
      <c r="F2537" t="s">
        <v>5086</v>
      </c>
      <c r="G2537">
        <v>1728</v>
      </c>
      <c r="H2537">
        <v>1</v>
      </c>
      <c r="I2537" t="s">
        <v>156</v>
      </c>
      <c r="J2537">
        <v>1</v>
      </c>
      <c r="K2537">
        <v>2</v>
      </c>
      <c r="L2537">
        <v>5</v>
      </c>
      <c r="M2537">
        <v>282</v>
      </c>
      <c r="N2537">
        <v>456</v>
      </c>
      <c r="O2537">
        <v>3</v>
      </c>
      <c r="P2537" t="s">
        <v>105</v>
      </c>
      <c r="Q2537">
        <v>14</v>
      </c>
      <c r="R2537">
        <v>37</v>
      </c>
      <c r="S2537">
        <v>145</v>
      </c>
      <c r="T2537">
        <v>7</v>
      </c>
      <c r="U2537">
        <v>13</v>
      </c>
      <c r="V2537">
        <v>10</v>
      </c>
      <c r="W2537">
        <v>5</v>
      </c>
      <c r="X2537">
        <v>2</v>
      </c>
      <c r="Y2537">
        <v>174</v>
      </c>
      <c r="Z2537">
        <v>7</v>
      </c>
      <c r="AA2537">
        <v>5</v>
      </c>
      <c r="AB2537">
        <v>2</v>
      </c>
      <c r="AC2537">
        <v>2</v>
      </c>
      <c r="AD2537">
        <v>1</v>
      </c>
      <c r="AE2537">
        <v>2</v>
      </c>
      <c r="AF2537" t="s">
        <v>105</v>
      </c>
      <c r="AK2537">
        <v>2</v>
      </c>
      <c r="AL2537">
        <v>1</v>
      </c>
      <c r="AM2537" t="s">
        <v>105</v>
      </c>
      <c r="AN2537" t="s">
        <v>105</v>
      </c>
      <c r="BC2537" t="s">
        <v>105</v>
      </c>
      <c r="BD2537">
        <v>13</v>
      </c>
      <c r="BE2537">
        <v>446</v>
      </c>
      <c r="BF2537">
        <v>442</v>
      </c>
      <c r="BG2537">
        <v>722</v>
      </c>
      <c r="BI2537" t="s">
        <v>106</v>
      </c>
      <c r="BJ2537">
        <v>1</v>
      </c>
      <c r="BL2537" t="s">
        <v>5271</v>
      </c>
      <c r="BM2537" s="4">
        <v>43282.947905092595</v>
      </c>
      <c r="BN2537" s="4">
        <v>43282.956053240741</v>
      </c>
      <c r="BO2537" s="4">
        <v>43282.956053240741</v>
      </c>
      <c r="BP2537" t="s">
        <v>339</v>
      </c>
      <c r="BQ2537" t="s">
        <v>340</v>
      </c>
      <c r="BR2537" t="s">
        <v>94</v>
      </c>
    </row>
    <row r="2538" spans="1:70" x14ac:dyDescent="0.3">
      <c r="A2538" t="str">
        <f>"201728E0102"</f>
        <v>201728E0102</v>
      </c>
      <c r="B2538" s="2" t="s">
        <v>5272</v>
      </c>
      <c r="C2538">
        <v>20</v>
      </c>
      <c r="D2538" t="s">
        <v>88</v>
      </c>
      <c r="E2538">
        <v>386</v>
      </c>
      <c r="F2538" t="s">
        <v>5086</v>
      </c>
      <c r="G2538">
        <v>1728</v>
      </c>
      <c r="H2538">
        <v>1</v>
      </c>
      <c r="I2538" t="s">
        <v>156</v>
      </c>
      <c r="J2538">
        <v>2</v>
      </c>
      <c r="K2538">
        <v>2</v>
      </c>
      <c r="L2538">
        <v>5</v>
      </c>
      <c r="M2538">
        <v>269</v>
      </c>
      <c r="N2538">
        <v>486</v>
      </c>
      <c r="O2538">
        <v>5</v>
      </c>
      <c r="P2538">
        <v>487</v>
      </c>
      <c r="Q2538">
        <v>25</v>
      </c>
      <c r="R2538">
        <v>35</v>
      </c>
      <c r="S2538">
        <v>168</v>
      </c>
      <c r="T2538">
        <v>7</v>
      </c>
      <c r="U2538">
        <v>15</v>
      </c>
      <c r="V2538">
        <v>14</v>
      </c>
      <c r="W2538">
        <v>2</v>
      </c>
      <c r="X2538">
        <v>2</v>
      </c>
      <c r="Y2538">
        <v>169</v>
      </c>
      <c r="Z2538">
        <v>7</v>
      </c>
      <c r="AA2538">
        <v>6</v>
      </c>
      <c r="AB2538">
        <v>0</v>
      </c>
      <c r="AC2538">
        <v>4</v>
      </c>
      <c r="AD2538">
        <v>3</v>
      </c>
      <c r="AE2538">
        <v>0</v>
      </c>
      <c r="AF2538">
        <v>0</v>
      </c>
      <c r="AK2538">
        <v>8</v>
      </c>
      <c r="AL2538">
        <v>3</v>
      </c>
      <c r="AM2538">
        <v>1</v>
      </c>
      <c r="AN2538">
        <v>4</v>
      </c>
      <c r="BC2538">
        <v>0</v>
      </c>
      <c r="BD2538">
        <v>15</v>
      </c>
      <c r="BE2538">
        <v>488</v>
      </c>
      <c r="BF2538">
        <v>488</v>
      </c>
      <c r="BG2538">
        <v>722</v>
      </c>
      <c r="BJ2538">
        <v>1</v>
      </c>
      <c r="BL2538" t="s">
        <v>5273</v>
      </c>
      <c r="BM2538" s="4">
        <v>43282.919409722221</v>
      </c>
      <c r="BN2538" s="4">
        <v>43282.923194444447</v>
      </c>
      <c r="BO2538" s="4">
        <v>43282.923194444447</v>
      </c>
      <c r="BP2538" t="s">
        <v>339</v>
      </c>
      <c r="BQ2538" t="s">
        <v>340</v>
      </c>
      <c r="BR2538" t="s">
        <v>94</v>
      </c>
    </row>
    <row r="2539" spans="1:70" x14ac:dyDescent="0.3">
      <c r="A2539" t="str">
        <f>"201728E0103"</f>
        <v>201728E0103</v>
      </c>
      <c r="B2539" s="2" t="s">
        <v>5274</v>
      </c>
      <c r="C2539">
        <v>20</v>
      </c>
      <c r="D2539" t="s">
        <v>88</v>
      </c>
      <c r="E2539">
        <v>386</v>
      </c>
      <c r="F2539" t="s">
        <v>5086</v>
      </c>
      <c r="G2539">
        <v>1728</v>
      </c>
      <c r="H2539">
        <v>1</v>
      </c>
      <c r="I2539" t="s">
        <v>156</v>
      </c>
      <c r="J2539">
        <v>3</v>
      </c>
      <c r="K2539">
        <v>2</v>
      </c>
      <c r="L2539">
        <v>5</v>
      </c>
      <c r="M2539">
        <v>266</v>
      </c>
      <c r="N2539">
        <v>459</v>
      </c>
      <c r="O2539">
        <v>4</v>
      </c>
      <c r="P2539">
        <v>472</v>
      </c>
      <c r="Q2539">
        <v>28</v>
      </c>
      <c r="R2539">
        <v>29</v>
      </c>
      <c r="S2539">
        <v>152</v>
      </c>
      <c r="T2539">
        <v>10</v>
      </c>
      <c r="U2539">
        <v>11</v>
      </c>
      <c r="V2539">
        <v>9</v>
      </c>
      <c r="W2539">
        <v>8</v>
      </c>
      <c r="X2539" t="s">
        <v>105</v>
      </c>
      <c r="Y2539">
        <v>188</v>
      </c>
      <c r="Z2539">
        <v>9</v>
      </c>
      <c r="AA2539">
        <v>4</v>
      </c>
      <c r="AB2539">
        <v>3</v>
      </c>
      <c r="AC2539">
        <v>2</v>
      </c>
      <c r="AD2539">
        <v>2</v>
      </c>
      <c r="AE2539" t="s">
        <v>105</v>
      </c>
      <c r="AF2539" t="s">
        <v>105</v>
      </c>
      <c r="AK2539">
        <v>3</v>
      </c>
      <c r="AL2539">
        <v>1</v>
      </c>
      <c r="AM2539" t="s">
        <v>105</v>
      </c>
      <c r="AN2539" t="s">
        <v>105</v>
      </c>
      <c r="BC2539" t="s">
        <v>105</v>
      </c>
      <c r="BD2539">
        <v>13</v>
      </c>
      <c r="BE2539">
        <v>472</v>
      </c>
      <c r="BF2539">
        <v>472</v>
      </c>
      <c r="BG2539">
        <v>721</v>
      </c>
      <c r="BI2539" t="s">
        <v>106</v>
      </c>
      <c r="BJ2539">
        <v>1</v>
      </c>
      <c r="BL2539" t="s">
        <v>5275</v>
      </c>
      <c r="BM2539" s="4">
        <v>43282.957835648151</v>
      </c>
      <c r="BN2539" s="4">
        <v>43282.96130787037</v>
      </c>
      <c r="BO2539" s="4">
        <v>43282.96130787037</v>
      </c>
      <c r="BP2539" t="s">
        <v>339</v>
      </c>
      <c r="BQ2539" t="s">
        <v>340</v>
      </c>
      <c r="BR2539" t="s">
        <v>94</v>
      </c>
    </row>
    <row r="2540" spans="1:70" x14ac:dyDescent="0.3">
      <c r="A2540" t="str">
        <f>"201728E0104"</f>
        <v>201728E0104</v>
      </c>
      <c r="B2540" s="2" t="s">
        <v>5276</v>
      </c>
      <c r="C2540">
        <v>20</v>
      </c>
      <c r="D2540" t="s">
        <v>88</v>
      </c>
      <c r="E2540">
        <v>386</v>
      </c>
      <c r="F2540" t="s">
        <v>5086</v>
      </c>
      <c r="G2540">
        <v>1728</v>
      </c>
      <c r="H2540">
        <v>1</v>
      </c>
      <c r="I2540" t="s">
        <v>156</v>
      </c>
      <c r="J2540">
        <v>4</v>
      </c>
      <c r="K2540">
        <v>2</v>
      </c>
      <c r="L2540">
        <v>5</v>
      </c>
      <c r="M2540">
        <v>252</v>
      </c>
      <c r="N2540">
        <v>479</v>
      </c>
      <c r="O2540">
        <v>7</v>
      </c>
      <c r="P2540">
        <v>491</v>
      </c>
      <c r="Q2540">
        <v>25</v>
      </c>
      <c r="R2540">
        <v>31</v>
      </c>
      <c r="S2540">
        <v>179</v>
      </c>
      <c r="T2540">
        <v>7</v>
      </c>
      <c r="U2540">
        <v>10</v>
      </c>
      <c r="V2540">
        <v>11</v>
      </c>
      <c r="W2540">
        <v>3</v>
      </c>
      <c r="X2540">
        <v>2</v>
      </c>
      <c r="Y2540">
        <v>173</v>
      </c>
      <c r="Z2540">
        <v>8</v>
      </c>
      <c r="AA2540">
        <v>3</v>
      </c>
      <c r="AB2540">
        <v>2</v>
      </c>
      <c r="AC2540">
        <v>3</v>
      </c>
      <c r="AD2540">
        <v>5</v>
      </c>
      <c r="AE2540">
        <v>0</v>
      </c>
      <c r="AF2540">
        <v>3</v>
      </c>
      <c r="AK2540">
        <v>7</v>
      </c>
      <c r="AL2540">
        <v>4</v>
      </c>
      <c r="AM2540">
        <v>0</v>
      </c>
      <c r="AN2540">
        <v>3</v>
      </c>
      <c r="BC2540" t="s">
        <v>105</v>
      </c>
      <c r="BD2540">
        <v>12</v>
      </c>
      <c r="BE2540">
        <v>491</v>
      </c>
      <c r="BF2540">
        <v>491</v>
      </c>
      <c r="BG2540">
        <v>721</v>
      </c>
      <c r="BI2540" t="s">
        <v>106</v>
      </c>
      <c r="BJ2540">
        <v>1</v>
      </c>
      <c r="BL2540" t="s">
        <v>5277</v>
      </c>
      <c r="BM2540" s="4">
        <v>43282.953194444446</v>
      </c>
      <c r="BN2540" s="4">
        <v>43282.956956018519</v>
      </c>
      <c r="BO2540" s="4">
        <v>43282.956956018519</v>
      </c>
      <c r="BP2540" t="s">
        <v>339</v>
      </c>
      <c r="BQ2540" t="s">
        <v>340</v>
      </c>
      <c r="BR2540" t="s">
        <v>94</v>
      </c>
    </row>
    <row r="2541" spans="1:70" x14ac:dyDescent="0.3">
      <c r="A2541" t="str">
        <f>"201729B0100"</f>
        <v>201729B0100</v>
      </c>
      <c r="B2541" t="s">
        <v>5278</v>
      </c>
      <c r="C2541">
        <v>20</v>
      </c>
      <c r="D2541" t="s">
        <v>88</v>
      </c>
      <c r="E2541">
        <v>386</v>
      </c>
      <c r="F2541" t="s">
        <v>5086</v>
      </c>
      <c r="G2541">
        <v>1729</v>
      </c>
      <c r="H2541">
        <v>1</v>
      </c>
      <c r="I2541" t="s">
        <v>90</v>
      </c>
      <c r="J2541">
        <v>0</v>
      </c>
      <c r="K2541">
        <v>2</v>
      </c>
      <c r="L2541">
        <v>5</v>
      </c>
      <c r="M2541">
        <v>208</v>
      </c>
      <c r="N2541" t="s">
        <v>127</v>
      </c>
      <c r="O2541">
        <v>13</v>
      </c>
      <c r="P2541">
        <v>523</v>
      </c>
      <c r="Q2541">
        <v>21</v>
      </c>
      <c r="R2541">
        <v>81</v>
      </c>
      <c r="S2541">
        <v>50</v>
      </c>
      <c r="T2541">
        <v>31</v>
      </c>
      <c r="U2541">
        <v>28</v>
      </c>
      <c r="V2541">
        <v>5</v>
      </c>
      <c r="W2541">
        <v>19</v>
      </c>
      <c r="X2541">
        <v>4</v>
      </c>
      <c r="Y2541">
        <v>241</v>
      </c>
      <c r="Z2541">
        <v>6</v>
      </c>
      <c r="AA2541">
        <v>3</v>
      </c>
      <c r="AB2541">
        <v>15</v>
      </c>
      <c r="AC2541">
        <v>1</v>
      </c>
      <c r="AD2541">
        <v>0</v>
      </c>
      <c r="AE2541">
        <v>3</v>
      </c>
      <c r="AF2541">
        <v>0</v>
      </c>
      <c r="AK2541">
        <v>0</v>
      </c>
      <c r="AL2541">
        <v>0</v>
      </c>
      <c r="AM2541">
        <v>8</v>
      </c>
      <c r="AN2541">
        <v>0</v>
      </c>
      <c r="BC2541">
        <v>0</v>
      </c>
      <c r="BD2541">
        <v>0</v>
      </c>
      <c r="BE2541">
        <v>523</v>
      </c>
      <c r="BF2541">
        <v>516</v>
      </c>
      <c r="BG2541">
        <v>720</v>
      </c>
      <c r="BJ2541">
        <v>1</v>
      </c>
      <c r="BL2541" t="s">
        <v>5279</v>
      </c>
      <c r="BM2541" s="4">
        <v>43283.006793981483</v>
      </c>
      <c r="BN2541" s="4">
        <v>43283.01771990741</v>
      </c>
      <c r="BO2541" s="4">
        <v>43283.01771990741</v>
      </c>
      <c r="BP2541" t="s">
        <v>339</v>
      </c>
      <c r="BQ2541" t="s">
        <v>340</v>
      </c>
      <c r="BR2541" t="s">
        <v>94</v>
      </c>
    </row>
    <row r="2542" spans="1:70" x14ac:dyDescent="0.3">
      <c r="A2542" t="str">
        <f>"201729C0100"</f>
        <v>201729C0100</v>
      </c>
      <c r="B2542" t="s">
        <v>5280</v>
      </c>
      <c r="C2542">
        <v>20</v>
      </c>
      <c r="D2542" t="s">
        <v>88</v>
      </c>
      <c r="E2542">
        <v>386</v>
      </c>
      <c r="F2542" t="s">
        <v>5086</v>
      </c>
      <c r="G2542">
        <v>1729</v>
      </c>
      <c r="H2542">
        <v>1</v>
      </c>
      <c r="I2542" t="s">
        <v>98</v>
      </c>
      <c r="J2542">
        <v>0</v>
      </c>
      <c r="K2542">
        <v>2</v>
      </c>
      <c r="L2542">
        <v>5</v>
      </c>
      <c r="M2542">
        <v>267</v>
      </c>
      <c r="N2542">
        <v>475</v>
      </c>
      <c r="O2542">
        <v>6</v>
      </c>
      <c r="P2542">
        <v>475</v>
      </c>
      <c r="Q2542">
        <v>18</v>
      </c>
      <c r="R2542">
        <v>82</v>
      </c>
      <c r="S2542">
        <v>94</v>
      </c>
      <c r="T2542">
        <v>22</v>
      </c>
      <c r="U2542">
        <v>20</v>
      </c>
      <c r="V2542">
        <v>12</v>
      </c>
      <c r="W2542">
        <v>3</v>
      </c>
      <c r="X2542">
        <v>3</v>
      </c>
      <c r="Y2542">
        <v>180</v>
      </c>
      <c r="Z2542">
        <v>7</v>
      </c>
      <c r="AA2542">
        <v>1</v>
      </c>
      <c r="AB2542">
        <v>4</v>
      </c>
      <c r="AC2542">
        <v>1</v>
      </c>
      <c r="AD2542">
        <v>1</v>
      </c>
      <c r="AE2542">
        <v>0</v>
      </c>
      <c r="AF2542">
        <v>0</v>
      </c>
      <c r="AK2542">
        <v>6</v>
      </c>
      <c r="AL2542">
        <v>1</v>
      </c>
      <c r="AM2542">
        <v>0</v>
      </c>
      <c r="AN2542">
        <v>2</v>
      </c>
      <c r="BC2542">
        <v>0</v>
      </c>
      <c r="BD2542">
        <v>18</v>
      </c>
      <c r="BE2542">
        <v>475</v>
      </c>
      <c r="BF2542">
        <v>475</v>
      </c>
      <c r="BG2542">
        <v>720</v>
      </c>
      <c r="BJ2542">
        <v>1</v>
      </c>
      <c r="BL2542" t="s">
        <v>5281</v>
      </c>
      <c r="BM2542" s="4">
        <v>43282.998831018522</v>
      </c>
      <c r="BN2542" s="4">
        <v>43283.00304398148</v>
      </c>
      <c r="BO2542" s="4">
        <v>43283.00304398148</v>
      </c>
      <c r="BP2542" t="s">
        <v>339</v>
      </c>
      <c r="BQ2542" t="s">
        <v>340</v>
      </c>
      <c r="BR2542" t="s">
        <v>94</v>
      </c>
    </row>
    <row r="2543" spans="1:70" x14ac:dyDescent="0.3">
      <c r="A2543" t="str">
        <f>"201729C0200"</f>
        <v>201729C0200</v>
      </c>
      <c r="B2543" t="s">
        <v>5282</v>
      </c>
      <c r="C2543">
        <v>20</v>
      </c>
      <c r="D2543" t="s">
        <v>88</v>
      </c>
      <c r="E2543">
        <v>386</v>
      </c>
      <c r="F2543" t="s">
        <v>5086</v>
      </c>
      <c r="G2543">
        <v>1729</v>
      </c>
      <c r="H2543">
        <v>2</v>
      </c>
      <c r="I2543" t="s">
        <v>98</v>
      </c>
      <c r="J2543">
        <v>0</v>
      </c>
      <c r="K2543">
        <v>2</v>
      </c>
      <c r="L2543">
        <v>5</v>
      </c>
      <c r="M2543">
        <v>257</v>
      </c>
      <c r="N2543">
        <v>484</v>
      </c>
      <c r="O2543">
        <v>5</v>
      </c>
      <c r="P2543">
        <v>486</v>
      </c>
      <c r="Q2543">
        <v>35</v>
      </c>
      <c r="R2543">
        <v>77</v>
      </c>
      <c r="S2543">
        <v>86</v>
      </c>
      <c r="T2543">
        <v>22</v>
      </c>
      <c r="U2543">
        <v>25</v>
      </c>
      <c r="V2543">
        <v>9</v>
      </c>
      <c r="W2543">
        <v>6</v>
      </c>
      <c r="X2543">
        <v>2</v>
      </c>
      <c r="Y2543">
        <v>180</v>
      </c>
      <c r="Z2543">
        <v>3</v>
      </c>
      <c r="AA2543">
        <v>7</v>
      </c>
      <c r="AB2543">
        <v>5</v>
      </c>
      <c r="AC2543">
        <v>3</v>
      </c>
      <c r="AD2543">
        <v>1</v>
      </c>
      <c r="AE2543">
        <v>0</v>
      </c>
      <c r="AF2543">
        <v>2</v>
      </c>
      <c r="AK2543">
        <v>1</v>
      </c>
      <c r="AL2543">
        <v>2</v>
      </c>
      <c r="AM2543">
        <v>0</v>
      </c>
      <c r="AN2543">
        <v>0</v>
      </c>
      <c r="BC2543">
        <v>0</v>
      </c>
      <c r="BD2543">
        <v>20</v>
      </c>
      <c r="BE2543">
        <v>486</v>
      </c>
      <c r="BF2543">
        <v>486</v>
      </c>
      <c r="BG2543">
        <v>720</v>
      </c>
      <c r="BJ2543">
        <v>1</v>
      </c>
      <c r="BL2543" t="s">
        <v>5283</v>
      </c>
      <c r="BM2543" s="4">
        <v>43282.987523148149</v>
      </c>
      <c r="BN2543" s="4">
        <v>43282.99145833333</v>
      </c>
      <c r="BO2543" s="4">
        <v>43282.99145833333</v>
      </c>
      <c r="BP2543" t="s">
        <v>339</v>
      </c>
      <c r="BQ2543" t="s">
        <v>340</v>
      </c>
      <c r="BR2543" t="s">
        <v>94</v>
      </c>
    </row>
    <row r="2544" spans="1:70" x14ac:dyDescent="0.3">
      <c r="A2544" t="str">
        <f>"201738B0100"</f>
        <v>201738B0100</v>
      </c>
      <c r="B2544" t="s">
        <v>5284</v>
      </c>
      <c r="C2544">
        <v>20</v>
      </c>
      <c r="D2544" t="s">
        <v>88</v>
      </c>
      <c r="E2544">
        <v>388</v>
      </c>
      <c r="F2544" t="s">
        <v>5285</v>
      </c>
      <c r="G2544">
        <v>1738</v>
      </c>
      <c r="H2544">
        <v>1</v>
      </c>
      <c r="I2544" t="s">
        <v>90</v>
      </c>
      <c r="J2544">
        <v>0</v>
      </c>
      <c r="K2544">
        <v>2</v>
      </c>
      <c r="L2544">
        <v>5</v>
      </c>
      <c r="M2544">
        <v>154</v>
      </c>
      <c r="N2544">
        <v>410</v>
      </c>
      <c r="O2544">
        <v>1</v>
      </c>
      <c r="P2544">
        <v>410</v>
      </c>
      <c r="Q2544">
        <v>1</v>
      </c>
      <c r="R2544">
        <v>147</v>
      </c>
      <c r="S2544">
        <v>9</v>
      </c>
      <c r="T2544">
        <v>1</v>
      </c>
      <c r="U2544">
        <v>1</v>
      </c>
      <c r="V2544">
        <v>2</v>
      </c>
      <c r="X2544">
        <v>1</v>
      </c>
      <c r="Y2544">
        <v>115</v>
      </c>
      <c r="Z2544">
        <v>1</v>
      </c>
      <c r="AC2544">
        <v>0</v>
      </c>
      <c r="AD2544">
        <v>0</v>
      </c>
      <c r="AE2544">
        <v>0</v>
      </c>
      <c r="AF2544">
        <v>1</v>
      </c>
      <c r="AK2544">
        <v>2</v>
      </c>
      <c r="AL2544">
        <v>1</v>
      </c>
      <c r="AM2544">
        <v>0</v>
      </c>
      <c r="AN2544">
        <v>0</v>
      </c>
      <c r="AS2544">
        <v>1</v>
      </c>
      <c r="AT2544">
        <v>0</v>
      </c>
      <c r="AU2544">
        <v>0</v>
      </c>
      <c r="AV2544">
        <v>0</v>
      </c>
      <c r="AZ2544">
        <v>116</v>
      </c>
      <c r="BC2544">
        <v>0</v>
      </c>
      <c r="BD2544">
        <v>11</v>
      </c>
      <c r="BE2544">
        <v>410</v>
      </c>
      <c r="BF2544">
        <v>410</v>
      </c>
      <c r="BG2544">
        <v>541</v>
      </c>
      <c r="BJ2544">
        <v>1</v>
      </c>
      <c r="BL2544" t="s">
        <v>5286</v>
      </c>
      <c r="BM2544" s="4">
        <v>43283.14166666667</v>
      </c>
      <c r="BN2544" s="4">
        <v>43283.152754629627</v>
      </c>
      <c r="BO2544" s="4">
        <v>43283.152754629627</v>
      </c>
      <c r="BP2544" t="s">
        <v>92</v>
      </c>
      <c r="BQ2544" t="s">
        <v>93</v>
      </c>
      <c r="BR2544" t="s">
        <v>94</v>
      </c>
    </row>
    <row r="2545" spans="1:70" x14ac:dyDescent="0.3">
      <c r="A2545" t="str">
        <f>"201738C0100"</f>
        <v>201738C0100</v>
      </c>
      <c r="B2545" t="s">
        <v>5287</v>
      </c>
      <c r="C2545">
        <v>20</v>
      </c>
      <c r="D2545" t="s">
        <v>88</v>
      </c>
      <c r="E2545">
        <v>388</v>
      </c>
      <c r="F2545" t="s">
        <v>5285</v>
      </c>
      <c r="G2545">
        <v>1738</v>
      </c>
      <c r="H2545">
        <v>1</v>
      </c>
      <c r="I2545" t="s">
        <v>98</v>
      </c>
      <c r="J2545">
        <v>0</v>
      </c>
      <c r="K2545">
        <v>2</v>
      </c>
      <c r="L2545">
        <v>5</v>
      </c>
      <c r="M2545">
        <v>152</v>
      </c>
      <c r="N2545">
        <v>411</v>
      </c>
      <c r="O2545">
        <v>1</v>
      </c>
      <c r="P2545">
        <v>411</v>
      </c>
      <c r="Q2545">
        <v>0</v>
      </c>
      <c r="R2545">
        <v>133</v>
      </c>
      <c r="S2545">
        <v>9</v>
      </c>
      <c r="T2545">
        <v>2</v>
      </c>
      <c r="U2545">
        <v>6</v>
      </c>
      <c r="V2545">
        <v>1</v>
      </c>
      <c r="X2545">
        <v>1</v>
      </c>
      <c r="Y2545">
        <v>156</v>
      </c>
      <c r="Z2545">
        <v>1</v>
      </c>
      <c r="AC2545">
        <v>0</v>
      </c>
      <c r="AD2545">
        <v>0</v>
      </c>
      <c r="AE2545">
        <v>0</v>
      </c>
      <c r="AF2545">
        <v>0</v>
      </c>
      <c r="AK2545">
        <v>1</v>
      </c>
      <c r="AL2545">
        <v>0</v>
      </c>
      <c r="AM2545">
        <v>0</v>
      </c>
      <c r="AN2545">
        <v>0</v>
      </c>
      <c r="AS2545">
        <v>1</v>
      </c>
      <c r="AT2545">
        <v>1</v>
      </c>
      <c r="AU2545">
        <v>0</v>
      </c>
      <c r="AV2545">
        <v>0</v>
      </c>
      <c r="AZ2545">
        <v>88</v>
      </c>
      <c r="BC2545" t="s">
        <v>105</v>
      </c>
      <c r="BD2545">
        <v>11</v>
      </c>
      <c r="BE2545">
        <v>411</v>
      </c>
      <c r="BF2545">
        <v>411</v>
      </c>
      <c r="BG2545">
        <v>541</v>
      </c>
      <c r="BI2545" t="s">
        <v>106</v>
      </c>
      <c r="BJ2545">
        <v>1</v>
      </c>
      <c r="BL2545" t="s">
        <v>5288</v>
      </c>
      <c r="BM2545" s="4">
        <v>43283.14166666667</v>
      </c>
      <c r="BN2545" s="4">
        <v>43283.14675925926</v>
      </c>
      <c r="BO2545" s="4">
        <v>43283.14675925926</v>
      </c>
      <c r="BP2545" t="s">
        <v>92</v>
      </c>
      <c r="BQ2545" t="s">
        <v>93</v>
      </c>
      <c r="BR2545" t="s">
        <v>94</v>
      </c>
    </row>
    <row r="2546" spans="1:70" x14ac:dyDescent="0.3">
      <c r="A2546" t="str">
        <f>"201739B0100"</f>
        <v>201739B0100</v>
      </c>
      <c r="B2546" t="s">
        <v>5289</v>
      </c>
      <c r="C2546">
        <v>20</v>
      </c>
      <c r="D2546" t="s">
        <v>88</v>
      </c>
      <c r="E2546">
        <v>388</v>
      </c>
      <c r="F2546" t="s">
        <v>5285</v>
      </c>
      <c r="G2546">
        <v>1739</v>
      </c>
      <c r="H2546">
        <v>1</v>
      </c>
      <c r="I2546" t="s">
        <v>90</v>
      </c>
      <c r="J2546">
        <v>0</v>
      </c>
      <c r="K2546">
        <v>1</v>
      </c>
      <c r="L2546">
        <v>5</v>
      </c>
      <c r="M2546">
        <v>189</v>
      </c>
      <c r="N2546">
        <v>369</v>
      </c>
      <c r="O2546">
        <v>0</v>
      </c>
      <c r="P2546">
        <v>369</v>
      </c>
      <c r="Q2546">
        <v>3</v>
      </c>
      <c r="R2546">
        <v>145</v>
      </c>
      <c r="S2546">
        <v>10</v>
      </c>
      <c r="T2546">
        <v>2</v>
      </c>
      <c r="U2546">
        <v>1</v>
      </c>
      <c r="V2546">
        <v>0</v>
      </c>
      <c r="X2546">
        <v>0</v>
      </c>
      <c r="Y2546">
        <v>108</v>
      </c>
      <c r="Z2546">
        <v>1</v>
      </c>
      <c r="AC2546">
        <v>0</v>
      </c>
      <c r="AD2546">
        <v>0</v>
      </c>
      <c r="AE2546">
        <v>0</v>
      </c>
      <c r="AF2546">
        <v>0</v>
      </c>
      <c r="AK2546">
        <v>0</v>
      </c>
      <c r="AL2546">
        <v>0</v>
      </c>
      <c r="AM2546">
        <v>0</v>
      </c>
      <c r="AN2546">
        <v>0</v>
      </c>
      <c r="AS2546">
        <v>0</v>
      </c>
      <c r="AT2546">
        <v>0</v>
      </c>
      <c r="AU2546">
        <v>0</v>
      </c>
      <c r="AV2546">
        <v>0</v>
      </c>
      <c r="AZ2546">
        <v>85</v>
      </c>
      <c r="BC2546">
        <v>0</v>
      </c>
      <c r="BD2546">
        <v>8</v>
      </c>
      <c r="BE2546">
        <v>364</v>
      </c>
      <c r="BF2546">
        <v>363</v>
      </c>
      <c r="BG2546">
        <v>527</v>
      </c>
      <c r="BJ2546">
        <v>1</v>
      </c>
      <c r="BL2546" t="s">
        <v>5290</v>
      </c>
      <c r="BM2546" s="4">
        <v>43283.142361111109</v>
      </c>
      <c r="BN2546" s="4">
        <v>43283.162893518522</v>
      </c>
      <c r="BO2546" s="4">
        <v>43283.162893518522</v>
      </c>
      <c r="BP2546" t="s">
        <v>92</v>
      </c>
      <c r="BQ2546" t="s">
        <v>93</v>
      </c>
      <c r="BR2546" t="s">
        <v>94</v>
      </c>
    </row>
    <row r="2547" spans="1:70" x14ac:dyDescent="0.3">
      <c r="A2547" t="str">
        <f>"201739C0100"</f>
        <v>201739C0100</v>
      </c>
      <c r="B2547" t="s">
        <v>5291</v>
      </c>
      <c r="C2547">
        <v>20</v>
      </c>
      <c r="D2547" t="s">
        <v>88</v>
      </c>
      <c r="E2547">
        <v>388</v>
      </c>
      <c r="F2547" t="s">
        <v>5285</v>
      </c>
      <c r="G2547">
        <v>1739</v>
      </c>
      <c r="H2547">
        <v>1</v>
      </c>
      <c r="I2547" t="s">
        <v>98</v>
      </c>
      <c r="J2547">
        <v>0</v>
      </c>
      <c r="K2547">
        <v>1</v>
      </c>
      <c r="L2547">
        <v>5</v>
      </c>
      <c r="M2547">
        <v>148</v>
      </c>
      <c r="N2547">
        <v>400</v>
      </c>
      <c r="O2547">
        <v>3</v>
      </c>
      <c r="P2547">
        <v>404</v>
      </c>
      <c r="Q2547">
        <v>6</v>
      </c>
      <c r="R2547">
        <v>130</v>
      </c>
      <c r="S2547">
        <v>11</v>
      </c>
      <c r="T2547">
        <v>0</v>
      </c>
      <c r="U2547">
        <v>5</v>
      </c>
      <c r="V2547">
        <v>1</v>
      </c>
      <c r="X2547">
        <v>2</v>
      </c>
      <c r="Y2547">
        <v>120</v>
      </c>
      <c r="Z2547">
        <v>0</v>
      </c>
      <c r="AC2547">
        <v>0</v>
      </c>
      <c r="AD2547">
        <v>0</v>
      </c>
      <c r="AE2547">
        <v>0</v>
      </c>
      <c r="AF2547">
        <v>0</v>
      </c>
      <c r="AK2547">
        <v>0</v>
      </c>
      <c r="AL2547">
        <v>0</v>
      </c>
      <c r="AM2547">
        <v>0</v>
      </c>
      <c r="AN2547">
        <v>0</v>
      </c>
      <c r="AS2547">
        <v>1</v>
      </c>
      <c r="AT2547">
        <v>0</v>
      </c>
      <c r="AU2547">
        <v>0</v>
      </c>
      <c r="AV2547">
        <v>0</v>
      </c>
      <c r="AZ2547">
        <v>111</v>
      </c>
      <c r="BC2547">
        <v>0</v>
      </c>
      <c r="BD2547">
        <v>13</v>
      </c>
      <c r="BE2547">
        <v>400</v>
      </c>
      <c r="BF2547">
        <v>400</v>
      </c>
      <c r="BG2547">
        <v>526</v>
      </c>
      <c r="BJ2547">
        <v>1</v>
      </c>
      <c r="BL2547" t="s">
        <v>5292</v>
      </c>
      <c r="BM2547" s="4">
        <v>43283.143055555556</v>
      </c>
      <c r="BN2547" s="4">
        <v>43283.15185185185</v>
      </c>
      <c r="BO2547" s="4">
        <v>43283.15185185185</v>
      </c>
      <c r="BP2547" t="s">
        <v>92</v>
      </c>
      <c r="BQ2547" t="s">
        <v>93</v>
      </c>
      <c r="BR2547" t="s">
        <v>94</v>
      </c>
    </row>
    <row r="2548" spans="1:70" x14ac:dyDescent="0.3">
      <c r="A2548" t="str">
        <f>"201740B0100"</f>
        <v>201740B0100</v>
      </c>
      <c r="B2548" t="s">
        <v>5293</v>
      </c>
      <c r="C2548">
        <v>20</v>
      </c>
      <c r="D2548" t="s">
        <v>88</v>
      </c>
      <c r="E2548">
        <v>388</v>
      </c>
      <c r="F2548" t="s">
        <v>5285</v>
      </c>
      <c r="G2548">
        <v>1740</v>
      </c>
      <c r="H2548">
        <v>1</v>
      </c>
      <c r="I2548" t="s">
        <v>90</v>
      </c>
      <c r="J2548">
        <v>0</v>
      </c>
      <c r="K2548">
        <v>2</v>
      </c>
      <c r="L2548">
        <v>5</v>
      </c>
      <c r="M2548">
        <v>95</v>
      </c>
      <c r="N2548">
        <v>231</v>
      </c>
      <c r="O2548">
        <v>0</v>
      </c>
      <c r="P2548">
        <v>231</v>
      </c>
      <c r="Q2548">
        <v>3</v>
      </c>
      <c r="R2548">
        <v>85</v>
      </c>
      <c r="S2548">
        <v>22</v>
      </c>
      <c r="T2548" t="s">
        <v>105</v>
      </c>
      <c r="U2548">
        <v>2</v>
      </c>
      <c r="V2548" t="s">
        <v>105</v>
      </c>
      <c r="X2548" t="s">
        <v>105</v>
      </c>
      <c r="Y2548">
        <v>47</v>
      </c>
      <c r="Z2548">
        <v>1</v>
      </c>
      <c r="AC2548" t="s">
        <v>105</v>
      </c>
      <c r="AD2548" t="s">
        <v>105</v>
      </c>
      <c r="AE2548" t="s">
        <v>105</v>
      </c>
      <c r="AF2548" t="s">
        <v>105</v>
      </c>
      <c r="AK2548">
        <v>1</v>
      </c>
      <c r="AL2548" t="s">
        <v>105</v>
      </c>
      <c r="AM2548" t="s">
        <v>105</v>
      </c>
      <c r="AN2548" t="s">
        <v>105</v>
      </c>
      <c r="AS2548" t="s">
        <v>105</v>
      </c>
      <c r="AT2548">
        <v>3</v>
      </c>
      <c r="AU2548" t="s">
        <v>105</v>
      </c>
      <c r="AV2548" t="s">
        <v>105</v>
      </c>
      <c r="AZ2548">
        <v>56</v>
      </c>
      <c r="BC2548" t="s">
        <v>105</v>
      </c>
      <c r="BD2548">
        <v>11</v>
      </c>
      <c r="BE2548">
        <v>231</v>
      </c>
      <c r="BF2548">
        <v>231</v>
      </c>
      <c r="BG2548">
        <v>303</v>
      </c>
      <c r="BI2548" t="s">
        <v>106</v>
      </c>
      <c r="BJ2548">
        <v>1</v>
      </c>
      <c r="BL2548" t="s">
        <v>5294</v>
      </c>
      <c r="BM2548" s="4">
        <v>43283.142361111109</v>
      </c>
      <c r="BN2548" s="4">
        <v>43283.153124999997</v>
      </c>
      <c r="BO2548" s="4">
        <v>43283.153124999997</v>
      </c>
      <c r="BP2548" t="s">
        <v>92</v>
      </c>
      <c r="BQ2548" t="s">
        <v>93</v>
      </c>
      <c r="BR2548" t="s">
        <v>94</v>
      </c>
    </row>
    <row r="2549" spans="1:70" x14ac:dyDescent="0.3">
      <c r="A2549" t="str">
        <f>"201746B0100"</f>
        <v>201746B0100</v>
      </c>
      <c r="B2549" t="s">
        <v>5295</v>
      </c>
      <c r="C2549">
        <v>20</v>
      </c>
      <c r="D2549" t="s">
        <v>88</v>
      </c>
      <c r="E2549">
        <v>392</v>
      </c>
      <c r="F2549" t="s">
        <v>5296</v>
      </c>
      <c r="G2549">
        <v>1746</v>
      </c>
      <c r="H2549">
        <v>1</v>
      </c>
      <c r="I2549" t="s">
        <v>90</v>
      </c>
      <c r="J2549">
        <v>0</v>
      </c>
      <c r="K2549">
        <v>1</v>
      </c>
      <c r="L2549">
        <v>5</v>
      </c>
      <c r="M2549">
        <v>178</v>
      </c>
      <c r="N2549">
        <v>430</v>
      </c>
      <c r="O2549">
        <v>1</v>
      </c>
      <c r="P2549">
        <v>434</v>
      </c>
      <c r="Q2549">
        <v>22</v>
      </c>
      <c r="R2549">
        <v>61</v>
      </c>
      <c r="S2549">
        <v>23</v>
      </c>
      <c r="T2549">
        <v>15</v>
      </c>
      <c r="U2549">
        <v>13</v>
      </c>
      <c r="V2549">
        <v>8</v>
      </c>
      <c r="W2549">
        <v>4</v>
      </c>
      <c r="X2549">
        <v>11</v>
      </c>
      <c r="Y2549">
        <v>226</v>
      </c>
      <c r="Z2549">
        <v>6</v>
      </c>
      <c r="AA2549">
        <v>15</v>
      </c>
      <c r="AB2549">
        <v>18</v>
      </c>
      <c r="AC2549">
        <v>3</v>
      </c>
      <c r="AD2549">
        <v>0</v>
      </c>
      <c r="AE2549">
        <v>0</v>
      </c>
      <c r="AF2549">
        <v>0</v>
      </c>
      <c r="AK2549">
        <v>1</v>
      </c>
      <c r="AL2549">
        <v>0</v>
      </c>
      <c r="AM2549">
        <v>0</v>
      </c>
      <c r="AN2549">
        <v>0</v>
      </c>
      <c r="AT2549">
        <v>0</v>
      </c>
      <c r="BC2549">
        <v>0</v>
      </c>
      <c r="BD2549">
        <v>7</v>
      </c>
      <c r="BE2549">
        <v>434</v>
      </c>
      <c r="BF2549">
        <v>433</v>
      </c>
      <c r="BG2549">
        <v>591</v>
      </c>
      <c r="BJ2549">
        <v>1</v>
      </c>
      <c r="BL2549" t="s">
        <v>5297</v>
      </c>
      <c r="BM2549" s="4">
        <v>43283.131249999999</v>
      </c>
      <c r="BN2549" s="4">
        <v>43283.141319444447</v>
      </c>
      <c r="BO2549" s="4">
        <v>43283.141319444447</v>
      </c>
      <c r="BP2549" t="s">
        <v>92</v>
      </c>
      <c r="BQ2549" t="s">
        <v>93</v>
      </c>
      <c r="BR2549" t="s">
        <v>94</v>
      </c>
    </row>
    <row r="2550" spans="1:70" x14ac:dyDescent="0.3">
      <c r="A2550" t="str">
        <f>"201746C0100"</f>
        <v>201746C0100</v>
      </c>
      <c r="B2550" t="s">
        <v>5298</v>
      </c>
      <c r="C2550">
        <v>20</v>
      </c>
      <c r="D2550" t="s">
        <v>88</v>
      </c>
      <c r="E2550">
        <v>392</v>
      </c>
      <c r="F2550" t="s">
        <v>5296</v>
      </c>
      <c r="G2550">
        <v>1746</v>
      </c>
      <c r="H2550">
        <v>1</v>
      </c>
      <c r="I2550" t="s">
        <v>98</v>
      </c>
      <c r="J2550">
        <v>0</v>
      </c>
      <c r="K2550">
        <v>1</v>
      </c>
      <c r="L2550">
        <v>5</v>
      </c>
      <c r="M2550">
        <v>202</v>
      </c>
      <c r="N2550">
        <v>411</v>
      </c>
      <c r="O2550">
        <v>7</v>
      </c>
      <c r="P2550">
        <v>410</v>
      </c>
      <c r="Q2550">
        <v>22</v>
      </c>
      <c r="R2550">
        <v>78</v>
      </c>
      <c r="S2550">
        <v>15</v>
      </c>
      <c r="T2550">
        <v>5</v>
      </c>
      <c r="U2550">
        <v>17</v>
      </c>
      <c r="V2550">
        <v>4</v>
      </c>
      <c r="W2550">
        <v>3</v>
      </c>
      <c r="X2550">
        <v>5</v>
      </c>
      <c r="Y2550">
        <v>212</v>
      </c>
      <c r="Z2550">
        <v>4</v>
      </c>
      <c r="AA2550">
        <v>15</v>
      </c>
      <c r="AB2550">
        <v>13</v>
      </c>
      <c r="AC2550">
        <v>0</v>
      </c>
      <c r="AD2550">
        <v>0</v>
      </c>
      <c r="AE2550">
        <v>0</v>
      </c>
      <c r="AF2550">
        <v>0</v>
      </c>
      <c r="AK2550">
        <v>5</v>
      </c>
      <c r="AL2550">
        <v>2</v>
      </c>
      <c r="AM2550">
        <v>0</v>
      </c>
      <c r="AN2550">
        <v>1</v>
      </c>
      <c r="AT2550">
        <v>0</v>
      </c>
      <c r="BC2550">
        <v>0</v>
      </c>
      <c r="BD2550">
        <v>10</v>
      </c>
      <c r="BE2550">
        <v>410</v>
      </c>
      <c r="BF2550">
        <v>411</v>
      </c>
      <c r="BG2550">
        <v>591</v>
      </c>
      <c r="BJ2550">
        <v>1</v>
      </c>
      <c r="BL2550" t="s">
        <v>5299</v>
      </c>
      <c r="BM2550" s="4">
        <v>43283.130555555559</v>
      </c>
      <c r="BN2550" s="4">
        <v>43283.145138888889</v>
      </c>
      <c r="BO2550" s="4">
        <v>43283.145138888889</v>
      </c>
      <c r="BP2550" t="s">
        <v>92</v>
      </c>
      <c r="BQ2550" t="s">
        <v>93</v>
      </c>
      <c r="BR2550" t="s">
        <v>94</v>
      </c>
    </row>
    <row r="2551" spans="1:70" x14ac:dyDescent="0.3">
      <c r="A2551" t="str">
        <f>"201747B0100"</f>
        <v>201747B0100</v>
      </c>
      <c r="B2551" t="s">
        <v>5300</v>
      </c>
      <c r="C2551">
        <v>20</v>
      </c>
      <c r="D2551" t="s">
        <v>88</v>
      </c>
      <c r="E2551">
        <v>392</v>
      </c>
      <c r="F2551" t="s">
        <v>5296</v>
      </c>
      <c r="G2551">
        <v>1747</v>
      </c>
      <c r="H2551">
        <v>1</v>
      </c>
      <c r="I2551" t="s">
        <v>90</v>
      </c>
      <c r="J2551">
        <v>0</v>
      </c>
      <c r="K2551">
        <v>1</v>
      </c>
      <c r="L2551">
        <v>5</v>
      </c>
      <c r="M2551">
        <v>253</v>
      </c>
      <c r="N2551">
        <v>219</v>
      </c>
      <c r="O2551">
        <v>4</v>
      </c>
      <c r="P2551">
        <v>219</v>
      </c>
      <c r="Q2551">
        <v>51</v>
      </c>
      <c r="R2551">
        <v>37</v>
      </c>
      <c r="S2551">
        <v>13</v>
      </c>
      <c r="T2551">
        <v>5</v>
      </c>
      <c r="U2551">
        <v>11</v>
      </c>
      <c r="V2551">
        <v>2</v>
      </c>
      <c r="W2551">
        <v>1</v>
      </c>
      <c r="X2551">
        <v>4</v>
      </c>
      <c r="Y2551">
        <v>71</v>
      </c>
      <c r="Z2551">
        <v>4</v>
      </c>
      <c r="AA2551">
        <v>1</v>
      </c>
      <c r="AB2551">
        <v>6</v>
      </c>
      <c r="AC2551">
        <v>1</v>
      </c>
      <c r="AD2551">
        <v>1</v>
      </c>
      <c r="AE2551">
        <v>0</v>
      </c>
      <c r="AF2551">
        <v>0</v>
      </c>
      <c r="AK2551">
        <v>4</v>
      </c>
      <c r="AL2551">
        <v>0</v>
      </c>
      <c r="AM2551">
        <v>0</v>
      </c>
      <c r="AN2551">
        <v>0</v>
      </c>
      <c r="AT2551">
        <v>0</v>
      </c>
      <c r="BC2551">
        <v>0</v>
      </c>
      <c r="BD2551">
        <v>7</v>
      </c>
      <c r="BE2551">
        <v>219</v>
      </c>
      <c r="BF2551">
        <v>219</v>
      </c>
      <c r="BG2551">
        <v>450</v>
      </c>
      <c r="BJ2551">
        <v>1</v>
      </c>
      <c r="BL2551" t="s">
        <v>5301</v>
      </c>
      <c r="BM2551" s="4">
        <v>43283.125</v>
      </c>
      <c r="BN2551" s="4">
        <v>43283.136435185188</v>
      </c>
      <c r="BO2551" s="4">
        <v>43283.136435185188</v>
      </c>
      <c r="BP2551" t="s">
        <v>92</v>
      </c>
      <c r="BQ2551" t="s">
        <v>93</v>
      </c>
      <c r="BR2551" t="s">
        <v>94</v>
      </c>
    </row>
    <row r="2552" spans="1:70" x14ac:dyDescent="0.3">
      <c r="A2552" t="str">
        <f>"201748B0100"</f>
        <v>201748B0100</v>
      </c>
      <c r="B2552" t="s">
        <v>5302</v>
      </c>
      <c r="C2552">
        <v>20</v>
      </c>
      <c r="D2552" t="s">
        <v>88</v>
      </c>
      <c r="E2552">
        <v>392</v>
      </c>
      <c r="F2552" t="s">
        <v>5296</v>
      </c>
      <c r="G2552">
        <v>1748</v>
      </c>
      <c r="H2552">
        <v>1</v>
      </c>
      <c r="I2552" t="s">
        <v>90</v>
      </c>
      <c r="J2552">
        <v>0</v>
      </c>
      <c r="K2552">
        <v>1</v>
      </c>
      <c r="L2552">
        <v>5</v>
      </c>
      <c r="M2552">
        <v>221</v>
      </c>
      <c r="N2552">
        <v>370</v>
      </c>
      <c r="O2552">
        <v>2</v>
      </c>
      <c r="P2552">
        <v>370</v>
      </c>
      <c r="Q2552">
        <v>19</v>
      </c>
      <c r="R2552">
        <v>83</v>
      </c>
      <c r="S2552">
        <v>11</v>
      </c>
      <c r="T2552">
        <v>4</v>
      </c>
      <c r="U2552">
        <v>17</v>
      </c>
      <c r="V2552">
        <v>3</v>
      </c>
      <c r="W2552">
        <v>3</v>
      </c>
      <c r="X2552">
        <v>3</v>
      </c>
      <c r="Y2552">
        <v>178</v>
      </c>
      <c r="Z2552">
        <v>3</v>
      </c>
      <c r="AA2552">
        <v>21</v>
      </c>
      <c r="AB2552">
        <v>8</v>
      </c>
      <c r="AC2552">
        <v>1</v>
      </c>
      <c r="AD2552">
        <v>1</v>
      </c>
      <c r="AE2552">
        <v>0</v>
      </c>
      <c r="AF2552">
        <v>0</v>
      </c>
      <c r="AK2552">
        <v>3</v>
      </c>
      <c r="AL2552">
        <v>1</v>
      </c>
      <c r="AM2552">
        <v>1</v>
      </c>
      <c r="AN2552">
        <v>1</v>
      </c>
      <c r="AT2552">
        <v>1</v>
      </c>
      <c r="BC2552">
        <v>0</v>
      </c>
      <c r="BD2552">
        <v>8</v>
      </c>
      <c r="BE2552">
        <v>370</v>
      </c>
      <c r="BF2552">
        <v>370</v>
      </c>
      <c r="BG2552">
        <v>570</v>
      </c>
      <c r="BJ2552">
        <v>1</v>
      </c>
      <c r="BL2552" t="s">
        <v>5303</v>
      </c>
      <c r="BM2552" s="4">
        <v>43283.120138888888</v>
      </c>
      <c r="BN2552" s="4">
        <v>43283.125462962962</v>
      </c>
      <c r="BO2552" s="4">
        <v>43283.125462962962</v>
      </c>
      <c r="BP2552" t="s">
        <v>92</v>
      </c>
      <c r="BQ2552" t="s">
        <v>93</v>
      </c>
      <c r="BR2552" t="s">
        <v>94</v>
      </c>
    </row>
    <row r="2553" spans="1:70" x14ac:dyDescent="0.3">
      <c r="A2553" t="str">
        <f>"201748C0100"</f>
        <v>201748C0100</v>
      </c>
      <c r="B2553" t="s">
        <v>5304</v>
      </c>
      <c r="C2553">
        <v>20</v>
      </c>
      <c r="D2553" t="s">
        <v>88</v>
      </c>
      <c r="E2553">
        <v>392</v>
      </c>
      <c r="F2553" t="s">
        <v>5296</v>
      </c>
      <c r="G2553">
        <v>1748</v>
      </c>
      <c r="H2553">
        <v>1</v>
      </c>
      <c r="I2553" t="s">
        <v>98</v>
      </c>
      <c r="J2553">
        <v>0</v>
      </c>
      <c r="K2553">
        <v>1</v>
      </c>
      <c r="L2553">
        <v>5</v>
      </c>
      <c r="M2553">
        <v>245</v>
      </c>
      <c r="N2553">
        <v>367</v>
      </c>
      <c r="O2553">
        <v>3</v>
      </c>
      <c r="P2553">
        <v>360</v>
      </c>
      <c r="Q2553">
        <v>21</v>
      </c>
      <c r="R2553">
        <v>89</v>
      </c>
      <c r="S2553">
        <v>7</v>
      </c>
      <c r="T2553">
        <v>7</v>
      </c>
      <c r="U2553">
        <v>20</v>
      </c>
      <c r="V2553">
        <v>9</v>
      </c>
      <c r="W2553">
        <v>6</v>
      </c>
      <c r="X2553">
        <v>2</v>
      </c>
      <c r="Y2553">
        <v>144</v>
      </c>
      <c r="Z2553">
        <v>8</v>
      </c>
      <c r="AA2553">
        <v>18</v>
      </c>
      <c r="AB2553">
        <v>16</v>
      </c>
      <c r="AC2553">
        <v>0</v>
      </c>
      <c r="AD2553">
        <v>2</v>
      </c>
      <c r="AE2553">
        <v>0</v>
      </c>
      <c r="AF2553">
        <v>0</v>
      </c>
      <c r="AK2553">
        <v>5</v>
      </c>
      <c r="AL2553">
        <v>1</v>
      </c>
      <c r="AM2553">
        <v>0</v>
      </c>
      <c r="AN2553">
        <v>0</v>
      </c>
      <c r="AT2553">
        <v>2</v>
      </c>
      <c r="BC2553">
        <v>0</v>
      </c>
      <c r="BD2553">
        <v>12</v>
      </c>
      <c r="BE2553">
        <v>369</v>
      </c>
      <c r="BF2553">
        <v>369</v>
      </c>
      <c r="BG2553">
        <v>569</v>
      </c>
      <c r="BJ2553">
        <v>1</v>
      </c>
      <c r="BL2553" t="s">
        <v>5305</v>
      </c>
      <c r="BM2553" s="4">
        <v>43283.120833333334</v>
      </c>
      <c r="BN2553" s="4">
        <v>43283.126215277778</v>
      </c>
      <c r="BO2553" s="4">
        <v>43283.126215277778</v>
      </c>
      <c r="BP2553" t="s">
        <v>92</v>
      </c>
      <c r="BQ2553" t="s">
        <v>93</v>
      </c>
      <c r="BR2553" t="s">
        <v>94</v>
      </c>
    </row>
    <row r="2554" spans="1:70" x14ac:dyDescent="0.3">
      <c r="A2554" t="str">
        <f>"201749B0100"</f>
        <v>201749B0100</v>
      </c>
      <c r="B2554" t="s">
        <v>5306</v>
      </c>
      <c r="C2554">
        <v>20</v>
      </c>
      <c r="D2554" t="s">
        <v>88</v>
      </c>
      <c r="E2554">
        <v>392</v>
      </c>
      <c r="F2554" t="s">
        <v>5296</v>
      </c>
      <c r="G2554">
        <v>1749</v>
      </c>
      <c r="H2554">
        <v>1</v>
      </c>
      <c r="I2554" t="s">
        <v>90</v>
      </c>
      <c r="J2554">
        <v>0</v>
      </c>
      <c r="K2554">
        <v>1</v>
      </c>
      <c r="L2554">
        <v>5</v>
      </c>
      <c r="M2554">
        <v>201</v>
      </c>
      <c r="N2554">
        <v>449</v>
      </c>
      <c r="O2554">
        <v>7</v>
      </c>
      <c r="P2554">
        <v>449</v>
      </c>
      <c r="Q2554">
        <v>26</v>
      </c>
      <c r="R2554">
        <v>101</v>
      </c>
      <c r="S2554">
        <v>47</v>
      </c>
      <c r="T2554">
        <v>7</v>
      </c>
      <c r="U2554">
        <v>19</v>
      </c>
      <c r="V2554">
        <v>10</v>
      </c>
      <c r="W2554">
        <v>8</v>
      </c>
      <c r="X2554">
        <v>6</v>
      </c>
      <c r="Y2554">
        <v>175</v>
      </c>
      <c r="Z2554">
        <v>4</v>
      </c>
      <c r="AA2554">
        <v>12</v>
      </c>
      <c r="AB2554">
        <v>12</v>
      </c>
      <c r="AC2554">
        <v>3</v>
      </c>
      <c r="AD2554">
        <v>0</v>
      </c>
      <c r="AE2554">
        <v>0</v>
      </c>
      <c r="AF2554">
        <v>0</v>
      </c>
      <c r="AK2554">
        <v>3</v>
      </c>
      <c r="AL2554">
        <v>0</v>
      </c>
      <c r="AM2554">
        <v>2</v>
      </c>
      <c r="AN2554">
        <v>0</v>
      </c>
      <c r="AT2554">
        <v>1</v>
      </c>
      <c r="BC2554">
        <v>0</v>
      </c>
      <c r="BD2554">
        <v>13</v>
      </c>
      <c r="BE2554">
        <v>449</v>
      </c>
      <c r="BF2554">
        <v>449</v>
      </c>
      <c r="BG2554">
        <v>628</v>
      </c>
      <c r="BJ2554">
        <v>1</v>
      </c>
      <c r="BL2554" t="s">
        <v>5307</v>
      </c>
      <c r="BM2554" s="4">
        <v>43283.121527777781</v>
      </c>
      <c r="BN2554" s="4">
        <v>43283.129467592589</v>
      </c>
      <c r="BO2554" s="4">
        <v>43283.129467592589</v>
      </c>
      <c r="BP2554" t="s">
        <v>92</v>
      </c>
      <c r="BQ2554" t="s">
        <v>93</v>
      </c>
      <c r="BR2554" t="s">
        <v>94</v>
      </c>
    </row>
    <row r="2555" spans="1:70" x14ac:dyDescent="0.3">
      <c r="A2555" t="str">
        <f>"201750B0100"</f>
        <v>201750B0100</v>
      </c>
      <c r="B2555" t="s">
        <v>5308</v>
      </c>
      <c r="C2555">
        <v>20</v>
      </c>
      <c r="D2555" t="s">
        <v>88</v>
      </c>
      <c r="E2555">
        <v>392</v>
      </c>
      <c r="F2555" t="s">
        <v>5296</v>
      </c>
      <c r="G2555">
        <v>1750</v>
      </c>
      <c r="H2555">
        <v>1</v>
      </c>
      <c r="I2555" t="s">
        <v>90</v>
      </c>
      <c r="J2555">
        <v>0</v>
      </c>
      <c r="K2555">
        <v>1</v>
      </c>
      <c r="L2555">
        <v>5</v>
      </c>
      <c r="M2555" t="s">
        <v>127</v>
      </c>
      <c r="N2555" t="s">
        <v>127</v>
      </c>
      <c r="O2555" t="s">
        <v>127</v>
      </c>
      <c r="P2555" t="s">
        <v>127</v>
      </c>
      <c r="Q2555" t="s">
        <v>127</v>
      </c>
      <c r="R2555" t="s">
        <v>127</v>
      </c>
      <c r="S2555" t="s">
        <v>127</v>
      </c>
      <c r="T2555" t="s">
        <v>127</v>
      </c>
      <c r="U2555" t="s">
        <v>127</v>
      </c>
      <c r="V2555" t="s">
        <v>127</v>
      </c>
      <c r="W2555" t="s">
        <v>127</v>
      </c>
      <c r="X2555" t="s">
        <v>127</v>
      </c>
      <c r="Y2555" t="s">
        <v>127</v>
      </c>
      <c r="Z2555" t="s">
        <v>127</v>
      </c>
      <c r="AA2555" t="s">
        <v>127</v>
      </c>
      <c r="AB2555" t="s">
        <v>127</v>
      </c>
      <c r="AC2555" t="s">
        <v>127</v>
      </c>
      <c r="AD2555" t="s">
        <v>127</v>
      </c>
      <c r="AE2555" t="s">
        <v>127</v>
      </c>
      <c r="AF2555" t="s">
        <v>127</v>
      </c>
      <c r="AK2555" t="s">
        <v>127</v>
      </c>
      <c r="AL2555" t="s">
        <v>127</v>
      </c>
      <c r="AM2555" t="s">
        <v>127</v>
      </c>
      <c r="AN2555" t="s">
        <v>127</v>
      </c>
      <c r="AT2555" t="s">
        <v>127</v>
      </c>
      <c r="BC2555" t="s">
        <v>127</v>
      </c>
      <c r="BD2555" t="s">
        <v>127</v>
      </c>
      <c r="BG2555">
        <v>561</v>
      </c>
      <c r="BI2555" t="s">
        <v>1244</v>
      </c>
      <c r="BJ2555">
        <v>0</v>
      </c>
      <c r="BL2555" t="s">
        <v>5309</v>
      </c>
      <c r="BM2555" s="4">
        <v>43283.124305555553</v>
      </c>
      <c r="BN2555" s="4">
        <v>43283.1637962963</v>
      </c>
      <c r="BO2555" s="4">
        <v>43283.1637962963</v>
      </c>
      <c r="BP2555" t="s">
        <v>92</v>
      </c>
      <c r="BQ2555" t="s">
        <v>93</v>
      </c>
      <c r="BR2555" t="s">
        <v>94</v>
      </c>
    </row>
    <row r="2556" spans="1:70" x14ac:dyDescent="0.3">
      <c r="A2556" t="str">
        <f>"201750C0100"</f>
        <v>201750C0100</v>
      </c>
      <c r="B2556" t="s">
        <v>5310</v>
      </c>
      <c r="C2556">
        <v>20</v>
      </c>
      <c r="D2556" t="s">
        <v>88</v>
      </c>
      <c r="E2556">
        <v>392</v>
      </c>
      <c r="F2556" t="s">
        <v>5296</v>
      </c>
      <c r="G2556">
        <v>1750</v>
      </c>
      <c r="H2556">
        <v>1</v>
      </c>
      <c r="I2556" t="s">
        <v>98</v>
      </c>
      <c r="J2556">
        <v>0</v>
      </c>
      <c r="K2556">
        <v>1</v>
      </c>
      <c r="L2556">
        <v>5</v>
      </c>
      <c r="M2556">
        <v>173</v>
      </c>
      <c r="N2556">
        <v>410</v>
      </c>
      <c r="O2556">
        <v>8</v>
      </c>
      <c r="P2556">
        <v>410</v>
      </c>
      <c r="Q2556">
        <v>35</v>
      </c>
      <c r="R2556">
        <v>87</v>
      </c>
      <c r="S2556">
        <v>18</v>
      </c>
      <c r="T2556">
        <v>7</v>
      </c>
      <c r="U2556">
        <v>20</v>
      </c>
      <c r="V2556">
        <v>2</v>
      </c>
      <c r="W2556">
        <v>1</v>
      </c>
      <c r="X2556">
        <v>10</v>
      </c>
      <c r="Y2556">
        <v>200</v>
      </c>
      <c r="Z2556">
        <v>7</v>
      </c>
      <c r="AA2556">
        <v>2</v>
      </c>
      <c r="AB2556">
        <v>7</v>
      </c>
      <c r="AC2556">
        <v>0</v>
      </c>
      <c r="AD2556">
        <v>0</v>
      </c>
      <c r="AE2556">
        <v>0</v>
      </c>
      <c r="AF2556">
        <v>0</v>
      </c>
      <c r="AK2556">
        <v>0</v>
      </c>
      <c r="AL2556">
        <v>5</v>
      </c>
      <c r="AM2556">
        <v>0</v>
      </c>
      <c r="AN2556">
        <v>0</v>
      </c>
      <c r="AT2556">
        <v>2</v>
      </c>
      <c r="BC2556">
        <v>0</v>
      </c>
      <c r="BD2556">
        <v>7</v>
      </c>
      <c r="BE2556">
        <v>402</v>
      </c>
      <c r="BF2556">
        <v>410</v>
      </c>
      <c r="BG2556">
        <v>561</v>
      </c>
      <c r="BJ2556">
        <v>1</v>
      </c>
      <c r="BL2556" t="s">
        <v>5311</v>
      </c>
      <c r="BM2556" s="4">
        <v>43283.122916666667</v>
      </c>
      <c r="BN2556" s="4">
        <v>43283.135439814818</v>
      </c>
      <c r="BO2556" s="4">
        <v>43283.135439814818</v>
      </c>
      <c r="BP2556" t="s">
        <v>92</v>
      </c>
      <c r="BQ2556" t="s">
        <v>93</v>
      </c>
      <c r="BR2556" t="s">
        <v>94</v>
      </c>
    </row>
    <row r="2557" spans="1:70" x14ac:dyDescent="0.3">
      <c r="A2557" t="str">
        <f>"201750S0100"</f>
        <v>201750S0100</v>
      </c>
      <c r="B2557" t="s">
        <v>5312</v>
      </c>
      <c r="C2557">
        <v>20</v>
      </c>
      <c r="D2557" t="s">
        <v>88</v>
      </c>
      <c r="E2557">
        <v>392</v>
      </c>
      <c r="F2557" t="s">
        <v>5296</v>
      </c>
      <c r="G2557">
        <v>1750</v>
      </c>
      <c r="H2557">
        <v>1</v>
      </c>
      <c r="I2557" t="s">
        <v>113</v>
      </c>
      <c r="J2557">
        <v>0</v>
      </c>
      <c r="K2557">
        <v>1</v>
      </c>
      <c r="L2557">
        <v>6</v>
      </c>
      <c r="M2557">
        <v>755</v>
      </c>
      <c r="N2557">
        <v>17</v>
      </c>
      <c r="O2557">
        <v>0</v>
      </c>
      <c r="P2557">
        <v>17</v>
      </c>
      <c r="Q2557">
        <v>0</v>
      </c>
      <c r="R2557">
        <v>4</v>
      </c>
      <c r="S2557">
        <v>0</v>
      </c>
      <c r="T2557">
        <v>0</v>
      </c>
      <c r="U2557">
        <v>4</v>
      </c>
      <c r="V2557">
        <v>0</v>
      </c>
      <c r="W2557">
        <v>0</v>
      </c>
      <c r="X2557">
        <v>0</v>
      </c>
      <c r="Y2557">
        <v>8</v>
      </c>
      <c r="Z2557">
        <v>0</v>
      </c>
      <c r="AA2557">
        <v>0</v>
      </c>
      <c r="AB2557">
        <v>1</v>
      </c>
      <c r="AC2557">
        <v>0</v>
      </c>
      <c r="AD2557">
        <v>0</v>
      </c>
      <c r="AE2557">
        <v>0</v>
      </c>
      <c r="AF2557">
        <v>0</v>
      </c>
      <c r="AK2557">
        <v>0</v>
      </c>
      <c r="AL2557">
        <v>0</v>
      </c>
      <c r="AM2557">
        <v>0</v>
      </c>
      <c r="AN2557">
        <v>0</v>
      </c>
      <c r="AT2557">
        <v>0</v>
      </c>
      <c r="BC2557">
        <v>0</v>
      </c>
      <c r="BD2557">
        <v>0</v>
      </c>
      <c r="BE2557">
        <v>17</v>
      </c>
      <c r="BF2557">
        <v>17</v>
      </c>
      <c r="BG2557">
        <v>0</v>
      </c>
      <c r="BJ2557">
        <v>1</v>
      </c>
      <c r="BL2557" t="s">
        <v>5313</v>
      </c>
      <c r="BM2557" s="4">
        <v>43283.123611111114</v>
      </c>
      <c r="BN2557" s="4">
        <v>43283.13480324074</v>
      </c>
      <c r="BO2557" s="4">
        <v>43283.13480324074</v>
      </c>
      <c r="BP2557" t="s">
        <v>92</v>
      </c>
      <c r="BQ2557" t="s">
        <v>93</v>
      </c>
      <c r="BR2557" t="s">
        <v>94</v>
      </c>
    </row>
    <row r="2558" spans="1:70" x14ac:dyDescent="0.3">
      <c r="A2558" t="str">
        <f>"201751B0100"</f>
        <v>201751B0100</v>
      </c>
      <c r="B2558" t="s">
        <v>5314</v>
      </c>
      <c r="C2558">
        <v>20</v>
      </c>
      <c r="D2558" t="s">
        <v>88</v>
      </c>
      <c r="E2558">
        <v>392</v>
      </c>
      <c r="F2558" t="s">
        <v>5296</v>
      </c>
      <c r="G2558">
        <v>1751</v>
      </c>
      <c r="H2558">
        <v>1</v>
      </c>
      <c r="I2558" t="s">
        <v>90</v>
      </c>
      <c r="J2558">
        <v>0</v>
      </c>
      <c r="K2558">
        <v>1</v>
      </c>
      <c r="L2558">
        <v>5</v>
      </c>
      <c r="M2558">
        <v>247</v>
      </c>
      <c r="N2558">
        <v>498</v>
      </c>
      <c r="O2558">
        <v>3</v>
      </c>
      <c r="P2558">
        <v>498</v>
      </c>
      <c r="Q2558">
        <v>21</v>
      </c>
      <c r="R2558">
        <v>136</v>
      </c>
      <c r="S2558">
        <v>46</v>
      </c>
      <c r="T2558">
        <v>7</v>
      </c>
      <c r="U2558">
        <v>33</v>
      </c>
      <c r="V2558">
        <v>5</v>
      </c>
      <c r="W2558">
        <v>1</v>
      </c>
      <c r="X2558">
        <v>5</v>
      </c>
      <c r="Y2558">
        <v>191</v>
      </c>
      <c r="Z2558">
        <v>10</v>
      </c>
      <c r="AA2558">
        <v>7</v>
      </c>
      <c r="AB2558">
        <v>13</v>
      </c>
      <c r="AC2558">
        <v>0</v>
      </c>
      <c r="AD2558">
        <v>1</v>
      </c>
      <c r="AE2558">
        <v>1</v>
      </c>
      <c r="AF2558">
        <v>0</v>
      </c>
      <c r="AK2558">
        <v>6</v>
      </c>
      <c r="AL2558">
        <v>1</v>
      </c>
      <c r="AM2558">
        <v>1</v>
      </c>
      <c r="AN2558">
        <v>1</v>
      </c>
      <c r="AT2558">
        <v>6</v>
      </c>
      <c r="BC2558">
        <v>0</v>
      </c>
      <c r="BD2558">
        <v>6</v>
      </c>
      <c r="BE2558">
        <v>498</v>
      </c>
      <c r="BF2558">
        <v>498</v>
      </c>
      <c r="BG2558">
        <v>723</v>
      </c>
      <c r="BJ2558">
        <v>1</v>
      </c>
      <c r="BL2558" t="s">
        <v>5315</v>
      </c>
      <c r="BM2558" s="4">
        <v>43283.277083333334</v>
      </c>
      <c r="BN2558" s="4">
        <v>43283.309317129628</v>
      </c>
      <c r="BO2558" s="4">
        <v>43283.309317129628</v>
      </c>
      <c r="BP2558" t="s">
        <v>92</v>
      </c>
      <c r="BQ2558" t="s">
        <v>93</v>
      </c>
      <c r="BR2558" t="s">
        <v>94</v>
      </c>
    </row>
    <row r="2559" spans="1:70" x14ac:dyDescent="0.3">
      <c r="A2559" t="str">
        <f>"201751C0100"</f>
        <v>201751C0100</v>
      </c>
      <c r="B2559" t="s">
        <v>5316</v>
      </c>
      <c r="C2559">
        <v>20</v>
      </c>
      <c r="D2559" t="s">
        <v>88</v>
      </c>
      <c r="E2559">
        <v>392</v>
      </c>
      <c r="F2559" t="s">
        <v>5296</v>
      </c>
      <c r="G2559">
        <v>1751</v>
      </c>
      <c r="H2559">
        <v>1</v>
      </c>
      <c r="I2559" t="s">
        <v>98</v>
      </c>
      <c r="J2559">
        <v>0</v>
      </c>
      <c r="K2559">
        <v>1</v>
      </c>
      <c r="L2559">
        <v>5</v>
      </c>
      <c r="M2559">
        <v>273</v>
      </c>
      <c r="N2559">
        <v>471</v>
      </c>
      <c r="O2559">
        <v>0</v>
      </c>
      <c r="P2559">
        <v>471</v>
      </c>
      <c r="Q2559">
        <v>19</v>
      </c>
      <c r="R2559">
        <v>126</v>
      </c>
      <c r="S2559">
        <v>26</v>
      </c>
      <c r="T2559">
        <v>7</v>
      </c>
      <c r="U2559">
        <v>42</v>
      </c>
      <c r="V2559">
        <v>8</v>
      </c>
      <c r="W2559">
        <v>5</v>
      </c>
      <c r="X2559">
        <v>1</v>
      </c>
      <c r="Y2559">
        <v>179</v>
      </c>
      <c r="Z2559">
        <v>8</v>
      </c>
      <c r="AA2559">
        <v>9</v>
      </c>
      <c r="AB2559">
        <v>17</v>
      </c>
      <c r="AC2559">
        <v>1</v>
      </c>
      <c r="AD2559">
        <v>2</v>
      </c>
      <c r="AE2559">
        <v>0</v>
      </c>
      <c r="AF2559">
        <v>0</v>
      </c>
      <c r="AK2559">
        <v>5</v>
      </c>
      <c r="AL2559">
        <v>2</v>
      </c>
      <c r="AM2559">
        <v>0</v>
      </c>
      <c r="AN2559">
        <v>2</v>
      </c>
      <c r="AT2559">
        <v>1</v>
      </c>
      <c r="BC2559">
        <v>0</v>
      </c>
      <c r="BD2559">
        <v>11</v>
      </c>
      <c r="BE2559">
        <v>471</v>
      </c>
      <c r="BF2559">
        <v>471</v>
      </c>
      <c r="BG2559">
        <v>722</v>
      </c>
      <c r="BJ2559">
        <v>1</v>
      </c>
      <c r="BL2559" t="s">
        <v>5317</v>
      </c>
      <c r="BM2559" s="4">
        <v>43283.277083333334</v>
      </c>
      <c r="BN2559" s="4">
        <v>43283.308749999997</v>
      </c>
      <c r="BO2559" s="4">
        <v>43283.308749999997</v>
      </c>
      <c r="BP2559" t="s">
        <v>92</v>
      </c>
      <c r="BQ2559" t="s">
        <v>93</v>
      </c>
      <c r="BR2559" t="s">
        <v>94</v>
      </c>
    </row>
    <row r="2560" spans="1:70" x14ac:dyDescent="0.3">
      <c r="A2560" t="str">
        <f>"201751C0200"</f>
        <v>201751C0200</v>
      </c>
      <c r="B2560" t="s">
        <v>5318</v>
      </c>
      <c r="C2560">
        <v>20</v>
      </c>
      <c r="D2560" t="s">
        <v>88</v>
      </c>
      <c r="E2560">
        <v>392</v>
      </c>
      <c r="F2560" t="s">
        <v>5296</v>
      </c>
      <c r="G2560">
        <v>1751</v>
      </c>
      <c r="H2560">
        <v>2</v>
      </c>
      <c r="I2560" t="s">
        <v>98</v>
      </c>
      <c r="J2560">
        <v>0</v>
      </c>
      <c r="K2560">
        <v>1</v>
      </c>
      <c r="L2560">
        <v>5</v>
      </c>
      <c r="M2560">
        <v>269</v>
      </c>
      <c r="N2560">
        <v>474</v>
      </c>
      <c r="O2560">
        <v>4</v>
      </c>
      <c r="P2560">
        <v>474</v>
      </c>
      <c r="Q2560">
        <v>16</v>
      </c>
      <c r="R2560">
        <v>131</v>
      </c>
      <c r="S2560">
        <v>39</v>
      </c>
      <c r="T2560">
        <v>10</v>
      </c>
      <c r="U2560">
        <v>29</v>
      </c>
      <c r="V2560">
        <v>3</v>
      </c>
      <c r="W2560">
        <v>3</v>
      </c>
      <c r="X2560">
        <v>6</v>
      </c>
      <c r="Y2560">
        <v>188</v>
      </c>
      <c r="Z2560">
        <v>9</v>
      </c>
      <c r="AA2560">
        <v>4</v>
      </c>
      <c r="AB2560">
        <v>15</v>
      </c>
      <c r="AC2560">
        <v>1</v>
      </c>
      <c r="AD2560" t="s">
        <v>105</v>
      </c>
      <c r="AE2560" t="s">
        <v>105</v>
      </c>
      <c r="AF2560">
        <v>1</v>
      </c>
      <c r="AK2560">
        <v>6</v>
      </c>
      <c r="AL2560">
        <v>2</v>
      </c>
      <c r="AM2560" t="s">
        <v>105</v>
      </c>
      <c r="AN2560">
        <v>1</v>
      </c>
      <c r="AT2560">
        <v>3</v>
      </c>
      <c r="BC2560" t="s">
        <v>105</v>
      </c>
      <c r="BD2560">
        <v>7</v>
      </c>
      <c r="BE2560" t="s">
        <v>105</v>
      </c>
      <c r="BF2560">
        <v>474</v>
      </c>
      <c r="BG2560">
        <v>722</v>
      </c>
      <c r="BI2560" t="s">
        <v>106</v>
      </c>
      <c r="BJ2560">
        <v>1</v>
      </c>
      <c r="BL2560" t="s">
        <v>5319</v>
      </c>
      <c r="BM2560" s="4">
        <v>43283.277777777781</v>
      </c>
      <c r="BN2560" s="4">
        <v>43283.31</v>
      </c>
      <c r="BO2560" s="4">
        <v>43283.31</v>
      </c>
      <c r="BP2560" t="s">
        <v>92</v>
      </c>
      <c r="BQ2560" t="s">
        <v>93</v>
      </c>
      <c r="BR2560" t="s">
        <v>94</v>
      </c>
    </row>
    <row r="2561" spans="1:70" x14ac:dyDescent="0.3">
      <c r="A2561" t="str">
        <f>"201751C0300"</f>
        <v>201751C0300</v>
      </c>
      <c r="B2561" t="s">
        <v>5320</v>
      </c>
      <c r="C2561">
        <v>20</v>
      </c>
      <c r="D2561" t="s">
        <v>88</v>
      </c>
      <c r="E2561">
        <v>392</v>
      </c>
      <c r="F2561" t="s">
        <v>5296</v>
      </c>
      <c r="G2561">
        <v>1751</v>
      </c>
      <c r="H2561">
        <v>3</v>
      </c>
      <c r="I2561" t="s">
        <v>98</v>
      </c>
      <c r="J2561">
        <v>0</v>
      </c>
      <c r="K2561">
        <v>1</v>
      </c>
      <c r="L2561">
        <v>5</v>
      </c>
      <c r="M2561">
        <v>270</v>
      </c>
      <c r="N2561">
        <v>474</v>
      </c>
      <c r="O2561">
        <v>2</v>
      </c>
      <c r="P2561">
        <v>474</v>
      </c>
      <c r="Q2561">
        <v>23</v>
      </c>
      <c r="R2561">
        <v>126</v>
      </c>
      <c r="S2561">
        <v>30</v>
      </c>
      <c r="T2561">
        <v>4</v>
      </c>
      <c r="U2561">
        <v>51</v>
      </c>
      <c r="V2561">
        <v>3</v>
      </c>
      <c r="W2561">
        <v>4</v>
      </c>
      <c r="X2561">
        <v>13</v>
      </c>
      <c r="Y2561">
        <v>174</v>
      </c>
      <c r="Z2561">
        <v>6</v>
      </c>
      <c r="AA2561">
        <v>2</v>
      </c>
      <c r="AB2561">
        <v>9</v>
      </c>
      <c r="AC2561">
        <v>2</v>
      </c>
      <c r="AD2561">
        <v>0</v>
      </c>
      <c r="AE2561">
        <v>0</v>
      </c>
      <c r="AF2561">
        <v>0</v>
      </c>
      <c r="AK2561">
        <v>6</v>
      </c>
      <c r="AL2561">
        <v>2</v>
      </c>
      <c r="AM2561">
        <v>0</v>
      </c>
      <c r="AN2561">
        <v>2</v>
      </c>
      <c r="AT2561">
        <v>3</v>
      </c>
      <c r="BC2561">
        <v>0</v>
      </c>
      <c r="BD2561">
        <v>14</v>
      </c>
      <c r="BE2561">
        <v>474</v>
      </c>
      <c r="BF2561">
        <v>474</v>
      </c>
      <c r="BG2561">
        <v>722</v>
      </c>
      <c r="BJ2561">
        <v>1</v>
      </c>
      <c r="BL2561" t="s">
        <v>5321</v>
      </c>
      <c r="BM2561" s="4">
        <v>43283.277777777781</v>
      </c>
      <c r="BN2561" s="4">
        <v>43283.309050925927</v>
      </c>
      <c r="BO2561" s="4">
        <v>43283.309050925927</v>
      </c>
      <c r="BP2561" t="s">
        <v>92</v>
      </c>
      <c r="BQ2561" t="s">
        <v>93</v>
      </c>
      <c r="BR2561" t="s">
        <v>94</v>
      </c>
    </row>
    <row r="2562" spans="1:70" x14ac:dyDescent="0.3">
      <c r="A2562" t="str">
        <f>"201752B0100"</f>
        <v>201752B0100</v>
      </c>
      <c r="B2562" t="s">
        <v>5322</v>
      </c>
      <c r="C2562">
        <v>20</v>
      </c>
      <c r="D2562" t="s">
        <v>88</v>
      </c>
      <c r="E2562">
        <v>392</v>
      </c>
      <c r="F2562" t="s">
        <v>5296</v>
      </c>
      <c r="G2562">
        <v>1752</v>
      </c>
      <c r="H2562">
        <v>1</v>
      </c>
      <c r="I2562" t="s">
        <v>90</v>
      </c>
      <c r="J2562">
        <v>0</v>
      </c>
      <c r="K2562">
        <v>1</v>
      </c>
      <c r="L2562">
        <v>5</v>
      </c>
      <c r="M2562">
        <v>245</v>
      </c>
      <c r="N2562" t="s">
        <v>127</v>
      </c>
      <c r="O2562">
        <v>2</v>
      </c>
      <c r="P2562">
        <v>481</v>
      </c>
      <c r="Q2562">
        <v>26</v>
      </c>
      <c r="R2562">
        <v>143</v>
      </c>
      <c r="S2562">
        <v>12</v>
      </c>
      <c r="T2562">
        <v>12</v>
      </c>
      <c r="U2562">
        <v>19</v>
      </c>
      <c r="V2562">
        <v>4</v>
      </c>
      <c r="W2562">
        <v>2</v>
      </c>
      <c r="X2562">
        <v>16</v>
      </c>
      <c r="Y2562">
        <v>172</v>
      </c>
      <c r="Z2562">
        <v>1</v>
      </c>
      <c r="AA2562">
        <v>11</v>
      </c>
      <c r="AB2562">
        <v>3</v>
      </c>
      <c r="AC2562">
        <v>1</v>
      </c>
      <c r="AD2562">
        <v>2</v>
      </c>
      <c r="AE2562">
        <v>0</v>
      </c>
      <c r="AF2562">
        <v>0</v>
      </c>
      <c r="AK2562">
        <v>2</v>
      </c>
      <c r="AL2562">
        <v>3</v>
      </c>
      <c r="AM2562">
        <v>0</v>
      </c>
      <c r="AN2562">
        <v>5</v>
      </c>
      <c r="AT2562">
        <v>1</v>
      </c>
      <c r="BC2562">
        <v>0</v>
      </c>
      <c r="BD2562">
        <v>16</v>
      </c>
      <c r="BE2562">
        <v>481</v>
      </c>
      <c r="BF2562">
        <v>451</v>
      </c>
      <c r="BG2562">
        <v>708</v>
      </c>
      <c r="BJ2562">
        <v>1</v>
      </c>
      <c r="BL2562" t="s">
        <v>5323</v>
      </c>
      <c r="BM2562" s="4">
        <v>43283.277777777781</v>
      </c>
      <c r="BN2562" s="4">
        <v>43283.310324074075</v>
      </c>
      <c r="BO2562" s="4">
        <v>43283.310324074075</v>
      </c>
      <c r="BP2562" t="s">
        <v>92</v>
      </c>
      <c r="BQ2562" t="s">
        <v>93</v>
      </c>
      <c r="BR2562" t="s">
        <v>94</v>
      </c>
    </row>
    <row r="2563" spans="1:70" x14ac:dyDescent="0.3">
      <c r="A2563" t="str">
        <f>"201752C0100"</f>
        <v>201752C0100</v>
      </c>
      <c r="B2563" t="s">
        <v>5324</v>
      </c>
      <c r="C2563">
        <v>20</v>
      </c>
      <c r="D2563" t="s">
        <v>88</v>
      </c>
      <c r="E2563">
        <v>392</v>
      </c>
      <c r="F2563" t="s">
        <v>5296</v>
      </c>
      <c r="G2563">
        <v>1752</v>
      </c>
      <c r="H2563">
        <v>1</v>
      </c>
      <c r="I2563" t="s">
        <v>98</v>
      </c>
      <c r="J2563">
        <v>0</v>
      </c>
      <c r="K2563">
        <v>1</v>
      </c>
      <c r="L2563">
        <v>5</v>
      </c>
      <c r="BG2563">
        <v>707</v>
      </c>
      <c r="BI2563" t="s">
        <v>122</v>
      </c>
      <c r="BJ2563">
        <v>0</v>
      </c>
      <c r="BL2563" t="s">
        <v>5325</v>
      </c>
      <c r="BM2563" s="4">
        <v>43283.354166666664</v>
      </c>
      <c r="BN2563" s="4">
        <v>43283.363263888888</v>
      </c>
      <c r="BO2563" s="4">
        <v>43283.363263888888</v>
      </c>
      <c r="BP2563" t="s">
        <v>92</v>
      </c>
      <c r="BQ2563" t="s">
        <v>93</v>
      </c>
      <c r="BR2563" t="s">
        <v>94</v>
      </c>
    </row>
    <row r="2564" spans="1:70" x14ac:dyDescent="0.3">
      <c r="A2564" t="str">
        <f>"201753B0100"</f>
        <v>201753B0100</v>
      </c>
      <c r="B2564" t="s">
        <v>5326</v>
      </c>
      <c r="C2564">
        <v>20</v>
      </c>
      <c r="D2564" t="s">
        <v>88</v>
      </c>
      <c r="E2564">
        <v>392</v>
      </c>
      <c r="F2564" t="s">
        <v>5296</v>
      </c>
      <c r="G2564">
        <v>1753</v>
      </c>
      <c r="H2564">
        <v>1</v>
      </c>
      <c r="I2564" t="s">
        <v>90</v>
      </c>
      <c r="J2564">
        <v>0</v>
      </c>
      <c r="K2564">
        <v>1</v>
      </c>
      <c r="L2564">
        <v>5</v>
      </c>
      <c r="M2564" t="s">
        <v>105</v>
      </c>
      <c r="N2564">
        <v>443</v>
      </c>
      <c r="O2564">
        <v>5</v>
      </c>
      <c r="P2564" t="s">
        <v>105</v>
      </c>
      <c r="Q2564">
        <v>12</v>
      </c>
      <c r="R2564">
        <v>140</v>
      </c>
      <c r="S2564">
        <v>15</v>
      </c>
      <c r="T2564">
        <v>3</v>
      </c>
      <c r="U2564">
        <v>26</v>
      </c>
      <c r="V2564">
        <v>4</v>
      </c>
      <c r="W2564">
        <v>5</v>
      </c>
      <c r="X2564">
        <v>4</v>
      </c>
      <c r="Y2564">
        <v>207</v>
      </c>
      <c r="Z2564">
        <v>9</v>
      </c>
      <c r="AA2564">
        <v>2</v>
      </c>
      <c r="AB2564">
        <v>3</v>
      </c>
      <c r="AC2564">
        <v>1</v>
      </c>
      <c r="AD2564" t="s">
        <v>105</v>
      </c>
      <c r="AE2564" t="s">
        <v>105</v>
      </c>
      <c r="AF2564" t="s">
        <v>105</v>
      </c>
      <c r="AK2564">
        <v>3</v>
      </c>
      <c r="AL2564">
        <v>3</v>
      </c>
      <c r="AM2564" t="s">
        <v>105</v>
      </c>
      <c r="AN2564" t="s">
        <v>105</v>
      </c>
      <c r="AT2564">
        <v>3</v>
      </c>
      <c r="BC2564" t="s">
        <v>105</v>
      </c>
      <c r="BD2564">
        <v>8</v>
      </c>
      <c r="BE2564">
        <v>647</v>
      </c>
      <c r="BF2564">
        <v>448</v>
      </c>
      <c r="BG2564">
        <v>620</v>
      </c>
      <c r="BI2564" t="s">
        <v>106</v>
      </c>
      <c r="BJ2564">
        <v>1</v>
      </c>
      <c r="BL2564" t="s">
        <v>5327</v>
      </c>
      <c r="BM2564" s="4">
        <v>43283.219444444447</v>
      </c>
      <c r="BN2564" s="4">
        <v>43283.243854166663</v>
      </c>
      <c r="BO2564" s="4">
        <v>43283.243854166663</v>
      </c>
      <c r="BP2564" t="s">
        <v>92</v>
      </c>
      <c r="BQ2564" t="s">
        <v>93</v>
      </c>
      <c r="BR2564" t="s">
        <v>94</v>
      </c>
    </row>
    <row r="2565" spans="1:70" x14ac:dyDescent="0.3">
      <c r="A2565" t="str">
        <f>"201753C0100"</f>
        <v>201753C0100</v>
      </c>
      <c r="B2565" t="s">
        <v>5328</v>
      </c>
      <c r="C2565">
        <v>20</v>
      </c>
      <c r="D2565" t="s">
        <v>88</v>
      </c>
      <c r="E2565">
        <v>392</v>
      </c>
      <c r="F2565" t="s">
        <v>5296</v>
      </c>
      <c r="G2565">
        <v>1753</v>
      </c>
      <c r="H2565">
        <v>1</v>
      </c>
      <c r="I2565" t="s">
        <v>98</v>
      </c>
      <c r="J2565">
        <v>0</v>
      </c>
      <c r="K2565">
        <v>1</v>
      </c>
      <c r="L2565">
        <v>5</v>
      </c>
      <c r="M2565">
        <v>217</v>
      </c>
      <c r="N2565">
        <v>424</v>
      </c>
      <c r="O2565">
        <v>6</v>
      </c>
      <c r="P2565">
        <v>414</v>
      </c>
      <c r="Q2565">
        <v>15</v>
      </c>
      <c r="R2565">
        <v>120</v>
      </c>
      <c r="S2565">
        <v>12</v>
      </c>
      <c r="T2565">
        <v>7</v>
      </c>
      <c r="U2565">
        <v>18</v>
      </c>
      <c r="V2565">
        <v>4</v>
      </c>
      <c r="W2565">
        <v>4</v>
      </c>
      <c r="X2565">
        <v>5</v>
      </c>
      <c r="Y2565">
        <v>187</v>
      </c>
      <c r="Z2565">
        <v>10</v>
      </c>
      <c r="AA2565">
        <v>3</v>
      </c>
      <c r="AB2565">
        <v>8</v>
      </c>
      <c r="AC2565">
        <v>1</v>
      </c>
      <c r="AD2565">
        <v>0</v>
      </c>
      <c r="AE2565">
        <v>0</v>
      </c>
      <c r="AF2565">
        <v>0</v>
      </c>
      <c r="AK2565">
        <v>8</v>
      </c>
      <c r="AL2565">
        <v>2</v>
      </c>
      <c r="AM2565">
        <v>0</v>
      </c>
      <c r="AN2565">
        <v>0</v>
      </c>
      <c r="AT2565">
        <v>1</v>
      </c>
      <c r="BC2565">
        <v>0</v>
      </c>
      <c r="BD2565">
        <v>8</v>
      </c>
      <c r="BE2565">
        <v>414</v>
      </c>
      <c r="BF2565">
        <v>413</v>
      </c>
      <c r="BG2565">
        <v>619</v>
      </c>
      <c r="BJ2565">
        <v>1</v>
      </c>
      <c r="BL2565" t="s">
        <v>5329</v>
      </c>
      <c r="BM2565" s="4">
        <v>43283.129166666666</v>
      </c>
      <c r="BN2565" s="4">
        <v>43283.142708333333</v>
      </c>
      <c r="BO2565" s="4">
        <v>43283.142708333333</v>
      </c>
      <c r="BP2565" t="s">
        <v>92</v>
      </c>
      <c r="BQ2565" t="s">
        <v>93</v>
      </c>
      <c r="BR2565" t="s">
        <v>94</v>
      </c>
    </row>
    <row r="2566" spans="1:70" x14ac:dyDescent="0.3">
      <c r="A2566" t="str">
        <f>"201754B0100"</f>
        <v>201754B0100</v>
      </c>
      <c r="B2566" t="s">
        <v>5330</v>
      </c>
      <c r="C2566">
        <v>20</v>
      </c>
      <c r="D2566" t="s">
        <v>88</v>
      </c>
      <c r="E2566">
        <v>392</v>
      </c>
      <c r="F2566" t="s">
        <v>5296</v>
      </c>
      <c r="G2566">
        <v>1754</v>
      </c>
      <c r="H2566">
        <v>1</v>
      </c>
      <c r="I2566" t="s">
        <v>90</v>
      </c>
      <c r="J2566">
        <v>0</v>
      </c>
      <c r="K2566">
        <v>1</v>
      </c>
      <c r="L2566">
        <v>5</v>
      </c>
      <c r="M2566">
        <v>225</v>
      </c>
      <c r="N2566">
        <v>498</v>
      </c>
      <c r="O2566">
        <v>8</v>
      </c>
      <c r="P2566">
        <v>498</v>
      </c>
      <c r="Q2566">
        <v>13</v>
      </c>
      <c r="R2566">
        <v>135</v>
      </c>
      <c r="S2566">
        <v>29</v>
      </c>
      <c r="T2566">
        <v>8</v>
      </c>
      <c r="U2566">
        <v>28</v>
      </c>
      <c r="V2566">
        <v>7</v>
      </c>
      <c r="W2566">
        <v>4</v>
      </c>
      <c r="X2566">
        <v>2</v>
      </c>
      <c r="Y2566">
        <v>220</v>
      </c>
      <c r="Z2566">
        <v>5</v>
      </c>
      <c r="AA2566">
        <v>9</v>
      </c>
      <c r="AB2566">
        <v>5</v>
      </c>
      <c r="AC2566" t="s">
        <v>105</v>
      </c>
      <c r="AD2566">
        <v>1</v>
      </c>
      <c r="AE2566" t="s">
        <v>105</v>
      </c>
      <c r="AF2566" t="s">
        <v>105</v>
      </c>
      <c r="AK2566">
        <v>8</v>
      </c>
      <c r="AL2566">
        <v>5</v>
      </c>
      <c r="AM2566">
        <v>2</v>
      </c>
      <c r="AN2566" t="s">
        <v>105</v>
      </c>
      <c r="AT2566">
        <v>2</v>
      </c>
      <c r="BC2566">
        <v>1</v>
      </c>
      <c r="BD2566">
        <v>14</v>
      </c>
      <c r="BE2566">
        <v>498</v>
      </c>
      <c r="BF2566">
        <v>498</v>
      </c>
      <c r="BG2566">
        <v>700</v>
      </c>
      <c r="BI2566" t="s">
        <v>106</v>
      </c>
      <c r="BJ2566">
        <v>1</v>
      </c>
      <c r="BL2566" t="s">
        <v>5331</v>
      </c>
      <c r="BM2566" s="4">
        <v>43283.138194444444</v>
      </c>
      <c r="BN2566" s="4">
        <v>43283.170208333337</v>
      </c>
      <c r="BO2566" s="4">
        <v>43283.170208333337</v>
      </c>
      <c r="BP2566" t="s">
        <v>92</v>
      </c>
      <c r="BQ2566" t="s">
        <v>93</v>
      </c>
      <c r="BR2566" t="s">
        <v>94</v>
      </c>
    </row>
    <row r="2567" spans="1:70" x14ac:dyDescent="0.3">
      <c r="A2567" t="str">
        <f>"201754C0100"</f>
        <v>201754C0100</v>
      </c>
      <c r="B2567" t="s">
        <v>5332</v>
      </c>
      <c r="C2567">
        <v>20</v>
      </c>
      <c r="D2567" t="s">
        <v>88</v>
      </c>
      <c r="E2567">
        <v>392</v>
      </c>
      <c r="F2567" t="s">
        <v>5296</v>
      </c>
      <c r="G2567">
        <v>1754</v>
      </c>
      <c r="H2567">
        <v>1</v>
      </c>
      <c r="I2567" t="s">
        <v>98</v>
      </c>
      <c r="J2567">
        <v>0</v>
      </c>
      <c r="K2567">
        <v>1</v>
      </c>
      <c r="L2567">
        <v>5</v>
      </c>
      <c r="M2567">
        <v>213</v>
      </c>
      <c r="N2567">
        <v>508</v>
      </c>
      <c r="O2567">
        <v>4</v>
      </c>
      <c r="P2567">
        <v>508</v>
      </c>
      <c r="Q2567">
        <v>17</v>
      </c>
      <c r="R2567">
        <v>151</v>
      </c>
      <c r="S2567">
        <v>28</v>
      </c>
      <c r="T2567">
        <v>10</v>
      </c>
      <c r="U2567">
        <v>21</v>
      </c>
      <c r="V2567">
        <v>3</v>
      </c>
      <c r="W2567">
        <v>3</v>
      </c>
      <c r="X2567">
        <v>3</v>
      </c>
      <c r="Y2567">
        <v>216</v>
      </c>
      <c r="Z2567">
        <v>10</v>
      </c>
      <c r="AA2567">
        <v>13</v>
      </c>
      <c r="AB2567">
        <v>7</v>
      </c>
      <c r="AC2567">
        <v>3</v>
      </c>
      <c r="AD2567">
        <v>0</v>
      </c>
      <c r="AE2567">
        <v>0</v>
      </c>
      <c r="AF2567">
        <v>0</v>
      </c>
      <c r="AK2567">
        <v>7</v>
      </c>
      <c r="AL2567">
        <v>1</v>
      </c>
      <c r="AM2567">
        <v>0</v>
      </c>
      <c r="AN2567">
        <v>1</v>
      </c>
      <c r="AT2567">
        <v>5</v>
      </c>
      <c r="BC2567">
        <v>0</v>
      </c>
      <c r="BD2567">
        <v>9</v>
      </c>
      <c r="BE2567">
        <v>508</v>
      </c>
      <c r="BF2567">
        <v>508</v>
      </c>
      <c r="BG2567">
        <v>700</v>
      </c>
      <c r="BJ2567">
        <v>1</v>
      </c>
      <c r="BL2567" t="s">
        <v>5333</v>
      </c>
      <c r="BM2567" s="4">
        <v>43283.138194444444</v>
      </c>
      <c r="BN2567" s="4">
        <v>43283.149201388886</v>
      </c>
      <c r="BO2567" s="4">
        <v>43283.149201388886</v>
      </c>
      <c r="BP2567" t="s">
        <v>92</v>
      </c>
      <c r="BQ2567" t="s">
        <v>93</v>
      </c>
      <c r="BR2567" t="s">
        <v>94</v>
      </c>
    </row>
    <row r="2568" spans="1:70" x14ac:dyDescent="0.3">
      <c r="A2568" t="str">
        <f>"201755B0100"</f>
        <v>201755B0100</v>
      </c>
      <c r="B2568" t="s">
        <v>5334</v>
      </c>
      <c r="C2568">
        <v>20</v>
      </c>
      <c r="D2568" t="s">
        <v>88</v>
      </c>
      <c r="E2568">
        <v>392</v>
      </c>
      <c r="F2568" t="s">
        <v>5296</v>
      </c>
      <c r="G2568">
        <v>1755</v>
      </c>
      <c r="H2568">
        <v>1</v>
      </c>
      <c r="I2568" t="s">
        <v>90</v>
      </c>
      <c r="J2568">
        <v>0</v>
      </c>
      <c r="K2568">
        <v>1</v>
      </c>
      <c r="L2568">
        <v>5</v>
      </c>
      <c r="M2568">
        <v>178</v>
      </c>
      <c r="N2568">
        <v>381</v>
      </c>
      <c r="O2568">
        <v>2</v>
      </c>
      <c r="P2568">
        <v>380</v>
      </c>
      <c r="Q2568">
        <v>13</v>
      </c>
      <c r="R2568">
        <v>145</v>
      </c>
      <c r="S2568">
        <v>12</v>
      </c>
      <c r="T2568">
        <v>11</v>
      </c>
      <c r="U2568">
        <v>15</v>
      </c>
      <c r="V2568">
        <v>5</v>
      </c>
      <c r="W2568">
        <v>4</v>
      </c>
      <c r="X2568">
        <v>10</v>
      </c>
      <c r="Y2568">
        <v>116</v>
      </c>
      <c r="Z2568">
        <v>13</v>
      </c>
      <c r="AA2568">
        <v>8</v>
      </c>
      <c r="AB2568">
        <v>7</v>
      </c>
      <c r="AC2568">
        <v>1</v>
      </c>
      <c r="AD2568">
        <v>1</v>
      </c>
      <c r="AE2568">
        <v>0</v>
      </c>
      <c r="AF2568">
        <v>1</v>
      </c>
      <c r="AK2568">
        <v>4</v>
      </c>
      <c r="AL2568">
        <v>2</v>
      </c>
      <c r="AM2568">
        <v>0</v>
      </c>
      <c r="AN2568">
        <v>0</v>
      </c>
      <c r="AT2568">
        <v>5</v>
      </c>
      <c r="BC2568">
        <v>0</v>
      </c>
      <c r="BD2568">
        <v>7</v>
      </c>
      <c r="BE2568">
        <v>380</v>
      </c>
      <c r="BF2568">
        <v>380</v>
      </c>
      <c r="BG2568">
        <v>538</v>
      </c>
      <c r="BJ2568">
        <v>1</v>
      </c>
      <c r="BL2568" t="s">
        <v>5335</v>
      </c>
      <c r="BM2568" s="4">
        <v>43283.181250000001</v>
      </c>
      <c r="BN2568" s="4">
        <v>43283.200023148151</v>
      </c>
      <c r="BO2568" s="4">
        <v>43283.200023148151</v>
      </c>
      <c r="BP2568" t="s">
        <v>92</v>
      </c>
      <c r="BQ2568" t="s">
        <v>93</v>
      </c>
      <c r="BR2568" t="s">
        <v>94</v>
      </c>
    </row>
    <row r="2569" spans="1:70" x14ac:dyDescent="0.3">
      <c r="A2569" t="str">
        <f>"201755C0100"</f>
        <v>201755C0100</v>
      </c>
      <c r="B2569" t="s">
        <v>5336</v>
      </c>
      <c r="C2569">
        <v>20</v>
      </c>
      <c r="D2569" t="s">
        <v>88</v>
      </c>
      <c r="E2569">
        <v>392</v>
      </c>
      <c r="F2569" t="s">
        <v>5296</v>
      </c>
      <c r="G2569">
        <v>1755</v>
      </c>
      <c r="H2569">
        <v>1</v>
      </c>
      <c r="I2569" t="s">
        <v>98</v>
      </c>
      <c r="J2569">
        <v>0</v>
      </c>
      <c r="K2569">
        <v>1</v>
      </c>
      <c r="L2569">
        <v>5</v>
      </c>
      <c r="BG2569">
        <v>538</v>
      </c>
      <c r="BI2569" t="s">
        <v>122</v>
      </c>
      <c r="BJ2569">
        <v>0</v>
      </c>
      <c r="BL2569" t="s">
        <v>5337</v>
      </c>
      <c r="BM2569" s="4">
        <v>43283.354166666664</v>
      </c>
      <c r="BN2569" s="4">
        <v>43283.363680555558</v>
      </c>
      <c r="BO2569" s="4">
        <v>43283.363680555558</v>
      </c>
      <c r="BP2569" t="s">
        <v>92</v>
      </c>
      <c r="BQ2569" t="s">
        <v>93</v>
      </c>
      <c r="BR2569" t="s">
        <v>94</v>
      </c>
    </row>
    <row r="2570" spans="1:70" x14ac:dyDescent="0.3">
      <c r="A2570" t="str">
        <f>"201755C0200"</f>
        <v>201755C0200</v>
      </c>
      <c r="B2570" t="s">
        <v>5338</v>
      </c>
      <c r="C2570">
        <v>20</v>
      </c>
      <c r="D2570" t="s">
        <v>88</v>
      </c>
      <c r="E2570">
        <v>392</v>
      </c>
      <c r="F2570" t="s">
        <v>5296</v>
      </c>
      <c r="G2570">
        <v>1755</v>
      </c>
      <c r="H2570">
        <v>2</v>
      </c>
      <c r="I2570" t="s">
        <v>98</v>
      </c>
      <c r="J2570">
        <v>0</v>
      </c>
      <c r="K2570">
        <v>1</v>
      </c>
      <c r="L2570">
        <v>5</v>
      </c>
      <c r="M2570">
        <v>175</v>
      </c>
      <c r="N2570">
        <v>385</v>
      </c>
      <c r="O2570">
        <v>4</v>
      </c>
      <c r="P2570">
        <v>385</v>
      </c>
      <c r="Q2570">
        <v>20</v>
      </c>
      <c r="R2570">
        <v>140</v>
      </c>
      <c r="S2570">
        <v>26</v>
      </c>
      <c r="T2570">
        <v>8</v>
      </c>
      <c r="U2570">
        <v>13</v>
      </c>
      <c r="V2570">
        <v>6</v>
      </c>
      <c r="W2570">
        <v>0</v>
      </c>
      <c r="X2570">
        <v>10</v>
      </c>
      <c r="Y2570">
        <v>122</v>
      </c>
      <c r="Z2570">
        <v>8</v>
      </c>
      <c r="AA2570">
        <v>5</v>
      </c>
      <c r="AB2570">
        <v>10</v>
      </c>
      <c r="AC2570">
        <v>1</v>
      </c>
      <c r="AD2570">
        <v>0</v>
      </c>
      <c r="AE2570">
        <v>0</v>
      </c>
      <c r="AF2570">
        <v>1</v>
      </c>
      <c r="AK2570">
        <v>4</v>
      </c>
      <c r="AL2570">
        <v>2</v>
      </c>
      <c r="AM2570">
        <v>1</v>
      </c>
      <c r="AN2570">
        <v>1</v>
      </c>
      <c r="AT2570">
        <v>5</v>
      </c>
      <c r="BC2570">
        <v>0</v>
      </c>
      <c r="BD2570">
        <v>2</v>
      </c>
      <c r="BE2570">
        <v>385</v>
      </c>
      <c r="BF2570">
        <v>385</v>
      </c>
      <c r="BG2570">
        <v>538</v>
      </c>
      <c r="BJ2570">
        <v>1</v>
      </c>
      <c r="BL2570" t="s">
        <v>5339</v>
      </c>
      <c r="BM2570" s="4">
        <v>43283.181250000001</v>
      </c>
      <c r="BN2570" s="4">
        <v>43283.199293981481</v>
      </c>
      <c r="BO2570" s="4">
        <v>43283.199293981481</v>
      </c>
      <c r="BP2570" t="s">
        <v>92</v>
      </c>
      <c r="BQ2570" t="s">
        <v>93</v>
      </c>
      <c r="BR2570" t="s">
        <v>94</v>
      </c>
    </row>
    <row r="2571" spans="1:70" x14ac:dyDescent="0.3">
      <c r="A2571" t="str">
        <f>"201756B0100"</f>
        <v>201756B0100</v>
      </c>
      <c r="B2571" t="s">
        <v>5340</v>
      </c>
      <c r="C2571">
        <v>20</v>
      </c>
      <c r="D2571" t="s">
        <v>88</v>
      </c>
      <c r="E2571">
        <v>392</v>
      </c>
      <c r="F2571" t="s">
        <v>5296</v>
      </c>
      <c r="G2571">
        <v>1756</v>
      </c>
      <c r="H2571">
        <v>1</v>
      </c>
      <c r="I2571" t="s">
        <v>90</v>
      </c>
      <c r="J2571">
        <v>0</v>
      </c>
      <c r="K2571">
        <v>1</v>
      </c>
      <c r="L2571">
        <v>5</v>
      </c>
      <c r="M2571">
        <v>224</v>
      </c>
      <c r="N2571">
        <v>390</v>
      </c>
      <c r="O2571">
        <v>1</v>
      </c>
      <c r="P2571">
        <v>390</v>
      </c>
      <c r="Q2571">
        <v>35</v>
      </c>
      <c r="R2571">
        <v>84</v>
      </c>
      <c r="S2571">
        <v>41</v>
      </c>
      <c r="T2571">
        <v>6</v>
      </c>
      <c r="U2571">
        <v>12</v>
      </c>
      <c r="V2571">
        <v>5</v>
      </c>
      <c r="W2571">
        <v>5</v>
      </c>
      <c r="X2571">
        <v>7</v>
      </c>
      <c r="Y2571">
        <v>154</v>
      </c>
      <c r="Z2571">
        <v>5</v>
      </c>
      <c r="AA2571">
        <v>5</v>
      </c>
      <c r="AB2571">
        <v>7</v>
      </c>
      <c r="AC2571">
        <v>0</v>
      </c>
      <c r="AD2571">
        <v>1</v>
      </c>
      <c r="AE2571">
        <v>0</v>
      </c>
      <c r="AF2571">
        <v>0</v>
      </c>
      <c r="AK2571">
        <v>6</v>
      </c>
      <c r="AL2571">
        <v>1</v>
      </c>
      <c r="AM2571">
        <v>1</v>
      </c>
      <c r="AN2571">
        <v>0</v>
      </c>
      <c r="AT2571">
        <v>4</v>
      </c>
      <c r="BC2571">
        <v>0</v>
      </c>
      <c r="BD2571">
        <v>11</v>
      </c>
      <c r="BE2571">
        <v>390</v>
      </c>
      <c r="BF2571">
        <v>390</v>
      </c>
      <c r="BG2571">
        <v>592</v>
      </c>
      <c r="BJ2571">
        <v>1</v>
      </c>
      <c r="BL2571" t="s">
        <v>5341</v>
      </c>
      <c r="BM2571" s="4">
        <v>43283.183333333334</v>
      </c>
      <c r="BN2571" s="4">
        <v>43283.20820601852</v>
      </c>
      <c r="BO2571" s="4">
        <v>43283.20820601852</v>
      </c>
      <c r="BP2571" t="s">
        <v>92</v>
      </c>
      <c r="BQ2571" t="s">
        <v>93</v>
      </c>
      <c r="BR2571" t="s">
        <v>94</v>
      </c>
    </row>
    <row r="2572" spans="1:70" x14ac:dyDescent="0.3">
      <c r="A2572" t="str">
        <f>"201756C0100"</f>
        <v>201756C0100</v>
      </c>
      <c r="B2572" t="s">
        <v>5342</v>
      </c>
      <c r="C2572">
        <v>20</v>
      </c>
      <c r="D2572" t="s">
        <v>88</v>
      </c>
      <c r="E2572">
        <v>392</v>
      </c>
      <c r="F2572" t="s">
        <v>5296</v>
      </c>
      <c r="G2572">
        <v>1756</v>
      </c>
      <c r="H2572">
        <v>1</v>
      </c>
      <c r="I2572" t="s">
        <v>98</v>
      </c>
      <c r="J2572">
        <v>0</v>
      </c>
      <c r="K2572">
        <v>1</v>
      </c>
      <c r="L2572">
        <v>5</v>
      </c>
      <c r="M2572">
        <v>202</v>
      </c>
      <c r="N2572">
        <v>411</v>
      </c>
      <c r="O2572">
        <v>3</v>
      </c>
      <c r="P2572">
        <v>411</v>
      </c>
      <c r="Q2572">
        <v>22</v>
      </c>
      <c r="R2572">
        <v>104</v>
      </c>
      <c r="S2572">
        <v>24</v>
      </c>
      <c r="T2572">
        <v>13</v>
      </c>
      <c r="U2572">
        <v>28</v>
      </c>
      <c r="V2572">
        <v>5</v>
      </c>
      <c r="W2572">
        <v>2</v>
      </c>
      <c r="X2572">
        <v>13</v>
      </c>
      <c r="Y2572">
        <v>166</v>
      </c>
      <c r="Z2572">
        <v>4</v>
      </c>
      <c r="AA2572">
        <v>4</v>
      </c>
      <c r="AB2572">
        <v>10</v>
      </c>
      <c r="AC2572">
        <v>0</v>
      </c>
      <c r="AD2572">
        <v>0</v>
      </c>
      <c r="AE2572">
        <v>0</v>
      </c>
      <c r="AF2572">
        <v>0</v>
      </c>
      <c r="AK2572">
        <v>4</v>
      </c>
      <c r="AL2572">
        <v>2</v>
      </c>
      <c r="AM2572">
        <v>1</v>
      </c>
      <c r="AN2572">
        <v>0</v>
      </c>
      <c r="AT2572">
        <v>2</v>
      </c>
      <c r="BC2572">
        <v>0</v>
      </c>
      <c r="BD2572">
        <v>7</v>
      </c>
      <c r="BE2572">
        <v>411</v>
      </c>
      <c r="BF2572">
        <v>411</v>
      </c>
      <c r="BG2572">
        <v>591</v>
      </c>
      <c r="BJ2572">
        <v>1</v>
      </c>
      <c r="BL2572" t="s">
        <v>5343</v>
      </c>
      <c r="BM2572" s="4">
        <v>43283.183333333334</v>
      </c>
      <c r="BN2572" s="4">
        <v>43283.203125</v>
      </c>
      <c r="BO2572" s="4">
        <v>43283.203125</v>
      </c>
      <c r="BP2572" t="s">
        <v>92</v>
      </c>
      <c r="BQ2572" t="s">
        <v>93</v>
      </c>
      <c r="BR2572" t="s">
        <v>94</v>
      </c>
    </row>
    <row r="2573" spans="1:70" x14ac:dyDescent="0.3">
      <c r="A2573" t="str">
        <f>"201757B0100"</f>
        <v>201757B0100</v>
      </c>
      <c r="B2573" t="s">
        <v>5344</v>
      </c>
      <c r="C2573">
        <v>20</v>
      </c>
      <c r="D2573" t="s">
        <v>88</v>
      </c>
      <c r="E2573">
        <v>392</v>
      </c>
      <c r="F2573" t="s">
        <v>5296</v>
      </c>
      <c r="G2573">
        <v>1757</v>
      </c>
      <c r="H2573">
        <v>1</v>
      </c>
      <c r="I2573" t="s">
        <v>90</v>
      </c>
      <c r="J2573">
        <v>0</v>
      </c>
      <c r="K2573">
        <v>1</v>
      </c>
      <c r="L2573">
        <v>5</v>
      </c>
      <c r="M2573">
        <v>165</v>
      </c>
      <c r="N2573">
        <v>366</v>
      </c>
      <c r="O2573">
        <v>2</v>
      </c>
      <c r="P2573">
        <v>366</v>
      </c>
      <c r="Q2573">
        <v>18</v>
      </c>
      <c r="R2573">
        <v>76</v>
      </c>
      <c r="S2573">
        <v>33</v>
      </c>
      <c r="T2573">
        <v>11</v>
      </c>
      <c r="U2573">
        <v>19</v>
      </c>
      <c r="V2573">
        <v>3</v>
      </c>
      <c r="W2573">
        <v>7</v>
      </c>
      <c r="X2573">
        <v>4</v>
      </c>
      <c r="Y2573">
        <v>154</v>
      </c>
      <c r="Z2573">
        <v>8</v>
      </c>
      <c r="AA2573">
        <v>5</v>
      </c>
      <c r="AB2573">
        <v>6</v>
      </c>
      <c r="AC2573">
        <v>3</v>
      </c>
      <c r="AD2573">
        <v>1</v>
      </c>
      <c r="AE2573">
        <v>0</v>
      </c>
      <c r="AF2573">
        <v>0</v>
      </c>
      <c r="AK2573">
        <v>1</v>
      </c>
      <c r="AL2573">
        <v>1</v>
      </c>
      <c r="AM2573">
        <v>0</v>
      </c>
      <c r="AN2573">
        <v>0</v>
      </c>
      <c r="AT2573">
        <v>4</v>
      </c>
      <c r="BC2573">
        <v>0</v>
      </c>
      <c r="BD2573">
        <v>12</v>
      </c>
      <c r="BE2573">
        <v>366</v>
      </c>
      <c r="BF2573">
        <v>366</v>
      </c>
      <c r="BG2573">
        <v>509</v>
      </c>
      <c r="BJ2573">
        <v>1</v>
      </c>
      <c r="BL2573" t="s">
        <v>5345</v>
      </c>
      <c r="BM2573" s="4">
        <v>43283.277777777781</v>
      </c>
      <c r="BN2573" s="4">
        <v>43283.309849537036</v>
      </c>
      <c r="BO2573" s="4">
        <v>43283.309849537036</v>
      </c>
      <c r="BP2573" t="s">
        <v>92</v>
      </c>
      <c r="BQ2573" t="s">
        <v>93</v>
      </c>
      <c r="BR2573" t="s">
        <v>94</v>
      </c>
    </row>
    <row r="2574" spans="1:70" x14ac:dyDescent="0.3">
      <c r="A2574" t="str">
        <f>"201757C0100"</f>
        <v>201757C0100</v>
      </c>
      <c r="B2574" t="s">
        <v>5346</v>
      </c>
      <c r="C2574">
        <v>20</v>
      </c>
      <c r="D2574" t="s">
        <v>88</v>
      </c>
      <c r="E2574">
        <v>392</v>
      </c>
      <c r="F2574" t="s">
        <v>5296</v>
      </c>
      <c r="G2574">
        <v>1757</v>
      </c>
      <c r="H2574">
        <v>1</v>
      </c>
      <c r="I2574" t="s">
        <v>98</v>
      </c>
      <c r="J2574">
        <v>0</v>
      </c>
      <c r="K2574">
        <v>1</v>
      </c>
      <c r="L2574">
        <v>5</v>
      </c>
      <c r="M2574">
        <v>154</v>
      </c>
      <c r="N2574">
        <v>376</v>
      </c>
      <c r="O2574">
        <v>8</v>
      </c>
      <c r="P2574">
        <v>376</v>
      </c>
      <c r="Q2574">
        <v>23</v>
      </c>
      <c r="R2574">
        <v>102</v>
      </c>
      <c r="S2574">
        <v>48</v>
      </c>
      <c r="T2574">
        <v>8</v>
      </c>
      <c r="U2574">
        <v>12</v>
      </c>
      <c r="V2574">
        <v>9</v>
      </c>
      <c r="W2574">
        <v>7</v>
      </c>
      <c r="X2574">
        <v>7</v>
      </c>
      <c r="Y2574">
        <v>119</v>
      </c>
      <c r="Z2574">
        <v>5</v>
      </c>
      <c r="AA2574">
        <v>6</v>
      </c>
      <c r="AB2574">
        <v>6</v>
      </c>
      <c r="AC2574">
        <v>3</v>
      </c>
      <c r="AD2574">
        <v>2</v>
      </c>
      <c r="AE2574">
        <v>0</v>
      </c>
      <c r="AF2574">
        <v>1</v>
      </c>
      <c r="AK2574">
        <v>6</v>
      </c>
      <c r="AL2574">
        <v>2</v>
      </c>
      <c r="AM2574">
        <v>0</v>
      </c>
      <c r="AN2574">
        <v>0</v>
      </c>
      <c r="AT2574">
        <v>1</v>
      </c>
      <c r="BC2574">
        <v>0</v>
      </c>
      <c r="BD2574">
        <v>9</v>
      </c>
      <c r="BE2574">
        <v>376</v>
      </c>
      <c r="BF2574">
        <v>376</v>
      </c>
      <c r="BG2574">
        <v>508</v>
      </c>
      <c r="BJ2574">
        <v>1</v>
      </c>
      <c r="BL2574" t="s">
        <v>5347</v>
      </c>
      <c r="BM2574" s="4">
        <v>43283.27847222222</v>
      </c>
      <c r="BN2574" s="4">
        <v>43283.313715277778</v>
      </c>
      <c r="BO2574" s="4">
        <v>43283.313715277778</v>
      </c>
      <c r="BP2574" t="s">
        <v>92</v>
      </c>
      <c r="BQ2574" t="s">
        <v>93</v>
      </c>
      <c r="BR2574" t="s">
        <v>94</v>
      </c>
    </row>
    <row r="2575" spans="1:70" x14ac:dyDescent="0.3">
      <c r="A2575" t="str">
        <f>"201757C0200"</f>
        <v>201757C0200</v>
      </c>
      <c r="B2575" t="s">
        <v>5348</v>
      </c>
      <c r="C2575">
        <v>20</v>
      </c>
      <c r="D2575" t="s">
        <v>88</v>
      </c>
      <c r="E2575">
        <v>392</v>
      </c>
      <c r="F2575" t="s">
        <v>5296</v>
      </c>
      <c r="G2575">
        <v>1757</v>
      </c>
      <c r="H2575">
        <v>2</v>
      </c>
      <c r="I2575" t="s">
        <v>98</v>
      </c>
      <c r="J2575">
        <v>0</v>
      </c>
      <c r="K2575">
        <v>1</v>
      </c>
      <c r="L2575">
        <v>5</v>
      </c>
      <c r="M2575">
        <v>156</v>
      </c>
      <c r="N2575">
        <v>374</v>
      </c>
      <c r="O2575">
        <v>6</v>
      </c>
      <c r="P2575">
        <v>530</v>
      </c>
      <c r="Q2575">
        <v>19</v>
      </c>
      <c r="R2575">
        <v>87</v>
      </c>
      <c r="S2575">
        <v>46</v>
      </c>
      <c r="T2575">
        <v>8</v>
      </c>
      <c r="U2575">
        <v>20</v>
      </c>
      <c r="V2575">
        <v>2</v>
      </c>
      <c r="W2575">
        <v>6</v>
      </c>
      <c r="X2575">
        <v>6</v>
      </c>
      <c r="Y2575">
        <v>135</v>
      </c>
      <c r="Z2575">
        <v>4</v>
      </c>
      <c r="AA2575">
        <v>6</v>
      </c>
      <c r="AB2575">
        <v>12</v>
      </c>
      <c r="AC2575">
        <v>1</v>
      </c>
      <c r="AD2575">
        <v>0</v>
      </c>
      <c r="AE2575">
        <v>0</v>
      </c>
      <c r="AF2575">
        <v>0</v>
      </c>
      <c r="AK2575">
        <v>4</v>
      </c>
      <c r="AL2575">
        <v>0</v>
      </c>
      <c r="AM2575">
        <v>0</v>
      </c>
      <c r="AN2575">
        <v>1</v>
      </c>
      <c r="AT2575">
        <v>1</v>
      </c>
      <c r="BC2575">
        <v>1</v>
      </c>
      <c r="BD2575">
        <v>15</v>
      </c>
      <c r="BE2575">
        <v>374</v>
      </c>
      <c r="BF2575">
        <v>374</v>
      </c>
      <c r="BG2575">
        <v>508</v>
      </c>
      <c r="BJ2575">
        <v>1</v>
      </c>
      <c r="BL2575" t="s">
        <v>5349</v>
      </c>
      <c r="BM2575" s="4">
        <v>43283.27847222222</v>
      </c>
      <c r="BN2575" s="4">
        <v>43283.309895833336</v>
      </c>
      <c r="BO2575" s="4">
        <v>43283.309895833336</v>
      </c>
      <c r="BP2575" t="s">
        <v>92</v>
      </c>
      <c r="BQ2575" t="s">
        <v>93</v>
      </c>
      <c r="BR2575" t="s">
        <v>94</v>
      </c>
    </row>
    <row r="2576" spans="1:70" x14ac:dyDescent="0.3">
      <c r="A2576" t="str">
        <f>"201758B0100"</f>
        <v>201758B0100</v>
      </c>
      <c r="B2576" t="s">
        <v>5350</v>
      </c>
      <c r="C2576">
        <v>20</v>
      </c>
      <c r="D2576" t="s">
        <v>88</v>
      </c>
      <c r="E2576">
        <v>392</v>
      </c>
      <c r="F2576" t="s">
        <v>5296</v>
      </c>
      <c r="G2576">
        <v>1758</v>
      </c>
      <c r="H2576">
        <v>1</v>
      </c>
      <c r="I2576" t="s">
        <v>90</v>
      </c>
      <c r="J2576">
        <v>0</v>
      </c>
      <c r="K2576">
        <v>1</v>
      </c>
      <c r="L2576">
        <v>5</v>
      </c>
      <c r="M2576">
        <v>193</v>
      </c>
      <c r="N2576">
        <v>357</v>
      </c>
      <c r="O2576">
        <v>4</v>
      </c>
      <c r="P2576">
        <v>355</v>
      </c>
      <c r="Q2576">
        <v>21</v>
      </c>
      <c r="R2576">
        <v>114</v>
      </c>
      <c r="S2576">
        <v>29</v>
      </c>
      <c r="T2576">
        <v>7</v>
      </c>
      <c r="U2576">
        <v>10</v>
      </c>
      <c r="V2576">
        <v>4</v>
      </c>
      <c r="W2576">
        <v>6</v>
      </c>
      <c r="X2576">
        <v>7</v>
      </c>
      <c r="Y2576">
        <v>128</v>
      </c>
      <c r="Z2576">
        <v>3</v>
      </c>
      <c r="AA2576">
        <v>5</v>
      </c>
      <c r="AB2576">
        <v>6</v>
      </c>
      <c r="AC2576">
        <v>0</v>
      </c>
      <c r="AD2576">
        <v>1</v>
      </c>
      <c r="AE2576">
        <v>0</v>
      </c>
      <c r="AF2576">
        <v>0</v>
      </c>
      <c r="AK2576">
        <v>3</v>
      </c>
      <c r="AL2576">
        <v>2</v>
      </c>
      <c r="AM2576">
        <v>1</v>
      </c>
      <c r="AN2576">
        <v>0</v>
      </c>
      <c r="AT2576">
        <v>1</v>
      </c>
      <c r="BC2576">
        <v>0</v>
      </c>
      <c r="BD2576">
        <v>7</v>
      </c>
      <c r="BE2576">
        <v>355</v>
      </c>
      <c r="BF2576">
        <v>355</v>
      </c>
      <c r="BG2576">
        <v>528</v>
      </c>
      <c r="BJ2576">
        <v>1</v>
      </c>
      <c r="BL2576" t="s">
        <v>5351</v>
      </c>
      <c r="BM2576" s="4">
        <v>43283.27847222222</v>
      </c>
      <c r="BN2576" s="4">
        <v>43283.31</v>
      </c>
      <c r="BO2576" s="4">
        <v>43283.31</v>
      </c>
      <c r="BP2576" t="s">
        <v>92</v>
      </c>
      <c r="BQ2576" t="s">
        <v>93</v>
      </c>
      <c r="BR2576" t="s">
        <v>94</v>
      </c>
    </row>
    <row r="2577" spans="1:70" x14ac:dyDescent="0.3">
      <c r="A2577" t="str">
        <f>"201758C0100"</f>
        <v>201758C0100</v>
      </c>
      <c r="B2577" t="s">
        <v>5352</v>
      </c>
      <c r="C2577">
        <v>20</v>
      </c>
      <c r="D2577" t="s">
        <v>88</v>
      </c>
      <c r="E2577">
        <v>392</v>
      </c>
      <c r="F2577" t="s">
        <v>5296</v>
      </c>
      <c r="G2577">
        <v>1758</v>
      </c>
      <c r="H2577">
        <v>1</v>
      </c>
      <c r="I2577" t="s">
        <v>98</v>
      </c>
      <c r="J2577">
        <v>0</v>
      </c>
      <c r="K2577">
        <v>1</v>
      </c>
      <c r="L2577">
        <v>5</v>
      </c>
      <c r="M2577">
        <v>179</v>
      </c>
      <c r="N2577">
        <v>370</v>
      </c>
      <c r="O2577">
        <v>0</v>
      </c>
      <c r="P2577">
        <v>370</v>
      </c>
      <c r="Q2577">
        <v>20</v>
      </c>
      <c r="R2577">
        <v>83</v>
      </c>
      <c r="S2577">
        <v>31</v>
      </c>
      <c r="T2577">
        <v>10</v>
      </c>
      <c r="U2577">
        <v>19</v>
      </c>
      <c r="V2577">
        <v>5</v>
      </c>
      <c r="W2577">
        <v>14</v>
      </c>
      <c r="X2577">
        <v>7</v>
      </c>
      <c r="Y2577">
        <v>146</v>
      </c>
      <c r="Z2577">
        <v>3</v>
      </c>
      <c r="AA2577">
        <v>11</v>
      </c>
      <c r="AB2577">
        <v>8</v>
      </c>
      <c r="AC2577">
        <v>2</v>
      </c>
      <c r="AD2577">
        <v>0</v>
      </c>
      <c r="AE2577">
        <v>0</v>
      </c>
      <c r="AF2577">
        <v>0</v>
      </c>
      <c r="AK2577">
        <v>2</v>
      </c>
      <c r="AL2577">
        <v>3</v>
      </c>
      <c r="AM2577">
        <v>0</v>
      </c>
      <c r="AN2577">
        <v>1</v>
      </c>
      <c r="AT2577">
        <v>1</v>
      </c>
      <c r="BC2577">
        <v>0</v>
      </c>
      <c r="BD2577">
        <v>4</v>
      </c>
      <c r="BE2577">
        <v>370</v>
      </c>
      <c r="BF2577">
        <v>370</v>
      </c>
      <c r="BG2577">
        <v>527</v>
      </c>
      <c r="BJ2577">
        <v>1</v>
      </c>
      <c r="BL2577" t="s">
        <v>5353</v>
      </c>
      <c r="BM2577" s="4">
        <v>43283.27847222222</v>
      </c>
      <c r="BN2577" s="4">
        <v>43283.310324074075</v>
      </c>
      <c r="BO2577" s="4">
        <v>43283.310324074075</v>
      </c>
      <c r="BP2577" t="s">
        <v>92</v>
      </c>
      <c r="BQ2577" t="s">
        <v>93</v>
      </c>
      <c r="BR2577" t="s">
        <v>94</v>
      </c>
    </row>
    <row r="2578" spans="1:70" x14ac:dyDescent="0.3">
      <c r="A2578" t="str">
        <f>"201758C0200"</f>
        <v>201758C0200</v>
      </c>
      <c r="B2578" t="s">
        <v>5354</v>
      </c>
      <c r="C2578">
        <v>20</v>
      </c>
      <c r="D2578" t="s">
        <v>88</v>
      </c>
      <c r="E2578">
        <v>392</v>
      </c>
      <c r="F2578" t="s">
        <v>5296</v>
      </c>
      <c r="G2578">
        <v>1758</v>
      </c>
      <c r="H2578">
        <v>2</v>
      </c>
      <c r="I2578" t="s">
        <v>98</v>
      </c>
      <c r="J2578">
        <v>0</v>
      </c>
      <c r="K2578">
        <v>1</v>
      </c>
      <c r="L2578">
        <v>5</v>
      </c>
      <c r="M2578">
        <v>170</v>
      </c>
      <c r="N2578">
        <v>379</v>
      </c>
      <c r="O2578">
        <v>10</v>
      </c>
      <c r="P2578">
        <v>379</v>
      </c>
      <c r="Q2578">
        <v>17</v>
      </c>
      <c r="R2578">
        <v>102</v>
      </c>
      <c r="S2578">
        <v>27</v>
      </c>
      <c r="T2578">
        <v>5</v>
      </c>
      <c r="U2578">
        <v>11</v>
      </c>
      <c r="V2578">
        <v>9</v>
      </c>
      <c r="W2578">
        <v>7</v>
      </c>
      <c r="X2578">
        <v>5</v>
      </c>
      <c r="Y2578">
        <v>150</v>
      </c>
      <c r="Z2578">
        <v>5</v>
      </c>
      <c r="AA2578">
        <v>10</v>
      </c>
      <c r="AB2578">
        <v>8</v>
      </c>
      <c r="AC2578">
        <v>0</v>
      </c>
      <c r="AD2578">
        <v>0</v>
      </c>
      <c r="AE2578">
        <v>0</v>
      </c>
      <c r="AF2578">
        <v>0</v>
      </c>
      <c r="AK2578">
        <v>3</v>
      </c>
      <c r="AL2578">
        <v>2</v>
      </c>
      <c r="AM2578">
        <v>0</v>
      </c>
      <c r="AN2578">
        <v>0</v>
      </c>
      <c r="AT2578">
        <v>2</v>
      </c>
      <c r="BC2578">
        <v>0</v>
      </c>
      <c r="BD2578">
        <v>16</v>
      </c>
      <c r="BE2578">
        <v>379</v>
      </c>
      <c r="BF2578">
        <v>379</v>
      </c>
      <c r="BG2578">
        <v>527</v>
      </c>
      <c r="BJ2578">
        <v>1</v>
      </c>
      <c r="BL2578" t="s">
        <v>5355</v>
      </c>
      <c r="BM2578" s="4">
        <v>43283.27847222222</v>
      </c>
      <c r="BN2578" s="4">
        <v>43283.31077546296</v>
      </c>
      <c r="BO2578" s="4">
        <v>43283.31077546296</v>
      </c>
      <c r="BP2578" t="s">
        <v>92</v>
      </c>
      <c r="BQ2578" t="s">
        <v>93</v>
      </c>
      <c r="BR2578" t="s">
        <v>94</v>
      </c>
    </row>
    <row r="2579" spans="1:70" x14ac:dyDescent="0.3">
      <c r="A2579" t="str">
        <f>"201759B0100"</f>
        <v>201759B0100</v>
      </c>
      <c r="B2579" t="s">
        <v>5356</v>
      </c>
      <c r="C2579">
        <v>20</v>
      </c>
      <c r="D2579" t="s">
        <v>88</v>
      </c>
      <c r="E2579">
        <v>392</v>
      </c>
      <c r="F2579" t="s">
        <v>5296</v>
      </c>
      <c r="G2579">
        <v>1759</v>
      </c>
      <c r="H2579">
        <v>1</v>
      </c>
      <c r="I2579" t="s">
        <v>90</v>
      </c>
      <c r="J2579">
        <v>0</v>
      </c>
      <c r="K2579">
        <v>1</v>
      </c>
      <c r="L2579">
        <v>5</v>
      </c>
      <c r="M2579">
        <v>181</v>
      </c>
      <c r="N2579">
        <v>408</v>
      </c>
      <c r="O2579">
        <v>9</v>
      </c>
      <c r="P2579">
        <v>408</v>
      </c>
      <c r="Q2579">
        <v>15</v>
      </c>
      <c r="R2579">
        <v>126</v>
      </c>
      <c r="S2579">
        <v>37</v>
      </c>
      <c r="T2579">
        <v>14</v>
      </c>
      <c r="U2579">
        <v>16</v>
      </c>
      <c r="V2579">
        <v>5</v>
      </c>
      <c r="W2579">
        <v>13</v>
      </c>
      <c r="X2579">
        <v>4</v>
      </c>
      <c r="Y2579">
        <v>135</v>
      </c>
      <c r="Z2579">
        <v>6</v>
      </c>
      <c r="AA2579">
        <v>3</v>
      </c>
      <c r="AB2579">
        <v>6</v>
      </c>
      <c r="AC2579">
        <v>2</v>
      </c>
      <c r="AD2579">
        <v>0</v>
      </c>
      <c r="AE2579">
        <v>0</v>
      </c>
      <c r="AF2579">
        <v>0</v>
      </c>
      <c r="AK2579">
        <v>7</v>
      </c>
      <c r="AL2579">
        <v>1</v>
      </c>
      <c r="AM2579">
        <v>0</v>
      </c>
      <c r="AN2579">
        <v>0</v>
      </c>
      <c r="AT2579">
        <v>2</v>
      </c>
      <c r="BC2579">
        <v>0</v>
      </c>
      <c r="BD2579">
        <v>16</v>
      </c>
      <c r="BE2579">
        <v>408</v>
      </c>
      <c r="BF2579">
        <v>408</v>
      </c>
      <c r="BG2579">
        <v>567</v>
      </c>
      <c r="BJ2579">
        <v>1</v>
      </c>
      <c r="BL2579" t="s">
        <v>5357</v>
      </c>
      <c r="BM2579" s="4">
        <v>43283.27847222222</v>
      </c>
      <c r="BN2579" s="4">
        <v>43283.310335648152</v>
      </c>
      <c r="BO2579" s="4">
        <v>43283.310335648152</v>
      </c>
      <c r="BP2579" t="s">
        <v>92</v>
      </c>
      <c r="BQ2579" t="s">
        <v>93</v>
      </c>
      <c r="BR2579" t="s">
        <v>94</v>
      </c>
    </row>
    <row r="2580" spans="1:70" x14ac:dyDescent="0.3">
      <c r="A2580" t="str">
        <f>"201759C0100"</f>
        <v>201759C0100</v>
      </c>
      <c r="B2580" t="s">
        <v>5358</v>
      </c>
      <c r="C2580">
        <v>20</v>
      </c>
      <c r="D2580" t="s">
        <v>88</v>
      </c>
      <c r="E2580">
        <v>392</v>
      </c>
      <c r="F2580" t="s">
        <v>5296</v>
      </c>
      <c r="G2580">
        <v>1759</v>
      </c>
      <c r="H2580">
        <v>1</v>
      </c>
      <c r="I2580" t="s">
        <v>98</v>
      </c>
      <c r="J2580">
        <v>0</v>
      </c>
      <c r="K2580">
        <v>1</v>
      </c>
      <c r="L2580">
        <v>5</v>
      </c>
      <c r="M2580">
        <v>197</v>
      </c>
      <c r="N2580">
        <v>392</v>
      </c>
      <c r="O2580">
        <v>0</v>
      </c>
      <c r="P2580">
        <v>382</v>
      </c>
      <c r="Q2580">
        <v>15</v>
      </c>
      <c r="R2580">
        <v>110</v>
      </c>
      <c r="S2580">
        <v>53</v>
      </c>
      <c r="T2580">
        <v>10</v>
      </c>
      <c r="U2580">
        <v>17</v>
      </c>
      <c r="V2580">
        <v>10</v>
      </c>
      <c r="W2580">
        <v>9</v>
      </c>
      <c r="X2580">
        <v>4</v>
      </c>
      <c r="Y2580">
        <v>120</v>
      </c>
      <c r="Z2580">
        <v>1</v>
      </c>
      <c r="AA2580">
        <v>6</v>
      </c>
      <c r="AB2580">
        <v>6</v>
      </c>
      <c r="AC2580">
        <v>1</v>
      </c>
      <c r="AD2580">
        <v>1</v>
      </c>
      <c r="AE2580">
        <v>0</v>
      </c>
      <c r="AF2580">
        <v>0</v>
      </c>
      <c r="AK2580">
        <v>4</v>
      </c>
      <c r="AL2580">
        <v>1</v>
      </c>
      <c r="AM2580">
        <v>0</v>
      </c>
      <c r="AN2580">
        <v>0</v>
      </c>
      <c r="AT2580">
        <v>5</v>
      </c>
      <c r="BC2580">
        <v>0</v>
      </c>
      <c r="BD2580">
        <v>9</v>
      </c>
      <c r="BE2580">
        <v>382</v>
      </c>
      <c r="BF2580">
        <v>382</v>
      </c>
      <c r="BG2580">
        <v>567</v>
      </c>
      <c r="BJ2580">
        <v>1</v>
      </c>
      <c r="BL2580" t="s">
        <v>5359</v>
      </c>
      <c r="BM2580" s="4">
        <v>43283.27847222222</v>
      </c>
      <c r="BN2580" s="4">
        <v>43283.315752314818</v>
      </c>
      <c r="BO2580" s="4">
        <v>43283.315752314818</v>
      </c>
      <c r="BP2580" t="s">
        <v>92</v>
      </c>
      <c r="BQ2580" t="s">
        <v>93</v>
      </c>
      <c r="BR2580" t="s">
        <v>94</v>
      </c>
    </row>
    <row r="2581" spans="1:70" x14ac:dyDescent="0.3">
      <c r="A2581" t="str">
        <f>"201759C0200"</f>
        <v>201759C0200</v>
      </c>
      <c r="B2581" t="s">
        <v>5360</v>
      </c>
      <c r="C2581">
        <v>20</v>
      </c>
      <c r="D2581" t="s">
        <v>88</v>
      </c>
      <c r="E2581">
        <v>392</v>
      </c>
      <c r="F2581" t="s">
        <v>5296</v>
      </c>
      <c r="G2581">
        <v>1759</v>
      </c>
      <c r="H2581">
        <v>2</v>
      </c>
      <c r="I2581" t="s">
        <v>98</v>
      </c>
      <c r="J2581">
        <v>0</v>
      </c>
      <c r="K2581">
        <v>1</v>
      </c>
      <c r="L2581">
        <v>5</v>
      </c>
      <c r="M2581">
        <v>206</v>
      </c>
      <c r="N2581">
        <v>382</v>
      </c>
      <c r="O2581">
        <v>2</v>
      </c>
      <c r="P2581">
        <v>378</v>
      </c>
      <c r="Q2581">
        <v>14</v>
      </c>
      <c r="R2581">
        <v>108</v>
      </c>
      <c r="S2581">
        <v>32</v>
      </c>
      <c r="T2581">
        <v>16</v>
      </c>
      <c r="U2581">
        <v>13</v>
      </c>
      <c r="V2581">
        <v>5</v>
      </c>
      <c r="W2581">
        <v>0</v>
      </c>
      <c r="X2581">
        <v>7</v>
      </c>
      <c r="Y2581">
        <v>159</v>
      </c>
      <c r="Z2581">
        <v>5</v>
      </c>
      <c r="AA2581">
        <v>6</v>
      </c>
      <c r="AB2581">
        <v>1</v>
      </c>
      <c r="AC2581">
        <v>1</v>
      </c>
      <c r="AD2581">
        <v>0</v>
      </c>
      <c r="AE2581">
        <v>0</v>
      </c>
      <c r="AF2581">
        <v>0</v>
      </c>
      <c r="AK2581">
        <v>3</v>
      </c>
      <c r="AL2581">
        <v>1</v>
      </c>
      <c r="AM2581">
        <v>0</v>
      </c>
      <c r="AN2581">
        <v>0</v>
      </c>
      <c r="AT2581">
        <v>8</v>
      </c>
      <c r="BC2581">
        <v>0</v>
      </c>
      <c r="BD2581">
        <v>14</v>
      </c>
      <c r="BE2581">
        <v>378</v>
      </c>
      <c r="BF2581">
        <v>393</v>
      </c>
      <c r="BG2581">
        <v>566</v>
      </c>
      <c r="BJ2581">
        <v>1</v>
      </c>
      <c r="BL2581" t="s">
        <v>5361</v>
      </c>
      <c r="BM2581" s="4">
        <v>43283.279166666667</v>
      </c>
      <c r="BN2581" s="4">
        <v>43283.314212962963</v>
      </c>
      <c r="BO2581" s="4">
        <v>43283.314212962963</v>
      </c>
      <c r="BP2581" t="s">
        <v>92</v>
      </c>
      <c r="BQ2581" t="s">
        <v>93</v>
      </c>
      <c r="BR2581" t="s">
        <v>94</v>
      </c>
    </row>
    <row r="2582" spans="1:70" x14ac:dyDescent="0.3">
      <c r="A2582" t="str">
        <f>"201760B0100"</f>
        <v>201760B0100</v>
      </c>
      <c r="B2582" t="s">
        <v>5362</v>
      </c>
      <c r="C2582">
        <v>20</v>
      </c>
      <c r="D2582" t="s">
        <v>88</v>
      </c>
      <c r="E2582">
        <v>392</v>
      </c>
      <c r="F2582" t="s">
        <v>5296</v>
      </c>
      <c r="G2582">
        <v>1760</v>
      </c>
      <c r="H2582">
        <v>1</v>
      </c>
      <c r="I2582" t="s">
        <v>90</v>
      </c>
      <c r="J2582">
        <v>0</v>
      </c>
      <c r="K2582">
        <v>1</v>
      </c>
      <c r="L2582">
        <v>5</v>
      </c>
      <c r="M2582">
        <v>206</v>
      </c>
      <c r="N2582">
        <v>459</v>
      </c>
      <c r="O2582">
        <v>7</v>
      </c>
      <c r="P2582">
        <v>457</v>
      </c>
      <c r="Q2582">
        <v>6</v>
      </c>
      <c r="R2582">
        <v>134</v>
      </c>
      <c r="S2582">
        <v>60</v>
      </c>
      <c r="T2582">
        <v>12</v>
      </c>
      <c r="U2582">
        <v>14</v>
      </c>
      <c r="V2582">
        <v>6</v>
      </c>
      <c r="W2582">
        <v>3</v>
      </c>
      <c r="X2582">
        <v>6</v>
      </c>
      <c r="Y2582">
        <v>182</v>
      </c>
      <c r="Z2582">
        <v>3</v>
      </c>
      <c r="AA2582">
        <v>4</v>
      </c>
      <c r="AB2582">
        <v>8</v>
      </c>
      <c r="AC2582">
        <v>0</v>
      </c>
      <c r="AD2582">
        <v>0</v>
      </c>
      <c r="AE2582">
        <v>0</v>
      </c>
      <c r="AF2582">
        <v>0</v>
      </c>
      <c r="AK2582">
        <v>5</v>
      </c>
      <c r="AL2582">
        <v>2</v>
      </c>
      <c r="AM2582">
        <v>0</v>
      </c>
      <c r="AN2582">
        <v>0</v>
      </c>
      <c r="AT2582">
        <v>1</v>
      </c>
      <c r="BC2582">
        <v>0</v>
      </c>
      <c r="BD2582">
        <v>11</v>
      </c>
      <c r="BE2582">
        <v>457</v>
      </c>
      <c r="BF2582">
        <v>457</v>
      </c>
      <c r="BG2582">
        <v>643</v>
      </c>
      <c r="BJ2582">
        <v>1</v>
      </c>
      <c r="BL2582" t="s">
        <v>5363</v>
      </c>
      <c r="BM2582" s="4">
        <v>43283.131944444445</v>
      </c>
      <c r="BN2582" s="4">
        <v>43283.141099537039</v>
      </c>
      <c r="BO2582" s="4">
        <v>43283.141099537039</v>
      </c>
      <c r="BP2582" t="s">
        <v>92</v>
      </c>
      <c r="BQ2582" t="s">
        <v>93</v>
      </c>
      <c r="BR2582" t="s">
        <v>94</v>
      </c>
    </row>
    <row r="2583" spans="1:70" x14ac:dyDescent="0.3">
      <c r="A2583" t="str">
        <f>"201760C0100"</f>
        <v>201760C0100</v>
      </c>
      <c r="B2583" t="s">
        <v>5364</v>
      </c>
      <c r="C2583">
        <v>20</v>
      </c>
      <c r="D2583" t="s">
        <v>88</v>
      </c>
      <c r="E2583">
        <v>392</v>
      </c>
      <c r="F2583" t="s">
        <v>5296</v>
      </c>
      <c r="G2583">
        <v>1760</v>
      </c>
      <c r="H2583">
        <v>1</v>
      </c>
      <c r="I2583" t="s">
        <v>98</v>
      </c>
      <c r="J2583">
        <v>0</v>
      </c>
      <c r="K2583">
        <v>1</v>
      </c>
      <c r="L2583">
        <v>5</v>
      </c>
      <c r="M2583">
        <v>235</v>
      </c>
      <c r="N2583">
        <v>430</v>
      </c>
      <c r="O2583">
        <v>4</v>
      </c>
      <c r="P2583">
        <v>426</v>
      </c>
      <c r="Q2583">
        <v>7</v>
      </c>
      <c r="R2583">
        <v>115</v>
      </c>
      <c r="S2583">
        <v>40</v>
      </c>
      <c r="T2583">
        <v>18</v>
      </c>
      <c r="U2583">
        <v>15</v>
      </c>
      <c r="V2583">
        <v>1</v>
      </c>
      <c r="W2583">
        <v>10</v>
      </c>
      <c r="X2583">
        <v>0</v>
      </c>
      <c r="Y2583">
        <v>185</v>
      </c>
      <c r="Z2583">
        <v>7</v>
      </c>
      <c r="AA2583">
        <v>8</v>
      </c>
      <c r="AB2583">
        <v>7</v>
      </c>
      <c r="AC2583">
        <v>2</v>
      </c>
      <c r="AD2583">
        <v>0</v>
      </c>
      <c r="AE2583">
        <v>0</v>
      </c>
      <c r="AF2583">
        <v>0</v>
      </c>
      <c r="AK2583">
        <v>2</v>
      </c>
      <c r="AL2583">
        <v>3</v>
      </c>
      <c r="AM2583">
        <v>0</v>
      </c>
      <c r="AN2583">
        <v>0</v>
      </c>
      <c r="AT2583">
        <v>2</v>
      </c>
      <c r="BC2583">
        <v>0</v>
      </c>
      <c r="BD2583">
        <v>10</v>
      </c>
      <c r="BE2583">
        <v>432</v>
      </c>
      <c r="BF2583">
        <v>432</v>
      </c>
      <c r="BG2583">
        <v>643</v>
      </c>
      <c r="BJ2583">
        <v>1</v>
      </c>
      <c r="BL2583" t="s">
        <v>5365</v>
      </c>
      <c r="BM2583" s="4">
        <v>43283.129861111112</v>
      </c>
      <c r="BN2583" s="4">
        <v>43283.138206018521</v>
      </c>
      <c r="BO2583" s="4">
        <v>43283.138206018521</v>
      </c>
      <c r="BP2583" t="s">
        <v>92</v>
      </c>
      <c r="BQ2583" t="s">
        <v>93</v>
      </c>
      <c r="BR2583" t="s">
        <v>94</v>
      </c>
    </row>
    <row r="2584" spans="1:70" x14ac:dyDescent="0.3">
      <c r="A2584" t="str">
        <f>"201760C0200"</f>
        <v>201760C0200</v>
      </c>
      <c r="B2584" t="s">
        <v>5366</v>
      </c>
      <c r="C2584">
        <v>20</v>
      </c>
      <c r="D2584" t="s">
        <v>88</v>
      </c>
      <c r="E2584">
        <v>392</v>
      </c>
      <c r="F2584" t="s">
        <v>5296</v>
      </c>
      <c r="G2584">
        <v>1760</v>
      </c>
      <c r="H2584">
        <v>2</v>
      </c>
      <c r="I2584" t="s">
        <v>98</v>
      </c>
      <c r="J2584">
        <v>0</v>
      </c>
      <c r="K2584">
        <v>1</v>
      </c>
      <c r="L2584">
        <v>5</v>
      </c>
      <c r="M2584">
        <v>243</v>
      </c>
      <c r="N2584">
        <v>422</v>
      </c>
      <c r="O2584">
        <v>4</v>
      </c>
      <c r="P2584">
        <v>422</v>
      </c>
      <c r="Q2584">
        <v>15</v>
      </c>
      <c r="R2584">
        <v>119</v>
      </c>
      <c r="S2584">
        <v>38</v>
      </c>
      <c r="T2584">
        <v>17</v>
      </c>
      <c r="U2584">
        <v>23</v>
      </c>
      <c r="V2584">
        <v>10</v>
      </c>
      <c r="W2584">
        <v>9</v>
      </c>
      <c r="X2584">
        <v>2</v>
      </c>
      <c r="Y2584">
        <v>146</v>
      </c>
      <c r="Z2584">
        <v>3</v>
      </c>
      <c r="AA2584">
        <v>7</v>
      </c>
      <c r="AB2584">
        <v>8</v>
      </c>
      <c r="AC2584">
        <v>1</v>
      </c>
      <c r="AD2584">
        <v>1</v>
      </c>
      <c r="AE2584">
        <v>0</v>
      </c>
      <c r="AF2584">
        <v>0</v>
      </c>
      <c r="AK2584">
        <v>1</v>
      </c>
      <c r="AL2584">
        <v>6</v>
      </c>
      <c r="AM2584">
        <v>2</v>
      </c>
      <c r="AN2584">
        <v>0</v>
      </c>
      <c r="AT2584">
        <v>1</v>
      </c>
      <c r="BC2584">
        <v>0</v>
      </c>
      <c r="BD2584">
        <v>11</v>
      </c>
      <c r="BE2584">
        <v>420</v>
      </c>
      <c r="BF2584">
        <v>420</v>
      </c>
      <c r="BG2584">
        <v>643</v>
      </c>
      <c r="BJ2584">
        <v>1</v>
      </c>
      <c r="BL2584" t="s">
        <v>5367</v>
      </c>
      <c r="BM2584" s="4">
        <v>43283.144444444442</v>
      </c>
      <c r="BN2584" s="4">
        <v>43283.173692129632</v>
      </c>
      <c r="BO2584" s="4">
        <v>43283.173692129632</v>
      </c>
      <c r="BP2584" t="s">
        <v>92</v>
      </c>
      <c r="BQ2584" t="s">
        <v>93</v>
      </c>
      <c r="BR2584" t="s">
        <v>94</v>
      </c>
    </row>
    <row r="2585" spans="1:70" x14ac:dyDescent="0.3">
      <c r="A2585" t="str">
        <f>"201760C0300"</f>
        <v>201760C0300</v>
      </c>
      <c r="B2585" t="s">
        <v>5368</v>
      </c>
      <c r="C2585">
        <v>20</v>
      </c>
      <c r="D2585" t="s">
        <v>88</v>
      </c>
      <c r="E2585">
        <v>392</v>
      </c>
      <c r="F2585" t="s">
        <v>5296</v>
      </c>
      <c r="G2585">
        <v>1760</v>
      </c>
      <c r="H2585">
        <v>3</v>
      </c>
      <c r="I2585" t="s">
        <v>98</v>
      </c>
      <c r="J2585">
        <v>0</v>
      </c>
      <c r="K2585">
        <v>1</v>
      </c>
      <c r="L2585">
        <v>5</v>
      </c>
      <c r="M2585">
        <v>245</v>
      </c>
      <c r="N2585">
        <v>420</v>
      </c>
      <c r="O2585">
        <v>8</v>
      </c>
      <c r="P2585">
        <v>411</v>
      </c>
      <c r="Q2585">
        <v>13</v>
      </c>
      <c r="R2585">
        <v>109</v>
      </c>
      <c r="S2585">
        <v>44</v>
      </c>
      <c r="T2585">
        <v>5</v>
      </c>
      <c r="U2585">
        <v>22</v>
      </c>
      <c r="V2585">
        <v>5</v>
      </c>
      <c r="W2585">
        <v>6</v>
      </c>
      <c r="X2585">
        <v>167</v>
      </c>
      <c r="Y2585">
        <v>2</v>
      </c>
      <c r="Z2585">
        <v>15</v>
      </c>
      <c r="AA2585">
        <v>0</v>
      </c>
      <c r="AB2585">
        <v>0</v>
      </c>
      <c r="AC2585">
        <v>0</v>
      </c>
      <c r="AD2585">
        <v>0</v>
      </c>
      <c r="AE2585">
        <v>1</v>
      </c>
      <c r="AF2585">
        <v>3</v>
      </c>
      <c r="AK2585">
        <v>0</v>
      </c>
      <c r="AL2585">
        <v>3</v>
      </c>
      <c r="AM2585">
        <v>1</v>
      </c>
      <c r="AN2585">
        <v>0</v>
      </c>
      <c r="AT2585">
        <v>1</v>
      </c>
      <c r="BC2585">
        <v>2</v>
      </c>
      <c r="BD2585">
        <v>13</v>
      </c>
      <c r="BE2585">
        <v>411</v>
      </c>
      <c r="BF2585">
        <v>412</v>
      </c>
      <c r="BG2585">
        <v>643</v>
      </c>
      <c r="BJ2585">
        <v>1</v>
      </c>
      <c r="BL2585" t="s">
        <v>5369</v>
      </c>
      <c r="BM2585" s="4">
        <v>43283.145138888889</v>
      </c>
      <c r="BN2585" s="4">
        <v>43283.161412037036</v>
      </c>
      <c r="BO2585" s="4">
        <v>43283.161412037036</v>
      </c>
      <c r="BP2585" t="s">
        <v>92</v>
      </c>
      <c r="BQ2585" t="s">
        <v>93</v>
      </c>
      <c r="BR2585" t="s">
        <v>94</v>
      </c>
    </row>
    <row r="2586" spans="1:70" x14ac:dyDescent="0.3">
      <c r="A2586" t="str">
        <f>"201761B0100"</f>
        <v>201761B0100</v>
      </c>
      <c r="B2586" t="s">
        <v>5370</v>
      </c>
      <c r="C2586">
        <v>20</v>
      </c>
      <c r="D2586" t="s">
        <v>88</v>
      </c>
      <c r="E2586">
        <v>392</v>
      </c>
      <c r="F2586" t="s">
        <v>5296</v>
      </c>
      <c r="G2586">
        <v>1761</v>
      </c>
      <c r="H2586">
        <v>1</v>
      </c>
      <c r="I2586" t="s">
        <v>90</v>
      </c>
      <c r="J2586">
        <v>0</v>
      </c>
      <c r="K2586">
        <v>1</v>
      </c>
      <c r="L2586">
        <v>5</v>
      </c>
      <c r="M2586">
        <v>279</v>
      </c>
      <c r="N2586">
        <v>467</v>
      </c>
      <c r="O2586">
        <v>6</v>
      </c>
      <c r="P2586">
        <v>467</v>
      </c>
      <c r="Q2586">
        <v>20</v>
      </c>
      <c r="R2586">
        <v>126</v>
      </c>
      <c r="S2586">
        <v>27</v>
      </c>
      <c r="T2586">
        <v>7</v>
      </c>
      <c r="U2586">
        <v>18</v>
      </c>
      <c r="V2586">
        <v>2</v>
      </c>
      <c r="W2586">
        <v>4</v>
      </c>
      <c r="X2586">
        <v>7</v>
      </c>
      <c r="Y2586">
        <v>207</v>
      </c>
      <c r="Z2586">
        <v>5</v>
      </c>
      <c r="AA2586">
        <v>11</v>
      </c>
      <c r="AB2586">
        <v>8</v>
      </c>
      <c r="AC2586">
        <v>0</v>
      </c>
      <c r="AD2586">
        <v>0</v>
      </c>
      <c r="AE2586">
        <v>0</v>
      </c>
      <c r="AF2586">
        <v>0</v>
      </c>
      <c r="AK2586">
        <v>4</v>
      </c>
      <c r="AL2586">
        <v>1</v>
      </c>
      <c r="AM2586">
        <v>0</v>
      </c>
      <c r="AN2586">
        <v>0</v>
      </c>
      <c r="AT2586" t="s">
        <v>105</v>
      </c>
      <c r="BC2586">
        <v>0</v>
      </c>
      <c r="BD2586">
        <v>18</v>
      </c>
      <c r="BE2586">
        <v>467</v>
      </c>
      <c r="BF2586">
        <v>465</v>
      </c>
      <c r="BG2586">
        <v>724</v>
      </c>
      <c r="BI2586" t="s">
        <v>106</v>
      </c>
      <c r="BJ2586">
        <v>1</v>
      </c>
      <c r="BL2586" t="s">
        <v>5371</v>
      </c>
      <c r="BM2586" s="4">
        <v>43283.145833333336</v>
      </c>
      <c r="BN2586" s="4">
        <v>43283.163761574076</v>
      </c>
      <c r="BO2586" s="4">
        <v>43283.163761574076</v>
      </c>
      <c r="BP2586" t="s">
        <v>92</v>
      </c>
      <c r="BQ2586" t="s">
        <v>93</v>
      </c>
      <c r="BR2586" t="s">
        <v>94</v>
      </c>
    </row>
    <row r="2587" spans="1:70" x14ac:dyDescent="0.3">
      <c r="A2587" t="str">
        <f>"201761C0100"</f>
        <v>201761C0100</v>
      </c>
      <c r="B2587" t="s">
        <v>5372</v>
      </c>
      <c r="C2587">
        <v>20</v>
      </c>
      <c r="D2587" t="s">
        <v>88</v>
      </c>
      <c r="E2587">
        <v>392</v>
      </c>
      <c r="F2587" t="s">
        <v>5296</v>
      </c>
      <c r="G2587">
        <v>1761</v>
      </c>
      <c r="H2587">
        <v>1</v>
      </c>
      <c r="I2587" t="s">
        <v>98</v>
      </c>
      <c r="J2587">
        <v>0</v>
      </c>
      <c r="K2587">
        <v>1</v>
      </c>
      <c r="L2587">
        <v>5</v>
      </c>
      <c r="M2587">
        <v>249</v>
      </c>
      <c r="N2587">
        <v>497</v>
      </c>
      <c r="O2587">
        <v>6</v>
      </c>
      <c r="P2587">
        <v>497</v>
      </c>
      <c r="Q2587">
        <v>25</v>
      </c>
      <c r="R2587">
        <v>125</v>
      </c>
      <c r="S2587">
        <v>46</v>
      </c>
      <c r="T2587">
        <v>7</v>
      </c>
      <c r="U2587">
        <v>21</v>
      </c>
      <c r="V2587">
        <v>9</v>
      </c>
      <c r="W2587">
        <v>5</v>
      </c>
      <c r="X2587">
        <v>9</v>
      </c>
      <c r="Y2587">
        <v>178</v>
      </c>
      <c r="Z2587">
        <v>5</v>
      </c>
      <c r="AA2587">
        <v>21</v>
      </c>
      <c r="AB2587">
        <v>9</v>
      </c>
      <c r="AC2587">
        <v>3</v>
      </c>
      <c r="AD2587">
        <v>1</v>
      </c>
      <c r="AE2587">
        <v>0</v>
      </c>
      <c r="AF2587">
        <v>0</v>
      </c>
      <c r="AK2587">
        <v>4</v>
      </c>
      <c r="AL2587">
        <v>2</v>
      </c>
      <c r="AM2587">
        <v>0</v>
      </c>
      <c r="AN2587">
        <v>1</v>
      </c>
      <c r="AT2587">
        <v>7</v>
      </c>
      <c r="BC2587">
        <v>0</v>
      </c>
      <c r="BD2587">
        <v>19</v>
      </c>
      <c r="BE2587">
        <v>497</v>
      </c>
      <c r="BF2587">
        <v>497</v>
      </c>
      <c r="BG2587">
        <v>724</v>
      </c>
      <c r="BJ2587">
        <v>1</v>
      </c>
      <c r="BL2587" t="s">
        <v>5373</v>
      </c>
      <c r="BM2587" s="4">
        <v>43283.182638888888</v>
      </c>
      <c r="BN2587" s="4">
        <v>43283.20108796296</v>
      </c>
      <c r="BO2587" s="4">
        <v>43283.20108796296</v>
      </c>
      <c r="BP2587" t="s">
        <v>92</v>
      </c>
      <c r="BQ2587" t="s">
        <v>93</v>
      </c>
      <c r="BR2587" t="s">
        <v>94</v>
      </c>
    </row>
    <row r="2588" spans="1:70" x14ac:dyDescent="0.3">
      <c r="A2588" t="str">
        <f>"201761C0200"</f>
        <v>201761C0200</v>
      </c>
      <c r="B2588" t="s">
        <v>5374</v>
      </c>
      <c r="C2588">
        <v>20</v>
      </c>
      <c r="D2588" t="s">
        <v>88</v>
      </c>
      <c r="E2588">
        <v>392</v>
      </c>
      <c r="F2588" t="s">
        <v>5296</v>
      </c>
      <c r="G2588">
        <v>1761</v>
      </c>
      <c r="H2588">
        <v>2</v>
      </c>
      <c r="I2588" t="s">
        <v>98</v>
      </c>
      <c r="J2588">
        <v>0</v>
      </c>
      <c r="K2588">
        <v>1</v>
      </c>
      <c r="L2588">
        <v>5</v>
      </c>
      <c r="M2588">
        <v>266</v>
      </c>
      <c r="N2588">
        <v>480</v>
      </c>
      <c r="O2588">
        <v>0</v>
      </c>
      <c r="P2588">
        <v>478</v>
      </c>
      <c r="Q2588">
        <v>15</v>
      </c>
      <c r="R2588">
        <v>133</v>
      </c>
      <c r="S2588">
        <v>23</v>
      </c>
      <c r="T2588">
        <v>8</v>
      </c>
      <c r="U2588">
        <v>21</v>
      </c>
      <c r="V2588">
        <v>4</v>
      </c>
      <c r="W2588">
        <v>9</v>
      </c>
      <c r="X2588">
        <v>5</v>
      </c>
      <c r="Y2588">
        <v>207</v>
      </c>
      <c r="Z2588">
        <v>6</v>
      </c>
      <c r="AA2588">
        <v>9</v>
      </c>
      <c r="AB2588">
        <v>10</v>
      </c>
      <c r="AC2588">
        <v>1</v>
      </c>
      <c r="AD2588">
        <v>0</v>
      </c>
      <c r="AE2588">
        <v>0</v>
      </c>
      <c r="AF2588">
        <v>0</v>
      </c>
      <c r="AK2588">
        <v>0</v>
      </c>
      <c r="AL2588">
        <v>6</v>
      </c>
      <c r="AM2588">
        <v>2</v>
      </c>
      <c r="AN2588">
        <v>3</v>
      </c>
      <c r="AT2588">
        <v>2</v>
      </c>
      <c r="BC2588">
        <v>0</v>
      </c>
      <c r="BD2588">
        <v>14</v>
      </c>
      <c r="BE2588">
        <v>478</v>
      </c>
      <c r="BF2588">
        <v>478</v>
      </c>
      <c r="BG2588">
        <v>724</v>
      </c>
      <c r="BJ2588">
        <v>1</v>
      </c>
      <c r="BL2588" t="s">
        <v>5375</v>
      </c>
      <c r="BM2588" s="4">
        <v>43283.145833333336</v>
      </c>
      <c r="BN2588" s="4">
        <v>43283.160462962966</v>
      </c>
      <c r="BO2588" s="4">
        <v>43283.160462962966</v>
      </c>
      <c r="BP2588" t="s">
        <v>92</v>
      </c>
      <c r="BQ2588" t="s">
        <v>93</v>
      </c>
      <c r="BR2588" t="s">
        <v>94</v>
      </c>
    </row>
    <row r="2589" spans="1:70" x14ac:dyDescent="0.3">
      <c r="A2589" t="str">
        <f>"201761C0300"</f>
        <v>201761C0300</v>
      </c>
      <c r="B2589" t="s">
        <v>5376</v>
      </c>
      <c r="C2589">
        <v>20</v>
      </c>
      <c r="D2589" t="s">
        <v>88</v>
      </c>
      <c r="E2589">
        <v>392</v>
      </c>
      <c r="F2589" t="s">
        <v>5296</v>
      </c>
      <c r="G2589">
        <v>1761</v>
      </c>
      <c r="H2589">
        <v>3</v>
      </c>
      <c r="I2589" t="s">
        <v>98</v>
      </c>
      <c r="J2589">
        <v>0</v>
      </c>
      <c r="K2589">
        <v>1</v>
      </c>
      <c r="L2589">
        <v>5</v>
      </c>
      <c r="M2589">
        <v>281</v>
      </c>
      <c r="N2589">
        <v>467</v>
      </c>
      <c r="O2589">
        <v>3</v>
      </c>
      <c r="P2589">
        <v>464</v>
      </c>
      <c r="Q2589">
        <v>15</v>
      </c>
      <c r="R2589">
        <v>128</v>
      </c>
      <c r="S2589">
        <v>17</v>
      </c>
      <c r="T2589">
        <v>17</v>
      </c>
      <c r="U2589">
        <v>20</v>
      </c>
      <c r="V2589">
        <v>6</v>
      </c>
      <c r="W2589">
        <v>2</v>
      </c>
      <c r="X2589">
        <v>4</v>
      </c>
      <c r="Y2589">
        <v>210</v>
      </c>
      <c r="Z2589">
        <v>3</v>
      </c>
      <c r="AA2589">
        <v>12</v>
      </c>
      <c r="AB2589">
        <v>7</v>
      </c>
      <c r="AC2589">
        <v>0</v>
      </c>
      <c r="AD2589">
        <v>0</v>
      </c>
      <c r="AE2589">
        <v>0</v>
      </c>
      <c r="AF2589">
        <v>0</v>
      </c>
      <c r="AK2589">
        <v>0</v>
      </c>
      <c r="AL2589">
        <v>8</v>
      </c>
      <c r="AM2589">
        <v>0</v>
      </c>
      <c r="AN2589">
        <v>0</v>
      </c>
      <c r="AT2589">
        <v>0</v>
      </c>
      <c r="BC2589">
        <v>6</v>
      </c>
      <c r="BD2589">
        <v>15</v>
      </c>
      <c r="BE2589">
        <v>464</v>
      </c>
      <c r="BF2589">
        <v>470</v>
      </c>
      <c r="BG2589">
        <v>723</v>
      </c>
      <c r="BJ2589">
        <v>1</v>
      </c>
      <c r="BL2589" t="s">
        <v>5377</v>
      </c>
      <c r="BM2589" s="4">
        <v>43283.115277777775</v>
      </c>
      <c r="BN2589" s="4">
        <v>43283.142210648148</v>
      </c>
      <c r="BO2589" s="4">
        <v>43283.142210648148</v>
      </c>
      <c r="BP2589" t="s">
        <v>92</v>
      </c>
      <c r="BQ2589" t="s">
        <v>93</v>
      </c>
      <c r="BR2589" t="s">
        <v>94</v>
      </c>
    </row>
    <row r="2590" spans="1:70" x14ac:dyDescent="0.3">
      <c r="A2590" t="str">
        <f>"201762B0100"</f>
        <v>201762B0100</v>
      </c>
      <c r="B2590" t="s">
        <v>5378</v>
      </c>
      <c r="C2590">
        <v>20</v>
      </c>
      <c r="D2590" t="s">
        <v>88</v>
      </c>
      <c r="E2590">
        <v>392</v>
      </c>
      <c r="F2590" t="s">
        <v>5296</v>
      </c>
      <c r="G2590">
        <v>1762</v>
      </c>
      <c r="H2590">
        <v>1</v>
      </c>
      <c r="I2590" t="s">
        <v>90</v>
      </c>
      <c r="J2590">
        <v>0</v>
      </c>
      <c r="K2590">
        <v>1</v>
      </c>
      <c r="L2590">
        <v>5</v>
      </c>
      <c r="M2590">
        <v>262</v>
      </c>
      <c r="N2590">
        <v>374</v>
      </c>
      <c r="O2590">
        <v>5</v>
      </c>
      <c r="P2590">
        <v>374</v>
      </c>
      <c r="Q2590">
        <v>9</v>
      </c>
      <c r="R2590">
        <v>120</v>
      </c>
      <c r="S2590">
        <v>11</v>
      </c>
      <c r="T2590">
        <v>8</v>
      </c>
      <c r="U2590">
        <v>21</v>
      </c>
      <c r="V2590">
        <v>4</v>
      </c>
      <c r="W2590">
        <v>1</v>
      </c>
      <c r="X2590">
        <v>10</v>
      </c>
      <c r="Y2590">
        <v>143</v>
      </c>
      <c r="Z2590">
        <v>1</v>
      </c>
      <c r="AA2590">
        <v>10</v>
      </c>
      <c r="AB2590">
        <v>17</v>
      </c>
      <c r="AC2590">
        <v>1</v>
      </c>
      <c r="AD2590">
        <v>1</v>
      </c>
      <c r="AE2590">
        <v>0</v>
      </c>
      <c r="AF2590">
        <v>0</v>
      </c>
      <c r="AK2590">
        <v>2</v>
      </c>
      <c r="AL2590">
        <v>2</v>
      </c>
      <c r="AM2590">
        <v>0</v>
      </c>
      <c r="AN2590">
        <v>0</v>
      </c>
      <c r="AT2590">
        <v>2</v>
      </c>
      <c r="BC2590">
        <v>0</v>
      </c>
      <c r="BD2590">
        <v>11</v>
      </c>
      <c r="BE2590">
        <v>374</v>
      </c>
      <c r="BF2590">
        <v>374</v>
      </c>
      <c r="BG2590">
        <v>613</v>
      </c>
      <c r="BJ2590">
        <v>1</v>
      </c>
      <c r="BL2590" t="s">
        <v>5379</v>
      </c>
      <c r="BM2590" s="4">
        <v>43283.120833333334</v>
      </c>
      <c r="BN2590" s="4">
        <v>43283.126203703701</v>
      </c>
      <c r="BO2590" s="4">
        <v>43283.126203703701</v>
      </c>
      <c r="BP2590" t="s">
        <v>92</v>
      </c>
      <c r="BQ2590" t="s">
        <v>93</v>
      </c>
      <c r="BR2590" t="s">
        <v>94</v>
      </c>
    </row>
    <row r="2591" spans="1:70" x14ac:dyDescent="0.3">
      <c r="A2591" t="str">
        <f>"201762C0100"</f>
        <v>201762C0100</v>
      </c>
      <c r="B2591" t="s">
        <v>5380</v>
      </c>
      <c r="C2591">
        <v>20</v>
      </c>
      <c r="D2591" t="s">
        <v>88</v>
      </c>
      <c r="E2591">
        <v>392</v>
      </c>
      <c r="F2591" t="s">
        <v>5296</v>
      </c>
      <c r="G2591">
        <v>1762</v>
      </c>
      <c r="H2591">
        <v>1</v>
      </c>
      <c r="I2591" t="s">
        <v>98</v>
      </c>
      <c r="J2591">
        <v>0</v>
      </c>
      <c r="K2591">
        <v>1</v>
      </c>
      <c r="L2591">
        <v>5</v>
      </c>
      <c r="M2591">
        <v>260</v>
      </c>
      <c r="N2591">
        <v>375</v>
      </c>
      <c r="O2591">
        <v>6</v>
      </c>
      <c r="P2591">
        <v>375</v>
      </c>
      <c r="Q2591">
        <v>11</v>
      </c>
      <c r="R2591">
        <v>109</v>
      </c>
      <c r="S2591">
        <v>24</v>
      </c>
      <c r="T2591">
        <v>3</v>
      </c>
      <c r="U2591">
        <v>18</v>
      </c>
      <c r="V2591">
        <v>2</v>
      </c>
      <c r="W2591">
        <v>1</v>
      </c>
      <c r="X2591">
        <v>5</v>
      </c>
      <c r="Y2591">
        <v>136</v>
      </c>
      <c r="Z2591">
        <v>3</v>
      </c>
      <c r="AA2591">
        <v>20</v>
      </c>
      <c r="AB2591">
        <v>10</v>
      </c>
      <c r="AC2591">
        <v>2</v>
      </c>
      <c r="AD2591" t="s">
        <v>105</v>
      </c>
      <c r="AE2591" t="s">
        <v>105</v>
      </c>
      <c r="AF2591">
        <v>1</v>
      </c>
      <c r="AK2591">
        <v>7</v>
      </c>
      <c r="AL2591">
        <v>4</v>
      </c>
      <c r="AM2591" t="s">
        <v>105</v>
      </c>
      <c r="AN2591">
        <v>2</v>
      </c>
      <c r="AT2591">
        <v>3</v>
      </c>
      <c r="BC2591" t="s">
        <v>105</v>
      </c>
      <c r="BD2591">
        <v>14</v>
      </c>
      <c r="BE2591">
        <v>375</v>
      </c>
      <c r="BF2591">
        <v>375</v>
      </c>
      <c r="BG2591">
        <v>613</v>
      </c>
      <c r="BI2591" t="s">
        <v>106</v>
      </c>
      <c r="BJ2591">
        <v>1</v>
      </c>
      <c r="BL2591" t="s">
        <v>5381</v>
      </c>
      <c r="BM2591" s="4">
        <v>43283.131249999999</v>
      </c>
      <c r="BN2591" s="4">
        <v>43283.141030092593</v>
      </c>
      <c r="BO2591" s="4">
        <v>43283.141030092593</v>
      </c>
      <c r="BP2591" t="s">
        <v>92</v>
      </c>
      <c r="BQ2591" t="s">
        <v>93</v>
      </c>
      <c r="BR2591" t="s">
        <v>94</v>
      </c>
    </row>
    <row r="2592" spans="1:70" x14ac:dyDescent="0.3">
      <c r="A2592" t="str">
        <f>"201762C0200"</f>
        <v>201762C0200</v>
      </c>
      <c r="B2592" t="s">
        <v>5382</v>
      </c>
      <c r="C2592">
        <v>20</v>
      </c>
      <c r="D2592" t="s">
        <v>88</v>
      </c>
      <c r="E2592">
        <v>392</v>
      </c>
      <c r="F2592" t="s">
        <v>5296</v>
      </c>
      <c r="G2592">
        <v>1762</v>
      </c>
      <c r="H2592">
        <v>2</v>
      </c>
      <c r="I2592" t="s">
        <v>98</v>
      </c>
      <c r="J2592">
        <v>0</v>
      </c>
      <c r="K2592">
        <v>1</v>
      </c>
      <c r="L2592">
        <v>5</v>
      </c>
      <c r="M2592">
        <v>218</v>
      </c>
      <c r="N2592">
        <v>415</v>
      </c>
      <c r="O2592">
        <v>10</v>
      </c>
      <c r="P2592">
        <v>416</v>
      </c>
      <c r="Q2592">
        <v>14</v>
      </c>
      <c r="R2592">
        <v>129</v>
      </c>
      <c r="S2592">
        <v>22</v>
      </c>
      <c r="T2592">
        <v>10</v>
      </c>
      <c r="U2592">
        <v>16</v>
      </c>
      <c r="V2592">
        <v>8</v>
      </c>
      <c r="W2592">
        <v>4</v>
      </c>
      <c r="X2592">
        <v>7</v>
      </c>
      <c r="Y2592">
        <v>141</v>
      </c>
      <c r="Z2592">
        <v>4</v>
      </c>
      <c r="AA2592">
        <v>24</v>
      </c>
      <c r="AB2592">
        <v>17</v>
      </c>
      <c r="AC2592">
        <v>2</v>
      </c>
      <c r="AD2592">
        <v>0</v>
      </c>
      <c r="AE2592">
        <v>0</v>
      </c>
      <c r="AF2592">
        <v>0</v>
      </c>
      <c r="AK2592">
        <v>6</v>
      </c>
      <c r="AL2592">
        <v>0</v>
      </c>
      <c r="AM2592">
        <v>1</v>
      </c>
      <c r="AN2592">
        <v>2</v>
      </c>
      <c r="AT2592">
        <v>2</v>
      </c>
      <c r="BC2592">
        <v>0</v>
      </c>
      <c r="BD2592">
        <v>7</v>
      </c>
      <c r="BE2592">
        <v>416</v>
      </c>
      <c r="BF2592">
        <v>416</v>
      </c>
      <c r="BG2592">
        <v>613</v>
      </c>
      <c r="BJ2592">
        <v>1</v>
      </c>
      <c r="BL2592" t="s">
        <v>5383</v>
      </c>
      <c r="BM2592" s="4">
        <v>43283.130555555559</v>
      </c>
      <c r="BN2592" s="4">
        <v>43283.142453703702</v>
      </c>
      <c r="BO2592" s="4">
        <v>43283.142453703702</v>
      </c>
      <c r="BP2592" t="s">
        <v>92</v>
      </c>
      <c r="BQ2592" t="s">
        <v>93</v>
      </c>
      <c r="BR2592" t="s">
        <v>94</v>
      </c>
    </row>
    <row r="2593" spans="1:70" x14ac:dyDescent="0.3">
      <c r="A2593" t="str">
        <f>"201762C0300"</f>
        <v>201762C0300</v>
      </c>
      <c r="B2593" t="s">
        <v>5384</v>
      </c>
      <c r="C2593">
        <v>20</v>
      </c>
      <c r="D2593" t="s">
        <v>88</v>
      </c>
      <c r="E2593">
        <v>392</v>
      </c>
      <c r="F2593" t="s">
        <v>5296</v>
      </c>
      <c r="G2593">
        <v>1762</v>
      </c>
      <c r="H2593">
        <v>3</v>
      </c>
      <c r="I2593" t="s">
        <v>98</v>
      </c>
      <c r="J2593">
        <v>0</v>
      </c>
      <c r="K2593">
        <v>1</v>
      </c>
      <c r="L2593">
        <v>5</v>
      </c>
      <c r="M2593">
        <v>240</v>
      </c>
      <c r="N2593">
        <v>393</v>
      </c>
      <c r="O2593">
        <v>8</v>
      </c>
      <c r="P2593">
        <v>393</v>
      </c>
      <c r="Q2593">
        <v>16</v>
      </c>
      <c r="R2593">
        <v>132</v>
      </c>
      <c r="S2593">
        <v>25</v>
      </c>
      <c r="T2593">
        <v>6</v>
      </c>
      <c r="U2593">
        <v>14</v>
      </c>
      <c r="V2593">
        <v>4</v>
      </c>
      <c r="W2593">
        <v>5</v>
      </c>
      <c r="X2593">
        <v>3</v>
      </c>
      <c r="Y2593">
        <v>133</v>
      </c>
      <c r="Z2593">
        <v>3</v>
      </c>
      <c r="AA2593">
        <v>12</v>
      </c>
      <c r="AB2593">
        <v>26</v>
      </c>
      <c r="AC2593">
        <v>2</v>
      </c>
      <c r="AD2593">
        <v>0</v>
      </c>
      <c r="AE2593">
        <v>0</v>
      </c>
      <c r="AF2593">
        <v>0</v>
      </c>
      <c r="AK2593">
        <v>3</v>
      </c>
      <c r="AL2593">
        <v>0</v>
      </c>
      <c r="AM2593">
        <v>0</v>
      </c>
      <c r="AN2593">
        <v>3</v>
      </c>
      <c r="AT2593">
        <v>1</v>
      </c>
      <c r="BC2593" t="s">
        <v>105</v>
      </c>
      <c r="BD2593">
        <v>7</v>
      </c>
      <c r="BE2593">
        <v>395</v>
      </c>
      <c r="BF2593">
        <v>395</v>
      </c>
      <c r="BG2593">
        <v>612</v>
      </c>
      <c r="BI2593" t="s">
        <v>106</v>
      </c>
      <c r="BJ2593">
        <v>1</v>
      </c>
      <c r="BL2593" t="s">
        <v>5385</v>
      </c>
      <c r="BM2593" s="4">
        <v>43283.120833333334</v>
      </c>
      <c r="BN2593" s="4">
        <v>43283.130150462966</v>
      </c>
      <c r="BO2593" s="4">
        <v>43283.130150462966</v>
      </c>
      <c r="BP2593" t="s">
        <v>92</v>
      </c>
      <c r="BQ2593" t="s">
        <v>93</v>
      </c>
      <c r="BR2593" t="s">
        <v>94</v>
      </c>
    </row>
    <row r="2594" spans="1:70" x14ac:dyDescent="0.3">
      <c r="A2594" t="str">
        <f>"201762C0400"</f>
        <v>201762C0400</v>
      </c>
      <c r="B2594" t="s">
        <v>5386</v>
      </c>
      <c r="C2594">
        <v>20</v>
      </c>
      <c r="D2594" t="s">
        <v>88</v>
      </c>
      <c r="E2594">
        <v>392</v>
      </c>
      <c r="F2594" t="s">
        <v>5296</v>
      </c>
      <c r="G2594">
        <v>1762</v>
      </c>
      <c r="H2594">
        <v>4</v>
      </c>
      <c r="I2594" t="s">
        <v>98</v>
      </c>
      <c r="J2594">
        <v>0</v>
      </c>
      <c r="K2594">
        <v>1</v>
      </c>
      <c r="L2594">
        <v>5</v>
      </c>
      <c r="M2594">
        <v>249</v>
      </c>
      <c r="N2594">
        <v>386</v>
      </c>
      <c r="O2594">
        <v>9</v>
      </c>
      <c r="P2594">
        <v>386</v>
      </c>
      <c r="Q2594">
        <v>12</v>
      </c>
      <c r="R2594">
        <v>123</v>
      </c>
      <c r="S2594">
        <v>25</v>
      </c>
      <c r="T2594">
        <v>10</v>
      </c>
      <c r="U2594">
        <v>18</v>
      </c>
      <c r="V2594">
        <v>2</v>
      </c>
      <c r="W2594">
        <v>3</v>
      </c>
      <c r="X2594">
        <v>5</v>
      </c>
      <c r="Y2594">
        <v>138</v>
      </c>
      <c r="Z2594">
        <v>3</v>
      </c>
      <c r="AA2594">
        <v>14</v>
      </c>
      <c r="AB2594">
        <v>12</v>
      </c>
      <c r="AC2594">
        <v>2</v>
      </c>
      <c r="AD2594">
        <v>0</v>
      </c>
      <c r="AE2594">
        <v>0</v>
      </c>
      <c r="AF2594">
        <v>1</v>
      </c>
      <c r="AK2594">
        <v>2</v>
      </c>
      <c r="AL2594">
        <v>1</v>
      </c>
      <c r="AM2594">
        <v>0</v>
      </c>
      <c r="AN2594">
        <v>1</v>
      </c>
      <c r="AT2594">
        <v>5</v>
      </c>
      <c r="BC2594">
        <v>0</v>
      </c>
      <c r="BD2594">
        <v>9</v>
      </c>
      <c r="BE2594">
        <v>386</v>
      </c>
      <c r="BF2594">
        <v>386</v>
      </c>
      <c r="BG2594">
        <v>612</v>
      </c>
      <c r="BJ2594">
        <v>1</v>
      </c>
      <c r="BL2594" t="s">
        <v>5387</v>
      </c>
      <c r="BM2594" s="4">
        <v>43283.120138888888</v>
      </c>
      <c r="BN2594" s="4">
        <v>43283.125474537039</v>
      </c>
      <c r="BO2594" s="4">
        <v>43283.125474537039</v>
      </c>
      <c r="BP2594" t="s">
        <v>92</v>
      </c>
      <c r="BQ2594" t="s">
        <v>93</v>
      </c>
      <c r="BR2594" t="s">
        <v>94</v>
      </c>
    </row>
    <row r="2595" spans="1:70" x14ac:dyDescent="0.3">
      <c r="A2595" t="str">
        <f>"201762E0100"</f>
        <v>201762E0100</v>
      </c>
      <c r="B2595" s="2" t="s">
        <v>5388</v>
      </c>
      <c r="C2595">
        <v>20</v>
      </c>
      <c r="D2595" t="s">
        <v>88</v>
      </c>
      <c r="E2595">
        <v>392</v>
      </c>
      <c r="F2595" t="s">
        <v>5296</v>
      </c>
      <c r="G2595">
        <v>1762</v>
      </c>
      <c r="H2595">
        <v>1</v>
      </c>
      <c r="I2595" t="s">
        <v>156</v>
      </c>
      <c r="J2595">
        <v>0</v>
      </c>
      <c r="K2595">
        <v>1</v>
      </c>
      <c r="L2595">
        <v>5</v>
      </c>
      <c r="M2595">
        <v>231</v>
      </c>
      <c r="N2595">
        <v>416</v>
      </c>
      <c r="O2595">
        <v>0</v>
      </c>
      <c r="P2595">
        <v>416</v>
      </c>
      <c r="Q2595">
        <v>21</v>
      </c>
      <c r="R2595">
        <v>116</v>
      </c>
      <c r="S2595">
        <v>13</v>
      </c>
      <c r="T2595">
        <v>10</v>
      </c>
      <c r="U2595">
        <v>13</v>
      </c>
      <c r="V2595">
        <v>7</v>
      </c>
      <c r="W2595">
        <v>3</v>
      </c>
      <c r="X2595">
        <v>12</v>
      </c>
      <c r="Y2595">
        <v>171</v>
      </c>
      <c r="Z2595">
        <v>5</v>
      </c>
      <c r="AA2595">
        <v>6</v>
      </c>
      <c r="AB2595">
        <v>10</v>
      </c>
      <c r="AC2595">
        <v>1</v>
      </c>
      <c r="AD2595">
        <v>1</v>
      </c>
      <c r="AE2595">
        <v>0</v>
      </c>
      <c r="AF2595">
        <v>0</v>
      </c>
      <c r="AK2595">
        <v>10</v>
      </c>
      <c r="AL2595">
        <v>0</v>
      </c>
      <c r="AM2595">
        <v>0</v>
      </c>
      <c r="AN2595">
        <v>2</v>
      </c>
      <c r="AT2595">
        <v>4</v>
      </c>
      <c r="BC2595">
        <v>1</v>
      </c>
      <c r="BD2595">
        <v>10</v>
      </c>
      <c r="BE2595">
        <v>416</v>
      </c>
      <c r="BF2595">
        <v>416</v>
      </c>
      <c r="BG2595">
        <v>625</v>
      </c>
      <c r="BJ2595">
        <v>1</v>
      </c>
      <c r="BL2595" t="s">
        <v>5389</v>
      </c>
      <c r="BM2595" s="4">
        <v>43283.12222222222</v>
      </c>
      <c r="BN2595" s="4">
        <v>43283.130810185183</v>
      </c>
      <c r="BO2595" s="4">
        <v>43283.130810185183</v>
      </c>
      <c r="BP2595" t="s">
        <v>92</v>
      </c>
      <c r="BQ2595" t="s">
        <v>93</v>
      </c>
      <c r="BR2595" t="s">
        <v>94</v>
      </c>
    </row>
    <row r="2596" spans="1:70" x14ac:dyDescent="0.3">
      <c r="A2596" t="str">
        <f>"201762E0101"</f>
        <v>201762E0101</v>
      </c>
      <c r="B2596" s="2" t="s">
        <v>5390</v>
      </c>
      <c r="C2596">
        <v>20</v>
      </c>
      <c r="D2596" t="s">
        <v>88</v>
      </c>
      <c r="E2596">
        <v>392</v>
      </c>
      <c r="F2596" t="s">
        <v>5296</v>
      </c>
      <c r="G2596">
        <v>1762</v>
      </c>
      <c r="H2596">
        <v>1</v>
      </c>
      <c r="I2596" t="s">
        <v>156</v>
      </c>
      <c r="J2596">
        <v>1</v>
      </c>
      <c r="K2596">
        <v>1</v>
      </c>
      <c r="L2596">
        <v>5</v>
      </c>
      <c r="M2596" t="s">
        <v>127</v>
      </c>
      <c r="N2596">
        <v>646</v>
      </c>
      <c r="O2596">
        <v>13</v>
      </c>
      <c r="P2596" t="s">
        <v>105</v>
      </c>
      <c r="Q2596">
        <v>17</v>
      </c>
      <c r="R2596">
        <v>102</v>
      </c>
      <c r="S2596">
        <v>21</v>
      </c>
      <c r="T2596">
        <v>10</v>
      </c>
      <c r="U2596">
        <v>11</v>
      </c>
      <c r="V2596">
        <v>1</v>
      </c>
      <c r="W2596">
        <v>8</v>
      </c>
      <c r="X2596">
        <v>7</v>
      </c>
      <c r="Y2596">
        <v>172</v>
      </c>
      <c r="Z2596">
        <v>3</v>
      </c>
      <c r="AA2596">
        <v>3</v>
      </c>
      <c r="AB2596">
        <v>11</v>
      </c>
      <c r="AC2596">
        <v>0</v>
      </c>
      <c r="AD2596">
        <v>0</v>
      </c>
      <c r="AE2596">
        <v>0</v>
      </c>
      <c r="AF2596">
        <v>0</v>
      </c>
      <c r="AK2596">
        <v>3</v>
      </c>
      <c r="AL2596">
        <v>1</v>
      </c>
      <c r="AM2596">
        <v>0</v>
      </c>
      <c r="AN2596">
        <v>0</v>
      </c>
      <c r="AT2596">
        <v>5</v>
      </c>
      <c r="BC2596">
        <v>0</v>
      </c>
      <c r="BD2596">
        <v>6</v>
      </c>
      <c r="BE2596" t="s">
        <v>105</v>
      </c>
      <c r="BF2596">
        <v>381</v>
      </c>
      <c r="BG2596">
        <v>624</v>
      </c>
      <c r="BJ2596">
        <v>1</v>
      </c>
      <c r="BL2596" t="s">
        <v>5391</v>
      </c>
      <c r="BM2596" s="4">
        <v>43283.121527777781</v>
      </c>
      <c r="BN2596" s="4">
        <v>43283.130416666667</v>
      </c>
      <c r="BO2596" s="4">
        <v>43283.130416666667</v>
      </c>
      <c r="BP2596" t="s">
        <v>92</v>
      </c>
      <c r="BQ2596" t="s">
        <v>93</v>
      </c>
      <c r="BR2596" t="s">
        <v>94</v>
      </c>
    </row>
    <row r="2597" spans="1:70" x14ac:dyDescent="0.3">
      <c r="A2597" t="str">
        <f>"201762E0200"</f>
        <v>201762E0200</v>
      </c>
      <c r="B2597" s="2" t="s">
        <v>5392</v>
      </c>
      <c r="C2597">
        <v>20</v>
      </c>
      <c r="D2597" t="s">
        <v>88</v>
      </c>
      <c r="E2597">
        <v>392</v>
      </c>
      <c r="F2597" t="s">
        <v>5296</v>
      </c>
      <c r="G2597">
        <v>1762</v>
      </c>
      <c r="H2597">
        <v>2</v>
      </c>
      <c r="I2597" t="s">
        <v>156</v>
      </c>
      <c r="J2597">
        <v>0</v>
      </c>
      <c r="K2597">
        <v>1</v>
      </c>
      <c r="L2597">
        <v>5</v>
      </c>
      <c r="M2597">
        <v>251</v>
      </c>
      <c r="N2597">
        <v>438</v>
      </c>
      <c r="O2597">
        <v>0</v>
      </c>
      <c r="P2597">
        <v>438</v>
      </c>
      <c r="Q2597">
        <v>11</v>
      </c>
      <c r="R2597">
        <v>108</v>
      </c>
      <c r="S2597">
        <v>17</v>
      </c>
      <c r="T2597">
        <v>9</v>
      </c>
      <c r="U2597">
        <v>18</v>
      </c>
      <c r="V2597">
        <v>2</v>
      </c>
      <c r="W2597">
        <v>1</v>
      </c>
      <c r="X2597">
        <v>4</v>
      </c>
      <c r="Y2597">
        <v>211</v>
      </c>
      <c r="Z2597">
        <v>6</v>
      </c>
      <c r="AA2597">
        <v>10</v>
      </c>
      <c r="AB2597">
        <v>18</v>
      </c>
      <c r="AC2597">
        <v>1</v>
      </c>
      <c r="AD2597">
        <v>1</v>
      </c>
      <c r="AE2597">
        <v>0</v>
      </c>
      <c r="AF2597">
        <v>0</v>
      </c>
      <c r="AK2597">
        <v>3</v>
      </c>
      <c r="AL2597">
        <v>2</v>
      </c>
      <c r="AM2597">
        <v>0</v>
      </c>
      <c r="AN2597">
        <v>1</v>
      </c>
      <c r="AT2597">
        <v>3</v>
      </c>
      <c r="BC2597">
        <v>1</v>
      </c>
      <c r="BD2597">
        <v>11</v>
      </c>
      <c r="BE2597">
        <v>438</v>
      </c>
      <c r="BF2597">
        <v>438</v>
      </c>
      <c r="BG2597">
        <v>667</v>
      </c>
      <c r="BJ2597">
        <v>1</v>
      </c>
      <c r="BL2597" t="s">
        <v>5393</v>
      </c>
      <c r="BM2597" s="4">
        <v>43283.121527777781</v>
      </c>
      <c r="BN2597" s="4">
        <v>43283.131469907406</v>
      </c>
      <c r="BO2597" s="4">
        <v>43283.131469907406</v>
      </c>
      <c r="BP2597" t="s">
        <v>92</v>
      </c>
      <c r="BQ2597" t="s">
        <v>93</v>
      </c>
      <c r="BR2597" t="s">
        <v>94</v>
      </c>
    </row>
    <row r="2598" spans="1:70" x14ac:dyDescent="0.3">
      <c r="A2598" t="str">
        <f>"201762E0201"</f>
        <v>201762E0201</v>
      </c>
      <c r="B2598" s="2" t="s">
        <v>5394</v>
      </c>
      <c r="C2598">
        <v>20</v>
      </c>
      <c r="D2598" t="s">
        <v>88</v>
      </c>
      <c r="E2598">
        <v>392</v>
      </c>
      <c r="F2598" t="s">
        <v>5296</v>
      </c>
      <c r="G2598">
        <v>1762</v>
      </c>
      <c r="H2598">
        <v>2</v>
      </c>
      <c r="I2598" t="s">
        <v>156</v>
      </c>
      <c r="J2598">
        <v>1</v>
      </c>
      <c r="K2598">
        <v>1</v>
      </c>
      <c r="L2598">
        <v>5</v>
      </c>
      <c r="M2598">
        <v>266</v>
      </c>
      <c r="N2598">
        <v>423</v>
      </c>
      <c r="O2598">
        <v>0</v>
      </c>
      <c r="P2598">
        <v>423</v>
      </c>
      <c r="Q2598">
        <v>19</v>
      </c>
      <c r="R2598">
        <v>99</v>
      </c>
      <c r="S2598">
        <v>13</v>
      </c>
      <c r="T2598">
        <v>5</v>
      </c>
      <c r="U2598">
        <v>22</v>
      </c>
      <c r="V2598">
        <v>3</v>
      </c>
      <c r="W2598">
        <v>6</v>
      </c>
      <c r="X2598">
        <v>14</v>
      </c>
      <c r="Y2598">
        <v>186</v>
      </c>
      <c r="Z2598">
        <v>8</v>
      </c>
      <c r="AA2598">
        <v>10</v>
      </c>
      <c r="AB2598">
        <v>15</v>
      </c>
      <c r="AC2598">
        <v>1</v>
      </c>
      <c r="AD2598">
        <v>1</v>
      </c>
      <c r="AE2598">
        <v>0</v>
      </c>
      <c r="AF2598">
        <v>0</v>
      </c>
      <c r="AK2598">
        <v>3</v>
      </c>
      <c r="AL2598">
        <v>1</v>
      </c>
      <c r="AM2598">
        <v>0</v>
      </c>
      <c r="AN2598">
        <v>2</v>
      </c>
      <c r="AT2598">
        <v>3</v>
      </c>
      <c r="BC2598">
        <v>0</v>
      </c>
      <c r="BD2598">
        <v>12</v>
      </c>
      <c r="BE2598">
        <v>423</v>
      </c>
      <c r="BF2598">
        <v>423</v>
      </c>
      <c r="BG2598">
        <v>667</v>
      </c>
      <c r="BJ2598">
        <v>1</v>
      </c>
      <c r="BL2598" t="s">
        <v>5395</v>
      </c>
      <c r="BM2598" s="4">
        <v>43283.121527777781</v>
      </c>
      <c r="BN2598" s="4">
        <v>43283.12877314815</v>
      </c>
      <c r="BO2598" s="4">
        <v>43283.12877314815</v>
      </c>
      <c r="BP2598" t="s">
        <v>92</v>
      </c>
      <c r="BQ2598" t="s">
        <v>93</v>
      </c>
      <c r="BR2598" t="s">
        <v>94</v>
      </c>
    </row>
    <row r="2599" spans="1:70" x14ac:dyDescent="0.3">
      <c r="A2599" t="str">
        <f>"201763B0100"</f>
        <v>201763B0100</v>
      </c>
      <c r="B2599" t="s">
        <v>5396</v>
      </c>
      <c r="C2599">
        <v>20</v>
      </c>
      <c r="D2599" t="s">
        <v>88</v>
      </c>
      <c r="E2599">
        <v>392</v>
      </c>
      <c r="F2599" t="s">
        <v>5296</v>
      </c>
      <c r="G2599">
        <v>1763</v>
      </c>
      <c r="H2599">
        <v>1</v>
      </c>
      <c r="I2599" t="s">
        <v>90</v>
      </c>
      <c r="J2599">
        <v>0</v>
      </c>
      <c r="K2599">
        <v>1</v>
      </c>
      <c r="L2599">
        <v>5</v>
      </c>
      <c r="M2599">
        <v>219</v>
      </c>
      <c r="N2599">
        <v>426</v>
      </c>
      <c r="O2599">
        <v>1</v>
      </c>
      <c r="P2599">
        <v>420</v>
      </c>
      <c r="Q2599">
        <v>10</v>
      </c>
      <c r="R2599">
        <v>88</v>
      </c>
      <c r="S2599">
        <v>30</v>
      </c>
      <c r="T2599">
        <v>6</v>
      </c>
      <c r="U2599">
        <v>12</v>
      </c>
      <c r="V2599">
        <v>2</v>
      </c>
      <c r="W2599">
        <v>8</v>
      </c>
      <c r="X2599">
        <v>12</v>
      </c>
      <c r="Y2599">
        <v>197</v>
      </c>
      <c r="Z2599">
        <v>8</v>
      </c>
      <c r="AA2599">
        <v>9</v>
      </c>
      <c r="AB2599">
        <v>5</v>
      </c>
      <c r="AC2599">
        <v>3</v>
      </c>
      <c r="AD2599">
        <v>0</v>
      </c>
      <c r="AE2599">
        <v>0</v>
      </c>
      <c r="AF2599">
        <v>0</v>
      </c>
      <c r="AK2599">
        <v>11</v>
      </c>
      <c r="AL2599">
        <v>3</v>
      </c>
      <c r="AM2599">
        <v>1</v>
      </c>
      <c r="AN2599">
        <v>0</v>
      </c>
      <c r="AT2599">
        <v>3</v>
      </c>
      <c r="BC2599">
        <v>0</v>
      </c>
      <c r="BD2599">
        <v>12</v>
      </c>
      <c r="BE2599">
        <v>420</v>
      </c>
      <c r="BF2599">
        <v>420</v>
      </c>
      <c r="BG2599">
        <v>624</v>
      </c>
      <c r="BJ2599">
        <v>1</v>
      </c>
      <c r="BL2599" t="s">
        <v>5397</v>
      </c>
      <c r="BM2599" s="4">
        <v>43283.279166666667</v>
      </c>
      <c r="BN2599" s="4">
        <v>43283.311585648145</v>
      </c>
      <c r="BO2599" s="4">
        <v>43283.311585648145</v>
      </c>
      <c r="BP2599" t="s">
        <v>92</v>
      </c>
      <c r="BQ2599" t="s">
        <v>93</v>
      </c>
      <c r="BR2599" t="s">
        <v>94</v>
      </c>
    </row>
    <row r="2600" spans="1:70" x14ac:dyDescent="0.3">
      <c r="A2600" t="str">
        <f>"201763C0100"</f>
        <v>201763C0100</v>
      </c>
      <c r="B2600" t="s">
        <v>5398</v>
      </c>
      <c r="C2600">
        <v>20</v>
      </c>
      <c r="D2600" t="s">
        <v>88</v>
      </c>
      <c r="E2600">
        <v>392</v>
      </c>
      <c r="F2600" t="s">
        <v>5296</v>
      </c>
      <c r="G2600">
        <v>1763</v>
      </c>
      <c r="H2600">
        <v>1</v>
      </c>
      <c r="I2600" t="s">
        <v>98</v>
      </c>
      <c r="J2600">
        <v>0</v>
      </c>
      <c r="K2600">
        <v>1</v>
      </c>
      <c r="L2600">
        <v>5</v>
      </c>
      <c r="M2600">
        <v>234</v>
      </c>
      <c r="N2600">
        <v>412</v>
      </c>
      <c r="O2600">
        <v>3</v>
      </c>
      <c r="P2600">
        <v>420</v>
      </c>
      <c r="Q2600">
        <v>6</v>
      </c>
      <c r="R2600">
        <v>117</v>
      </c>
      <c r="S2600">
        <v>23</v>
      </c>
      <c r="T2600">
        <v>11</v>
      </c>
      <c r="U2600">
        <v>14</v>
      </c>
      <c r="V2600">
        <v>4</v>
      </c>
      <c r="W2600">
        <v>7</v>
      </c>
      <c r="X2600">
        <v>11</v>
      </c>
      <c r="Y2600">
        <v>184</v>
      </c>
      <c r="Z2600">
        <v>7</v>
      </c>
      <c r="AA2600">
        <v>7</v>
      </c>
      <c r="AB2600">
        <v>4</v>
      </c>
      <c r="AC2600">
        <v>1</v>
      </c>
      <c r="AD2600">
        <v>1</v>
      </c>
      <c r="AE2600">
        <v>0</v>
      </c>
      <c r="AF2600">
        <v>0</v>
      </c>
      <c r="AK2600">
        <v>6</v>
      </c>
      <c r="AL2600">
        <v>2</v>
      </c>
      <c r="AM2600">
        <v>0</v>
      </c>
      <c r="AN2600">
        <v>0</v>
      </c>
      <c r="AT2600">
        <v>2</v>
      </c>
      <c r="BC2600">
        <v>0</v>
      </c>
      <c r="BD2600">
        <v>12</v>
      </c>
      <c r="BE2600">
        <v>420</v>
      </c>
      <c r="BF2600">
        <v>419</v>
      </c>
      <c r="BG2600">
        <v>624</v>
      </c>
      <c r="BJ2600">
        <v>1</v>
      </c>
      <c r="BL2600" t="s">
        <v>5399</v>
      </c>
      <c r="BM2600" s="4">
        <v>43283.279166666667</v>
      </c>
      <c r="BN2600" s="4">
        <v>43283.328101851854</v>
      </c>
      <c r="BO2600" s="4">
        <v>43283.328101851854</v>
      </c>
      <c r="BP2600" t="s">
        <v>92</v>
      </c>
      <c r="BQ2600" t="s">
        <v>93</v>
      </c>
      <c r="BR2600" t="s">
        <v>94</v>
      </c>
    </row>
    <row r="2601" spans="1:70" x14ac:dyDescent="0.3">
      <c r="A2601" t="str">
        <f>"201764B0100"</f>
        <v>201764B0100</v>
      </c>
      <c r="B2601" t="s">
        <v>5400</v>
      </c>
      <c r="C2601">
        <v>20</v>
      </c>
      <c r="D2601" t="s">
        <v>88</v>
      </c>
      <c r="E2601">
        <v>392</v>
      </c>
      <c r="F2601" t="s">
        <v>5296</v>
      </c>
      <c r="G2601">
        <v>1764</v>
      </c>
      <c r="H2601">
        <v>1</v>
      </c>
      <c r="I2601" t="s">
        <v>90</v>
      </c>
      <c r="J2601">
        <v>0</v>
      </c>
      <c r="K2601">
        <v>1</v>
      </c>
      <c r="L2601">
        <v>5</v>
      </c>
      <c r="M2601">
        <v>185</v>
      </c>
      <c r="N2601">
        <v>377</v>
      </c>
      <c r="O2601">
        <v>2</v>
      </c>
      <c r="P2601">
        <v>377</v>
      </c>
      <c r="Q2601">
        <v>8</v>
      </c>
      <c r="R2601">
        <v>110</v>
      </c>
      <c r="S2601">
        <v>26</v>
      </c>
      <c r="T2601">
        <v>6</v>
      </c>
      <c r="U2601">
        <v>23</v>
      </c>
      <c r="V2601">
        <v>2</v>
      </c>
      <c r="W2601">
        <v>3</v>
      </c>
      <c r="X2601">
        <v>3</v>
      </c>
      <c r="Y2601">
        <v>150</v>
      </c>
      <c r="Z2601">
        <v>3</v>
      </c>
      <c r="AA2601">
        <v>10</v>
      </c>
      <c r="AB2601">
        <v>5</v>
      </c>
      <c r="AC2601">
        <v>1</v>
      </c>
      <c r="AD2601">
        <v>0</v>
      </c>
      <c r="AE2601">
        <v>0</v>
      </c>
      <c r="AF2601">
        <v>0</v>
      </c>
      <c r="AK2601">
        <v>6</v>
      </c>
      <c r="AL2601">
        <v>4</v>
      </c>
      <c r="AM2601">
        <v>0</v>
      </c>
      <c r="AN2601">
        <v>2</v>
      </c>
      <c r="AT2601">
        <v>2</v>
      </c>
      <c r="BC2601">
        <v>0</v>
      </c>
      <c r="BD2601">
        <v>13</v>
      </c>
      <c r="BE2601">
        <v>377</v>
      </c>
      <c r="BF2601">
        <v>377</v>
      </c>
      <c r="BG2601">
        <v>540</v>
      </c>
      <c r="BJ2601">
        <v>1</v>
      </c>
      <c r="BL2601" t="s">
        <v>5401</v>
      </c>
      <c r="BM2601" s="4">
        <v>43283.219444444447</v>
      </c>
      <c r="BN2601" s="4">
        <v>43283.244027777779</v>
      </c>
      <c r="BO2601" s="4">
        <v>43283.244027777779</v>
      </c>
      <c r="BP2601" t="s">
        <v>92</v>
      </c>
      <c r="BQ2601" t="s">
        <v>93</v>
      </c>
      <c r="BR2601" t="s">
        <v>94</v>
      </c>
    </row>
    <row r="2602" spans="1:70" x14ac:dyDescent="0.3">
      <c r="A2602" t="str">
        <f>"201764C0100"</f>
        <v>201764C0100</v>
      </c>
      <c r="B2602" t="s">
        <v>5402</v>
      </c>
      <c r="C2602">
        <v>20</v>
      </c>
      <c r="D2602" t="s">
        <v>88</v>
      </c>
      <c r="E2602">
        <v>392</v>
      </c>
      <c r="F2602" t="s">
        <v>5296</v>
      </c>
      <c r="G2602">
        <v>1764</v>
      </c>
      <c r="H2602">
        <v>1</v>
      </c>
      <c r="I2602" t="s">
        <v>98</v>
      </c>
      <c r="J2602">
        <v>0</v>
      </c>
      <c r="K2602">
        <v>1</v>
      </c>
      <c r="L2602">
        <v>5</v>
      </c>
      <c r="M2602">
        <v>203</v>
      </c>
      <c r="N2602" t="s">
        <v>127</v>
      </c>
      <c r="O2602">
        <v>7</v>
      </c>
      <c r="P2602">
        <v>357</v>
      </c>
      <c r="Q2602">
        <v>15</v>
      </c>
      <c r="R2602">
        <v>80</v>
      </c>
      <c r="S2602">
        <v>18</v>
      </c>
      <c r="T2602">
        <v>8</v>
      </c>
      <c r="U2602">
        <v>20</v>
      </c>
      <c r="V2602">
        <v>6</v>
      </c>
      <c r="W2602">
        <v>5</v>
      </c>
      <c r="X2602">
        <v>6</v>
      </c>
      <c r="Y2602">
        <v>160</v>
      </c>
      <c r="Z2602">
        <v>7</v>
      </c>
      <c r="AA2602">
        <v>8</v>
      </c>
      <c r="AB2602">
        <v>5</v>
      </c>
      <c r="AC2602">
        <v>1</v>
      </c>
      <c r="AD2602">
        <v>0</v>
      </c>
      <c r="AE2602">
        <v>0</v>
      </c>
      <c r="AF2602">
        <v>0</v>
      </c>
      <c r="AK2602">
        <v>5</v>
      </c>
      <c r="AL2602">
        <v>0</v>
      </c>
      <c r="AM2602">
        <v>0</v>
      </c>
      <c r="AN2602">
        <v>0</v>
      </c>
      <c r="AT2602">
        <v>1</v>
      </c>
      <c r="BC2602">
        <v>0</v>
      </c>
      <c r="BD2602">
        <v>13</v>
      </c>
      <c r="BE2602">
        <v>357</v>
      </c>
      <c r="BF2602">
        <v>358</v>
      </c>
      <c r="BG2602">
        <v>539</v>
      </c>
      <c r="BJ2602">
        <v>1</v>
      </c>
      <c r="BL2602" t="s">
        <v>5403</v>
      </c>
      <c r="BM2602" s="4">
        <v>43283.219444444447</v>
      </c>
      <c r="BN2602" s="4">
        <v>43283.243668981479</v>
      </c>
      <c r="BO2602" s="4">
        <v>43283.243668981479</v>
      </c>
      <c r="BP2602" t="s">
        <v>92</v>
      </c>
      <c r="BQ2602" t="s">
        <v>93</v>
      </c>
      <c r="BR2602" t="s">
        <v>94</v>
      </c>
    </row>
    <row r="2603" spans="1:70" x14ac:dyDescent="0.3">
      <c r="A2603" t="str">
        <f>"201765B0100"</f>
        <v>201765B0100</v>
      </c>
      <c r="B2603" t="s">
        <v>5404</v>
      </c>
      <c r="C2603">
        <v>20</v>
      </c>
      <c r="D2603" t="s">
        <v>88</v>
      </c>
      <c r="E2603">
        <v>392</v>
      </c>
      <c r="F2603" t="s">
        <v>5296</v>
      </c>
      <c r="G2603">
        <v>1765</v>
      </c>
      <c r="H2603">
        <v>1</v>
      </c>
      <c r="I2603" t="s">
        <v>90</v>
      </c>
      <c r="J2603">
        <v>0</v>
      </c>
      <c r="K2603">
        <v>1</v>
      </c>
      <c r="L2603">
        <v>5</v>
      </c>
      <c r="M2603">
        <v>217</v>
      </c>
      <c r="N2603">
        <v>529</v>
      </c>
      <c r="O2603">
        <v>9</v>
      </c>
      <c r="P2603">
        <v>505</v>
      </c>
      <c r="Q2603">
        <v>18</v>
      </c>
      <c r="R2603">
        <v>125</v>
      </c>
      <c r="S2603">
        <v>23</v>
      </c>
      <c r="T2603">
        <v>6</v>
      </c>
      <c r="U2603">
        <v>33</v>
      </c>
      <c r="V2603">
        <v>0</v>
      </c>
      <c r="W2603">
        <v>9</v>
      </c>
      <c r="X2603">
        <v>4</v>
      </c>
      <c r="Y2603">
        <v>262</v>
      </c>
      <c r="Z2603">
        <v>7</v>
      </c>
      <c r="AA2603">
        <v>10</v>
      </c>
      <c r="AB2603">
        <v>7</v>
      </c>
      <c r="AC2603">
        <v>0</v>
      </c>
      <c r="AD2603">
        <v>0</v>
      </c>
      <c r="AE2603">
        <v>0</v>
      </c>
      <c r="AF2603">
        <v>0</v>
      </c>
      <c r="AK2603">
        <v>8</v>
      </c>
      <c r="AL2603">
        <v>3</v>
      </c>
      <c r="AM2603">
        <v>0</v>
      </c>
      <c r="AN2603">
        <v>3</v>
      </c>
      <c r="AT2603">
        <v>2</v>
      </c>
      <c r="BC2603">
        <v>0</v>
      </c>
      <c r="BD2603">
        <v>9</v>
      </c>
      <c r="BE2603">
        <v>529</v>
      </c>
      <c r="BF2603">
        <v>529</v>
      </c>
      <c r="BG2603">
        <v>723</v>
      </c>
      <c r="BJ2603">
        <v>1</v>
      </c>
      <c r="BL2603" t="s">
        <v>5405</v>
      </c>
      <c r="BM2603" s="4">
        <v>43283.181944444441</v>
      </c>
      <c r="BN2603" s="4">
        <v>43283.200868055559</v>
      </c>
      <c r="BO2603" s="4">
        <v>43283.200868055559</v>
      </c>
      <c r="BP2603" t="s">
        <v>92</v>
      </c>
      <c r="BQ2603" t="s">
        <v>93</v>
      </c>
      <c r="BR2603" t="s">
        <v>94</v>
      </c>
    </row>
    <row r="2604" spans="1:70" x14ac:dyDescent="0.3">
      <c r="A2604" t="str">
        <f>"201765C0100"</f>
        <v>201765C0100</v>
      </c>
      <c r="B2604" t="s">
        <v>5406</v>
      </c>
      <c r="C2604">
        <v>20</v>
      </c>
      <c r="D2604" t="s">
        <v>88</v>
      </c>
      <c r="E2604">
        <v>392</v>
      </c>
      <c r="F2604" t="s">
        <v>5296</v>
      </c>
      <c r="G2604">
        <v>1765</v>
      </c>
      <c r="H2604">
        <v>1</v>
      </c>
      <c r="I2604" t="s">
        <v>98</v>
      </c>
      <c r="J2604">
        <v>0</v>
      </c>
      <c r="K2604">
        <v>1</v>
      </c>
      <c r="L2604">
        <v>5</v>
      </c>
      <c r="M2604">
        <v>241</v>
      </c>
      <c r="N2604">
        <v>501</v>
      </c>
      <c r="O2604">
        <v>9</v>
      </c>
      <c r="P2604">
        <v>501</v>
      </c>
      <c r="Q2604">
        <v>20</v>
      </c>
      <c r="R2604">
        <v>119</v>
      </c>
      <c r="S2604">
        <v>28</v>
      </c>
      <c r="T2604">
        <v>7</v>
      </c>
      <c r="U2604">
        <v>29</v>
      </c>
      <c r="V2604">
        <v>2</v>
      </c>
      <c r="W2604">
        <v>7</v>
      </c>
      <c r="X2604">
        <v>218</v>
      </c>
      <c r="Y2604">
        <v>7</v>
      </c>
      <c r="Z2604">
        <v>8</v>
      </c>
      <c r="AA2604">
        <v>11</v>
      </c>
      <c r="AB2604">
        <v>7</v>
      </c>
      <c r="AC2604">
        <v>4</v>
      </c>
      <c r="AD2604">
        <v>0</v>
      </c>
      <c r="AE2604">
        <v>1</v>
      </c>
      <c r="AF2604">
        <v>0</v>
      </c>
      <c r="AK2604">
        <v>4</v>
      </c>
      <c r="AL2604">
        <v>6</v>
      </c>
      <c r="AM2604">
        <v>0</v>
      </c>
      <c r="AN2604">
        <v>2</v>
      </c>
      <c r="AT2604">
        <v>3</v>
      </c>
      <c r="BC2604">
        <v>0</v>
      </c>
      <c r="BD2604">
        <v>14</v>
      </c>
      <c r="BE2604">
        <v>501</v>
      </c>
      <c r="BF2604">
        <v>497</v>
      </c>
      <c r="BG2604">
        <v>722</v>
      </c>
      <c r="BJ2604">
        <v>1</v>
      </c>
      <c r="BL2604" t="s">
        <v>5407</v>
      </c>
      <c r="BM2604" s="4">
        <v>43283.181944444441</v>
      </c>
      <c r="BN2604" s="4">
        <v>43283.200706018521</v>
      </c>
      <c r="BO2604" s="4">
        <v>43283.200706018521</v>
      </c>
      <c r="BP2604" t="s">
        <v>92</v>
      </c>
      <c r="BQ2604" t="s">
        <v>93</v>
      </c>
      <c r="BR2604" t="s">
        <v>94</v>
      </c>
    </row>
    <row r="2605" spans="1:70" x14ac:dyDescent="0.3">
      <c r="A2605" t="str">
        <f>"201766B0100"</f>
        <v>201766B0100</v>
      </c>
      <c r="B2605" t="s">
        <v>5408</v>
      </c>
      <c r="C2605">
        <v>20</v>
      </c>
      <c r="D2605" t="s">
        <v>88</v>
      </c>
      <c r="E2605">
        <v>392</v>
      </c>
      <c r="F2605" t="s">
        <v>5296</v>
      </c>
      <c r="G2605">
        <v>1766</v>
      </c>
      <c r="H2605">
        <v>1</v>
      </c>
      <c r="I2605" t="s">
        <v>90</v>
      </c>
      <c r="J2605">
        <v>0</v>
      </c>
      <c r="K2605">
        <v>1</v>
      </c>
      <c r="L2605">
        <v>5</v>
      </c>
      <c r="M2605">
        <v>232</v>
      </c>
      <c r="N2605">
        <v>292</v>
      </c>
      <c r="O2605">
        <v>2</v>
      </c>
      <c r="P2605">
        <v>392</v>
      </c>
      <c r="Q2605">
        <v>20</v>
      </c>
      <c r="R2605">
        <v>80</v>
      </c>
      <c r="S2605">
        <v>20</v>
      </c>
      <c r="T2605">
        <v>7</v>
      </c>
      <c r="U2605">
        <v>14</v>
      </c>
      <c r="V2605">
        <v>5</v>
      </c>
      <c r="W2605">
        <v>10</v>
      </c>
      <c r="X2605">
        <v>4</v>
      </c>
      <c r="Y2605">
        <v>171</v>
      </c>
      <c r="Z2605">
        <v>4</v>
      </c>
      <c r="AA2605">
        <v>25</v>
      </c>
      <c r="AB2605">
        <v>13</v>
      </c>
      <c r="AC2605">
        <v>0</v>
      </c>
      <c r="AD2605">
        <v>0</v>
      </c>
      <c r="AE2605">
        <v>0</v>
      </c>
      <c r="AF2605">
        <v>0</v>
      </c>
      <c r="AK2605">
        <v>2</v>
      </c>
      <c r="AL2605">
        <v>3</v>
      </c>
      <c r="AM2605">
        <v>1</v>
      </c>
      <c r="AN2605">
        <v>1</v>
      </c>
      <c r="AT2605">
        <v>0</v>
      </c>
      <c r="BC2605">
        <v>0</v>
      </c>
      <c r="BD2605">
        <v>12</v>
      </c>
      <c r="BE2605">
        <v>392</v>
      </c>
      <c r="BF2605">
        <v>392</v>
      </c>
      <c r="BG2605">
        <v>602</v>
      </c>
      <c r="BJ2605">
        <v>1</v>
      </c>
      <c r="BL2605" t="s">
        <v>5409</v>
      </c>
      <c r="BM2605" s="4">
        <v>43283.128472222219</v>
      </c>
      <c r="BN2605" s="4">
        <v>43283.1403125</v>
      </c>
      <c r="BO2605" s="4">
        <v>43283.1403125</v>
      </c>
      <c r="BP2605" t="s">
        <v>92</v>
      </c>
      <c r="BQ2605" t="s">
        <v>93</v>
      </c>
      <c r="BR2605" t="s">
        <v>94</v>
      </c>
    </row>
    <row r="2606" spans="1:70" x14ac:dyDescent="0.3">
      <c r="A2606" t="str">
        <f>"201766C0100"</f>
        <v>201766C0100</v>
      </c>
      <c r="B2606" t="s">
        <v>5410</v>
      </c>
      <c r="C2606">
        <v>20</v>
      </c>
      <c r="D2606" t="s">
        <v>88</v>
      </c>
      <c r="E2606">
        <v>392</v>
      </c>
      <c r="F2606" t="s">
        <v>5296</v>
      </c>
      <c r="G2606">
        <v>1766</v>
      </c>
      <c r="H2606">
        <v>1</v>
      </c>
      <c r="I2606" t="s">
        <v>98</v>
      </c>
      <c r="J2606">
        <v>0</v>
      </c>
      <c r="K2606">
        <v>1</v>
      </c>
      <c r="L2606">
        <v>5</v>
      </c>
      <c r="M2606">
        <v>223</v>
      </c>
      <c r="N2606">
        <v>400</v>
      </c>
      <c r="O2606">
        <v>7</v>
      </c>
      <c r="P2606" t="s">
        <v>127</v>
      </c>
      <c r="Q2606">
        <v>9</v>
      </c>
      <c r="R2606">
        <v>71</v>
      </c>
      <c r="S2606">
        <v>30</v>
      </c>
      <c r="T2606">
        <v>6</v>
      </c>
      <c r="U2606" t="s">
        <v>127</v>
      </c>
      <c r="V2606">
        <v>6</v>
      </c>
      <c r="W2606">
        <v>10</v>
      </c>
      <c r="X2606">
        <v>4</v>
      </c>
      <c r="Y2606">
        <v>189</v>
      </c>
      <c r="Z2606">
        <v>9</v>
      </c>
      <c r="AA2606">
        <v>15</v>
      </c>
      <c r="AB2606">
        <v>11</v>
      </c>
      <c r="AC2606">
        <v>0</v>
      </c>
      <c r="AD2606">
        <v>0</v>
      </c>
      <c r="AE2606">
        <v>1</v>
      </c>
      <c r="AF2606">
        <v>1</v>
      </c>
      <c r="AK2606">
        <v>5</v>
      </c>
      <c r="AL2606">
        <v>4</v>
      </c>
      <c r="AM2606">
        <v>0</v>
      </c>
      <c r="AN2606">
        <v>0</v>
      </c>
      <c r="AT2606">
        <v>1</v>
      </c>
      <c r="BC2606">
        <v>1</v>
      </c>
      <c r="BD2606">
        <v>8</v>
      </c>
      <c r="BE2606" t="s">
        <v>127</v>
      </c>
      <c r="BF2606">
        <v>381</v>
      </c>
      <c r="BG2606">
        <v>601</v>
      </c>
      <c r="BI2606" t="s">
        <v>106</v>
      </c>
      <c r="BJ2606">
        <v>1</v>
      </c>
      <c r="BL2606" t="s">
        <v>5411</v>
      </c>
      <c r="BM2606" s="4">
        <v>43283.129166666666</v>
      </c>
      <c r="BN2606" s="4">
        <v>43283.157951388886</v>
      </c>
      <c r="BO2606" s="4">
        <v>43283.157951388886</v>
      </c>
      <c r="BP2606" t="s">
        <v>92</v>
      </c>
      <c r="BQ2606" t="s">
        <v>93</v>
      </c>
      <c r="BR2606" t="s">
        <v>94</v>
      </c>
    </row>
    <row r="2607" spans="1:70" x14ac:dyDescent="0.3">
      <c r="A2607" t="str">
        <f>"201767B0100"</f>
        <v>201767B0100</v>
      </c>
      <c r="B2607" t="s">
        <v>5412</v>
      </c>
      <c r="C2607">
        <v>20</v>
      </c>
      <c r="D2607" t="s">
        <v>88</v>
      </c>
      <c r="E2607">
        <v>392</v>
      </c>
      <c r="F2607" t="s">
        <v>5296</v>
      </c>
      <c r="G2607">
        <v>1767</v>
      </c>
      <c r="H2607">
        <v>1</v>
      </c>
      <c r="I2607" t="s">
        <v>90</v>
      </c>
      <c r="J2607">
        <v>0</v>
      </c>
      <c r="K2607">
        <v>1</v>
      </c>
      <c r="L2607">
        <v>5</v>
      </c>
      <c r="M2607">
        <v>226</v>
      </c>
      <c r="N2607">
        <v>434</v>
      </c>
      <c r="O2607">
        <v>1</v>
      </c>
      <c r="P2607">
        <v>436</v>
      </c>
      <c r="Q2607">
        <v>16</v>
      </c>
      <c r="R2607">
        <v>99</v>
      </c>
      <c r="S2607">
        <v>29</v>
      </c>
      <c r="T2607">
        <v>2</v>
      </c>
      <c r="U2607">
        <v>23</v>
      </c>
      <c r="V2607">
        <v>7</v>
      </c>
      <c r="W2607">
        <v>5</v>
      </c>
      <c r="X2607">
        <v>3</v>
      </c>
      <c r="Y2607">
        <v>174</v>
      </c>
      <c r="Z2607">
        <v>6</v>
      </c>
      <c r="AA2607">
        <v>33</v>
      </c>
      <c r="AB2607">
        <v>13</v>
      </c>
      <c r="AC2607">
        <v>1</v>
      </c>
      <c r="AD2607">
        <v>0</v>
      </c>
      <c r="AE2607">
        <v>0</v>
      </c>
      <c r="AF2607">
        <v>0</v>
      </c>
      <c r="AK2607">
        <v>10</v>
      </c>
      <c r="AL2607">
        <v>3</v>
      </c>
      <c r="AM2607">
        <v>0</v>
      </c>
      <c r="AN2607">
        <v>1</v>
      </c>
      <c r="AT2607">
        <v>0</v>
      </c>
      <c r="BC2607">
        <v>0</v>
      </c>
      <c r="BD2607">
        <v>11</v>
      </c>
      <c r="BE2607">
        <v>436</v>
      </c>
      <c r="BF2607">
        <v>436</v>
      </c>
      <c r="BG2607">
        <v>638</v>
      </c>
      <c r="BJ2607">
        <v>1</v>
      </c>
      <c r="BL2607" t="s">
        <v>5413</v>
      </c>
      <c r="BM2607" s="4">
        <v>43283.183333333334</v>
      </c>
      <c r="BN2607" s="4">
        <v>43283.202997685185</v>
      </c>
      <c r="BO2607" s="4">
        <v>43283.202997685185</v>
      </c>
      <c r="BP2607" t="s">
        <v>92</v>
      </c>
      <c r="BQ2607" t="s">
        <v>93</v>
      </c>
      <c r="BR2607" t="s">
        <v>94</v>
      </c>
    </row>
    <row r="2608" spans="1:70" x14ac:dyDescent="0.3">
      <c r="A2608" t="str">
        <f>"201767C0100"</f>
        <v>201767C0100</v>
      </c>
      <c r="B2608" t="s">
        <v>5414</v>
      </c>
      <c r="C2608">
        <v>20</v>
      </c>
      <c r="D2608" t="s">
        <v>88</v>
      </c>
      <c r="E2608">
        <v>392</v>
      </c>
      <c r="F2608" t="s">
        <v>5296</v>
      </c>
      <c r="G2608">
        <v>1767</v>
      </c>
      <c r="H2608">
        <v>1</v>
      </c>
      <c r="I2608" t="s">
        <v>98</v>
      </c>
      <c r="J2608">
        <v>0</v>
      </c>
      <c r="K2608">
        <v>1</v>
      </c>
      <c r="L2608">
        <v>5</v>
      </c>
      <c r="M2608">
        <v>208</v>
      </c>
      <c r="N2608">
        <v>452</v>
      </c>
      <c r="O2608">
        <v>1</v>
      </c>
      <c r="P2608">
        <v>452</v>
      </c>
      <c r="Q2608">
        <v>33</v>
      </c>
      <c r="R2608">
        <v>89</v>
      </c>
      <c r="S2608">
        <v>27</v>
      </c>
      <c r="T2608">
        <v>9</v>
      </c>
      <c r="U2608">
        <v>18</v>
      </c>
      <c r="V2608">
        <v>6</v>
      </c>
      <c r="W2608">
        <v>6</v>
      </c>
      <c r="X2608">
        <v>3</v>
      </c>
      <c r="Y2608">
        <v>188</v>
      </c>
      <c r="Z2608">
        <v>5</v>
      </c>
      <c r="AA2608">
        <v>20</v>
      </c>
      <c r="AB2608">
        <v>16</v>
      </c>
      <c r="AC2608">
        <v>1</v>
      </c>
      <c r="AD2608">
        <v>1</v>
      </c>
      <c r="AE2608">
        <v>0</v>
      </c>
      <c r="AF2608">
        <v>0</v>
      </c>
      <c r="AK2608">
        <v>11</v>
      </c>
      <c r="AL2608">
        <v>3</v>
      </c>
      <c r="AM2608">
        <v>0</v>
      </c>
      <c r="AN2608">
        <v>2</v>
      </c>
      <c r="AT2608">
        <v>6</v>
      </c>
      <c r="BC2608">
        <v>0</v>
      </c>
      <c r="BD2608">
        <v>9</v>
      </c>
      <c r="BE2608">
        <v>453</v>
      </c>
      <c r="BF2608">
        <v>453</v>
      </c>
      <c r="BG2608">
        <v>638</v>
      </c>
      <c r="BJ2608">
        <v>1</v>
      </c>
      <c r="BL2608" t="s">
        <v>5415</v>
      </c>
      <c r="BM2608" s="4">
        <v>43283.182638888888</v>
      </c>
      <c r="BN2608" s="4">
        <v>43283.201979166668</v>
      </c>
      <c r="BO2608" s="4">
        <v>43283.201979166668</v>
      </c>
      <c r="BP2608" t="s">
        <v>92</v>
      </c>
      <c r="BQ2608" t="s">
        <v>93</v>
      </c>
      <c r="BR2608" t="s">
        <v>94</v>
      </c>
    </row>
    <row r="2609" spans="1:70" x14ac:dyDescent="0.3">
      <c r="A2609" t="str">
        <f>"201767C0200"</f>
        <v>201767C0200</v>
      </c>
      <c r="B2609" t="s">
        <v>5416</v>
      </c>
      <c r="C2609">
        <v>20</v>
      </c>
      <c r="D2609" t="s">
        <v>88</v>
      </c>
      <c r="E2609">
        <v>392</v>
      </c>
      <c r="F2609" t="s">
        <v>5296</v>
      </c>
      <c r="G2609">
        <v>1767</v>
      </c>
      <c r="H2609">
        <v>2</v>
      </c>
      <c r="I2609" t="s">
        <v>98</v>
      </c>
      <c r="J2609">
        <v>0</v>
      </c>
      <c r="K2609">
        <v>1</v>
      </c>
      <c r="L2609">
        <v>5</v>
      </c>
      <c r="M2609">
        <v>201</v>
      </c>
      <c r="N2609">
        <v>458</v>
      </c>
      <c r="O2609">
        <v>3</v>
      </c>
      <c r="P2609">
        <v>458</v>
      </c>
      <c r="Q2609">
        <v>33</v>
      </c>
      <c r="R2609">
        <v>109</v>
      </c>
      <c r="S2609">
        <v>36</v>
      </c>
      <c r="T2609">
        <v>7</v>
      </c>
      <c r="U2609">
        <v>17</v>
      </c>
      <c r="V2609">
        <v>5</v>
      </c>
      <c r="W2609">
        <v>3</v>
      </c>
      <c r="X2609">
        <v>6</v>
      </c>
      <c r="Y2609">
        <v>181</v>
      </c>
      <c r="Z2609">
        <v>6</v>
      </c>
      <c r="AA2609">
        <v>17</v>
      </c>
      <c r="AB2609">
        <v>8</v>
      </c>
      <c r="AC2609">
        <v>4</v>
      </c>
      <c r="AD2609">
        <v>0</v>
      </c>
      <c r="AE2609">
        <v>0</v>
      </c>
      <c r="AF2609">
        <v>0</v>
      </c>
      <c r="AK2609">
        <v>8</v>
      </c>
      <c r="AL2609">
        <v>0</v>
      </c>
      <c r="AM2609">
        <v>0</v>
      </c>
      <c r="AN2609">
        <v>0</v>
      </c>
      <c r="AT2609">
        <v>2</v>
      </c>
      <c r="BC2609">
        <v>1</v>
      </c>
      <c r="BD2609">
        <v>15</v>
      </c>
      <c r="BE2609">
        <v>458</v>
      </c>
      <c r="BF2609">
        <v>458</v>
      </c>
      <c r="BG2609">
        <v>637</v>
      </c>
      <c r="BJ2609">
        <v>1</v>
      </c>
      <c r="BL2609" t="s">
        <v>5417</v>
      </c>
      <c r="BM2609" s="4">
        <v>43283.184027777781</v>
      </c>
      <c r="BN2609" s="4">
        <v>43283.203298611108</v>
      </c>
      <c r="BO2609" s="4">
        <v>43283.203298611108</v>
      </c>
      <c r="BP2609" t="s">
        <v>92</v>
      </c>
      <c r="BQ2609" t="s">
        <v>93</v>
      </c>
      <c r="BR2609" t="s">
        <v>94</v>
      </c>
    </row>
    <row r="2610" spans="1:70" x14ac:dyDescent="0.3">
      <c r="A2610" t="str">
        <f>"201767C0300"</f>
        <v>201767C0300</v>
      </c>
      <c r="B2610" t="s">
        <v>5418</v>
      </c>
      <c r="C2610">
        <v>20</v>
      </c>
      <c r="D2610" t="s">
        <v>88</v>
      </c>
      <c r="E2610">
        <v>392</v>
      </c>
      <c r="F2610" t="s">
        <v>5296</v>
      </c>
      <c r="G2610">
        <v>1767</v>
      </c>
      <c r="H2610">
        <v>3</v>
      </c>
      <c r="I2610" t="s">
        <v>98</v>
      </c>
      <c r="J2610">
        <v>0</v>
      </c>
      <c r="K2610">
        <v>1</v>
      </c>
      <c r="L2610">
        <v>5</v>
      </c>
      <c r="M2610">
        <v>185</v>
      </c>
      <c r="N2610">
        <v>474</v>
      </c>
      <c r="O2610">
        <v>3</v>
      </c>
      <c r="P2610">
        <v>474</v>
      </c>
      <c r="Q2610">
        <v>35</v>
      </c>
      <c r="R2610">
        <v>106</v>
      </c>
      <c r="S2610">
        <v>39</v>
      </c>
      <c r="T2610">
        <v>14</v>
      </c>
      <c r="U2610">
        <v>19</v>
      </c>
      <c r="V2610">
        <v>4</v>
      </c>
      <c r="W2610">
        <v>3</v>
      </c>
      <c r="X2610">
        <v>6</v>
      </c>
      <c r="Y2610">
        <v>188</v>
      </c>
      <c r="Z2610">
        <v>4</v>
      </c>
      <c r="AA2610">
        <v>21</v>
      </c>
      <c r="AB2610">
        <v>8</v>
      </c>
      <c r="AC2610">
        <v>1</v>
      </c>
      <c r="AD2610">
        <v>0</v>
      </c>
      <c r="AE2610">
        <v>1</v>
      </c>
      <c r="AF2610">
        <v>0</v>
      </c>
      <c r="AK2610">
        <v>6</v>
      </c>
      <c r="AL2610">
        <v>0</v>
      </c>
      <c r="AM2610">
        <v>0</v>
      </c>
      <c r="AN2610">
        <v>0</v>
      </c>
      <c r="AT2610">
        <v>8</v>
      </c>
      <c r="BC2610">
        <v>0</v>
      </c>
      <c r="BD2610">
        <v>11</v>
      </c>
      <c r="BE2610">
        <v>474</v>
      </c>
      <c r="BF2610">
        <v>474</v>
      </c>
      <c r="BG2610">
        <v>637</v>
      </c>
      <c r="BJ2610">
        <v>1</v>
      </c>
      <c r="BL2610" t="s">
        <v>5419</v>
      </c>
      <c r="BM2610" s="4">
        <v>43283.183333333334</v>
      </c>
      <c r="BN2610" s="4">
        <v>43283.212314814817</v>
      </c>
      <c r="BO2610" s="4">
        <v>43283.212314814817</v>
      </c>
      <c r="BP2610" t="s">
        <v>92</v>
      </c>
      <c r="BQ2610" t="s">
        <v>93</v>
      </c>
      <c r="BR2610" t="s">
        <v>94</v>
      </c>
    </row>
    <row r="2611" spans="1:70" x14ac:dyDescent="0.3">
      <c r="A2611" t="str">
        <f>"201768B0100"</f>
        <v>201768B0100</v>
      </c>
      <c r="B2611" t="s">
        <v>5420</v>
      </c>
      <c r="C2611">
        <v>20</v>
      </c>
      <c r="D2611" t="s">
        <v>88</v>
      </c>
      <c r="E2611">
        <v>392</v>
      </c>
      <c r="F2611" t="s">
        <v>5296</v>
      </c>
      <c r="G2611">
        <v>1768</v>
      </c>
      <c r="H2611">
        <v>1</v>
      </c>
      <c r="I2611" t="s">
        <v>90</v>
      </c>
      <c r="J2611">
        <v>0</v>
      </c>
      <c r="K2611">
        <v>1</v>
      </c>
      <c r="L2611">
        <v>5</v>
      </c>
      <c r="M2611">
        <v>208</v>
      </c>
      <c r="N2611">
        <v>351</v>
      </c>
      <c r="O2611">
        <v>5</v>
      </c>
      <c r="P2611">
        <v>339</v>
      </c>
      <c r="Q2611">
        <v>23</v>
      </c>
      <c r="R2611">
        <v>68</v>
      </c>
      <c r="S2611">
        <v>27</v>
      </c>
      <c r="T2611">
        <v>4</v>
      </c>
      <c r="U2611">
        <v>24</v>
      </c>
      <c r="V2611">
        <v>5</v>
      </c>
      <c r="W2611">
        <v>5</v>
      </c>
      <c r="X2611">
        <v>3</v>
      </c>
      <c r="Y2611">
        <v>141</v>
      </c>
      <c r="Z2611">
        <v>8</v>
      </c>
      <c r="AA2611">
        <v>2</v>
      </c>
      <c r="AB2611">
        <v>8</v>
      </c>
      <c r="AC2611">
        <v>1</v>
      </c>
      <c r="AD2611">
        <v>1</v>
      </c>
      <c r="AE2611" t="s">
        <v>105</v>
      </c>
      <c r="AF2611" t="s">
        <v>105</v>
      </c>
      <c r="AK2611">
        <v>4</v>
      </c>
      <c r="AL2611" t="s">
        <v>105</v>
      </c>
      <c r="AM2611" t="s">
        <v>105</v>
      </c>
      <c r="AN2611">
        <v>4</v>
      </c>
      <c r="AT2611">
        <v>2</v>
      </c>
      <c r="BC2611" t="s">
        <v>127</v>
      </c>
      <c r="BD2611">
        <v>9</v>
      </c>
      <c r="BE2611" t="s">
        <v>127</v>
      </c>
      <c r="BF2611">
        <v>339</v>
      </c>
      <c r="BG2611">
        <v>536</v>
      </c>
      <c r="BI2611" t="s">
        <v>106</v>
      </c>
      <c r="BJ2611">
        <v>1</v>
      </c>
      <c r="BL2611" t="s">
        <v>5421</v>
      </c>
      <c r="BM2611" s="4">
        <v>43283.123611111114</v>
      </c>
      <c r="BN2611" s="4">
        <v>43283.152974537035</v>
      </c>
      <c r="BO2611" s="4">
        <v>43283.152974537035</v>
      </c>
      <c r="BP2611" t="s">
        <v>92</v>
      </c>
      <c r="BQ2611" t="s">
        <v>93</v>
      </c>
      <c r="BR2611" t="s">
        <v>94</v>
      </c>
    </row>
    <row r="2612" spans="1:70" x14ac:dyDescent="0.3">
      <c r="A2612" t="str">
        <f>"201768C0100"</f>
        <v>201768C0100</v>
      </c>
      <c r="B2612" t="s">
        <v>5422</v>
      </c>
      <c r="C2612">
        <v>20</v>
      </c>
      <c r="D2612" t="s">
        <v>88</v>
      </c>
      <c r="E2612">
        <v>392</v>
      </c>
      <c r="F2612" t="s">
        <v>5296</v>
      </c>
      <c r="G2612">
        <v>1768</v>
      </c>
      <c r="H2612">
        <v>1</v>
      </c>
      <c r="I2612" t="s">
        <v>98</v>
      </c>
      <c r="J2612">
        <v>0</v>
      </c>
      <c r="K2612">
        <v>1</v>
      </c>
      <c r="L2612">
        <v>5</v>
      </c>
      <c r="M2612">
        <v>201</v>
      </c>
      <c r="N2612">
        <v>337</v>
      </c>
      <c r="O2612">
        <v>337</v>
      </c>
      <c r="P2612">
        <v>337</v>
      </c>
      <c r="Q2612">
        <v>33</v>
      </c>
      <c r="R2612">
        <v>57</v>
      </c>
      <c r="S2612">
        <v>18</v>
      </c>
      <c r="T2612">
        <v>6</v>
      </c>
      <c r="U2612">
        <v>23</v>
      </c>
      <c r="V2612">
        <v>7</v>
      </c>
      <c r="W2612">
        <v>0</v>
      </c>
      <c r="X2612">
        <v>12</v>
      </c>
      <c r="Y2612">
        <v>135</v>
      </c>
      <c r="Z2612">
        <v>13</v>
      </c>
      <c r="AA2612">
        <v>4</v>
      </c>
      <c r="AB2612">
        <v>9</v>
      </c>
      <c r="AC2612">
        <v>1</v>
      </c>
      <c r="AD2612">
        <v>1</v>
      </c>
      <c r="AE2612">
        <v>0</v>
      </c>
      <c r="AF2612">
        <v>0</v>
      </c>
      <c r="AK2612">
        <v>3</v>
      </c>
      <c r="AL2612">
        <v>1</v>
      </c>
      <c r="AM2612">
        <v>1</v>
      </c>
      <c r="AN2612">
        <v>0</v>
      </c>
      <c r="AT2612">
        <v>2</v>
      </c>
      <c r="BC2612" t="s">
        <v>105</v>
      </c>
      <c r="BD2612">
        <v>8</v>
      </c>
      <c r="BE2612">
        <v>335</v>
      </c>
      <c r="BF2612">
        <v>334</v>
      </c>
      <c r="BG2612">
        <v>536</v>
      </c>
      <c r="BI2612" t="s">
        <v>106</v>
      </c>
      <c r="BJ2612">
        <v>1</v>
      </c>
      <c r="BL2612" t="s">
        <v>5423</v>
      </c>
      <c r="BM2612" s="4">
        <v>43283.124305555553</v>
      </c>
      <c r="BN2612" s="4">
        <v>43283.134027777778</v>
      </c>
      <c r="BO2612" s="4">
        <v>43283.134027777778</v>
      </c>
      <c r="BP2612" t="s">
        <v>92</v>
      </c>
      <c r="BQ2612" t="s">
        <v>93</v>
      </c>
      <c r="BR2612" t="s">
        <v>94</v>
      </c>
    </row>
    <row r="2613" spans="1:70" x14ac:dyDescent="0.3">
      <c r="A2613" t="str">
        <f>"201826B0100"</f>
        <v>201826B0100</v>
      </c>
      <c r="B2613" t="s">
        <v>5424</v>
      </c>
      <c r="C2613">
        <v>20</v>
      </c>
      <c r="D2613" t="s">
        <v>88</v>
      </c>
      <c r="E2613">
        <v>407</v>
      </c>
      <c r="F2613" t="s">
        <v>5425</v>
      </c>
      <c r="G2613">
        <v>1826</v>
      </c>
      <c r="H2613">
        <v>1</v>
      </c>
      <c r="I2613" t="s">
        <v>90</v>
      </c>
      <c r="J2613">
        <v>0</v>
      </c>
      <c r="K2613">
        <v>2</v>
      </c>
      <c r="L2613">
        <v>5</v>
      </c>
      <c r="BG2613">
        <v>471</v>
      </c>
      <c r="BI2613" t="s">
        <v>122</v>
      </c>
      <c r="BJ2613">
        <v>0</v>
      </c>
      <c r="BL2613" t="s">
        <v>5426</v>
      </c>
      <c r="BM2613" s="4">
        <v>43283.756944444445</v>
      </c>
      <c r="BN2613" s="4">
        <v>43283.758217592593</v>
      </c>
      <c r="BO2613" s="4">
        <v>43283.758217592593</v>
      </c>
      <c r="BP2613" t="s">
        <v>92</v>
      </c>
      <c r="BQ2613" t="s">
        <v>93</v>
      </c>
      <c r="BR2613" t="s">
        <v>94</v>
      </c>
    </row>
    <row r="2614" spans="1:70" x14ac:dyDescent="0.3">
      <c r="A2614" t="str">
        <f>"201826C0100"</f>
        <v>201826C0100</v>
      </c>
      <c r="B2614" t="s">
        <v>5427</v>
      </c>
      <c r="C2614">
        <v>20</v>
      </c>
      <c r="D2614" t="s">
        <v>88</v>
      </c>
      <c r="E2614">
        <v>407</v>
      </c>
      <c r="F2614" t="s">
        <v>5425</v>
      </c>
      <c r="G2614">
        <v>1826</v>
      </c>
      <c r="H2614">
        <v>1</v>
      </c>
      <c r="I2614" t="s">
        <v>98</v>
      </c>
      <c r="J2614">
        <v>0</v>
      </c>
      <c r="K2614">
        <v>2</v>
      </c>
      <c r="L2614">
        <v>5</v>
      </c>
      <c r="BG2614">
        <v>470</v>
      </c>
      <c r="BI2614" t="s">
        <v>122</v>
      </c>
      <c r="BJ2614">
        <v>0</v>
      </c>
      <c r="BL2614" t="s">
        <v>5428</v>
      </c>
      <c r="BM2614" s="4">
        <v>43283.756944444445</v>
      </c>
      <c r="BN2614" s="4">
        <v>43283.758125</v>
      </c>
      <c r="BO2614" s="4">
        <v>43283.758125</v>
      </c>
      <c r="BP2614" t="s">
        <v>92</v>
      </c>
      <c r="BQ2614" t="s">
        <v>93</v>
      </c>
      <c r="BR2614" t="s">
        <v>94</v>
      </c>
    </row>
    <row r="2615" spans="1:70" x14ac:dyDescent="0.3">
      <c r="A2615" t="str">
        <f>"201841B0100"</f>
        <v>201841B0100</v>
      </c>
      <c r="B2615" t="s">
        <v>5429</v>
      </c>
      <c r="C2615">
        <v>20</v>
      </c>
      <c r="D2615" t="s">
        <v>88</v>
      </c>
      <c r="E2615">
        <v>414</v>
      </c>
      <c r="F2615" t="s">
        <v>5430</v>
      </c>
      <c r="G2615">
        <v>1841</v>
      </c>
      <c r="H2615">
        <v>1</v>
      </c>
      <c r="I2615" t="s">
        <v>90</v>
      </c>
      <c r="J2615">
        <v>0</v>
      </c>
      <c r="K2615">
        <v>2</v>
      </c>
      <c r="L2615">
        <v>5</v>
      </c>
      <c r="M2615">
        <v>264</v>
      </c>
      <c r="N2615" t="s">
        <v>105</v>
      </c>
      <c r="O2615" t="s">
        <v>105</v>
      </c>
      <c r="P2615">
        <v>473</v>
      </c>
      <c r="Q2615">
        <v>5</v>
      </c>
      <c r="R2615">
        <v>41</v>
      </c>
      <c r="S2615">
        <v>2</v>
      </c>
      <c r="T2615">
        <v>6</v>
      </c>
      <c r="U2615">
        <v>5</v>
      </c>
      <c r="V2615">
        <v>146</v>
      </c>
      <c r="W2615">
        <v>14</v>
      </c>
      <c r="X2615">
        <v>149</v>
      </c>
      <c r="Y2615">
        <v>56</v>
      </c>
      <c r="Z2615">
        <v>5</v>
      </c>
      <c r="AA2615">
        <v>7</v>
      </c>
      <c r="AC2615">
        <v>3</v>
      </c>
      <c r="AD2615">
        <v>0</v>
      </c>
      <c r="AE2615">
        <v>2</v>
      </c>
      <c r="AF2615">
        <v>0</v>
      </c>
      <c r="AG2615">
        <v>6</v>
      </c>
      <c r="AH2615">
        <v>1</v>
      </c>
      <c r="AI2615">
        <v>4</v>
      </c>
      <c r="AJ2615">
        <v>0</v>
      </c>
      <c r="AK2615">
        <v>1</v>
      </c>
      <c r="AL2615">
        <v>0</v>
      </c>
      <c r="AM2615">
        <v>0</v>
      </c>
      <c r="AN2615">
        <v>1</v>
      </c>
      <c r="BC2615">
        <v>0</v>
      </c>
      <c r="BD2615">
        <v>20</v>
      </c>
      <c r="BE2615">
        <v>474</v>
      </c>
      <c r="BF2615">
        <v>474</v>
      </c>
      <c r="BG2615">
        <v>715</v>
      </c>
      <c r="BJ2615">
        <v>1</v>
      </c>
      <c r="BL2615" t="s">
        <v>5431</v>
      </c>
      <c r="BM2615" s="4">
        <v>43283.238194444442</v>
      </c>
      <c r="BN2615" s="4">
        <v>43283.26153935185</v>
      </c>
      <c r="BO2615" s="4">
        <v>43283.26153935185</v>
      </c>
      <c r="BP2615" t="s">
        <v>92</v>
      </c>
      <c r="BQ2615" t="s">
        <v>93</v>
      </c>
      <c r="BR2615" t="s">
        <v>94</v>
      </c>
    </row>
    <row r="2616" spans="1:70" x14ac:dyDescent="0.3">
      <c r="A2616" t="str">
        <f>"201841C0100"</f>
        <v>201841C0100</v>
      </c>
      <c r="B2616" t="s">
        <v>5432</v>
      </c>
      <c r="C2616">
        <v>20</v>
      </c>
      <c r="D2616" t="s">
        <v>88</v>
      </c>
      <c r="E2616">
        <v>414</v>
      </c>
      <c r="F2616" t="s">
        <v>5430</v>
      </c>
      <c r="G2616">
        <v>1841</v>
      </c>
      <c r="H2616">
        <v>1</v>
      </c>
      <c r="I2616" t="s">
        <v>98</v>
      </c>
      <c r="J2616">
        <v>0</v>
      </c>
      <c r="K2616">
        <v>2</v>
      </c>
      <c r="L2616">
        <v>5</v>
      </c>
      <c r="M2616">
        <v>282</v>
      </c>
      <c r="N2616">
        <v>455</v>
      </c>
      <c r="O2616">
        <v>4</v>
      </c>
      <c r="P2616">
        <v>436</v>
      </c>
      <c r="Q2616">
        <v>0</v>
      </c>
      <c r="R2616">
        <v>23</v>
      </c>
      <c r="S2616">
        <v>2</v>
      </c>
      <c r="T2616">
        <v>7</v>
      </c>
      <c r="U2616">
        <v>4</v>
      </c>
      <c r="V2616">
        <v>163</v>
      </c>
      <c r="W2616">
        <v>18</v>
      </c>
      <c r="X2616">
        <v>119</v>
      </c>
      <c r="Y2616">
        <v>64</v>
      </c>
      <c r="Z2616">
        <v>4</v>
      </c>
      <c r="AA2616">
        <v>5</v>
      </c>
      <c r="AC2616">
        <v>1</v>
      </c>
      <c r="AD2616">
        <v>0</v>
      </c>
      <c r="AE2616">
        <v>0</v>
      </c>
      <c r="AF2616">
        <v>0</v>
      </c>
      <c r="AG2616">
        <v>8</v>
      </c>
      <c r="AH2616">
        <v>0</v>
      </c>
      <c r="AI2616">
        <v>1</v>
      </c>
      <c r="AJ2616">
        <v>0</v>
      </c>
      <c r="AK2616">
        <v>2</v>
      </c>
      <c r="AL2616">
        <v>0</v>
      </c>
      <c r="AM2616">
        <v>0</v>
      </c>
      <c r="AN2616">
        <v>0</v>
      </c>
      <c r="BC2616" t="s">
        <v>105</v>
      </c>
      <c r="BD2616">
        <v>16</v>
      </c>
      <c r="BE2616">
        <v>436</v>
      </c>
      <c r="BF2616">
        <v>437</v>
      </c>
      <c r="BG2616">
        <v>715</v>
      </c>
      <c r="BI2616" t="s">
        <v>106</v>
      </c>
      <c r="BJ2616">
        <v>1</v>
      </c>
      <c r="BL2616" t="s">
        <v>5433</v>
      </c>
      <c r="BM2616" s="4">
        <v>43283.243055555555</v>
      </c>
      <c r="BN2616" s="4">
        <v>43283.288611111115</v>
      </c>
      <c r="BO2616" s="4">
        <v>43283.288611111115</v>
      </c>
      <c r="BP2616" t="s">
        <v>92</v>
      </c>
      <c r="BQ2616" t="s">
        <v>93</v>
      </c>
      <c r="BR2616" t="s">
        <v>94</v>
      </c>
    </row>
    <row r="2617" spans="1:70" x14ac:dyDescent="0.3">
      <c r="A2617" t="str">
        <f>"201841C0200"</f>
        <v>201841C0200</v>
      </c>
      <c r="B2617" t="s">
        <v>5434</v>
      </c>
      <c r="C2617">
        <v>20</v>
      </c>
      <c r="D2617" t="s">
        <v>88</v>
      </c>
      <c r="E2617">
        <v>414</v>
      </c>
      <c r="F2617" t="s">
        <v>5430</v>
      </c>
      <c r="G2617">
        <v>1841</v>
      </c>
      <c r="H2617">
        <v>2</v>
      </c>
      <c r="I2617" t="s">
        <v>98</v>
      </c>
      <c r="J2617">
        <v>0</v>
      </c>
      <c r="K2617">
        <v>2</v>
      </c>
      <c r="L2617">
        <v>5</v>
      </c>
      <c r="M2617">
        <v>257</v>
      </c>
      <c r="N2617">
        <v>477</v>
      </c>
      <c r="O2617">
        <v>3</v>
      </c>
      <c r="P2617">
        <v>480</v>
      </c>
      <c r="Q2617">
        <v>6</v>
      </c>
      <c r="R2617">
        <v>27</v>
      </c>
      <c r="S2617">
        <v>1</v>
      </c>
      <c r="T2617">
        <v>9</v>
      </c>
      <c r="U2617">
        <v>2</v>
      </c>
      <c r="V2617">
        <v>162</v>
      </c>
      <c r="W2617">
        <v>11</v>
      </c>
      <c r="X2617">
        <v>132</v>
      </c>
      <c r="Y2617">
        <v>61</v>
      </c>
      <c r="Z2617">
        <v>5</v>
      </c>
      <c r="AA2617">
        <v>6</v>
      </c>
      <c r="AC2617">
        <v>3</v>
      </c>
      <c r="AD2617">
        <v>2</v>
      </c>
      <c r="AE2617">
        <v>0</v>
      </c>
      <c r="AF2617">
        <v>4</v>
      </c>
      <c r="AG2617">
        <v>13</v>
      </c>
      <c r="AH2617">
        <v>0</v>
      </c>
      <c r="AI2617">
        <v>3</v>
      </c>
      <c r="AJ2617">
        <v>2</v>
      </c>
      <c r="AK2617">
        <v>1</v>
      </c>
      <c r="AL2617">
        <v>0</v>
      </c>
      <c r="AM2617">
        <v>0</v>
      </c>
      <c r="AN2617">
        <v>1</v>
      </c>
      <c r="BC2617">
        <v>0</v>
      </c>
      <c r="BD2617">
        <v>29</v>
      </c>
      <c r="BE2617">
        <v>480</v>
      </c>
      <c r="BF2617">
        <v>480</v>
      </c>
      <c r="BG2617">
        <v>714</v>
      </c>
      <c r="BJ2617">
        <v>1</v>
      </c>
      <c r="BL2617" t="s">
        <v>5435</v>
      </c>
      <c r="BM2617" s="4">
        <v>43283.239583333336</v>
      </c>
      <c r="BN2617" s="4">
        <v>43283.272141203706</v>
      </c>
      <c r="BO2617" s="4">
        <v>43283.272141203706</v>
      </c>
      <c r="BP2617" t="s">
        <v>92</v>
      </c>
      <c r="BQ2617" t="s">
        <v>93</v>
      </c>
      <c r="BR2617" t="s">
        <v>94</v>
      </c>
    </row>
    <row r="2618" spans="1:70" x14ac:dyDescent="0.3">
      <c r="A2618" t="str">
        <f>"201841C0300"</f>
        <v>201841C0300</v>
      </c>
      <c r="B2618" t="s">
        <v>5436</v>
      </c>
      <c r="C2618">
        <v>20</v>
      </c>
      <c r="D2618" t="s">
        <v>88</v>
      </c>
      <c r="E2618">
        <v>414</v>
      </c>
      <c r="F2618" t="s">
        <v>5430</v>
      </c>
      <c r="G2618">
        <v>1841</v>
      </c>
      <c r="H2618">
        <v>3</v>
      </c>
      <c r="I2618" t="s">
        <v>98</v>
      </c>
      <c r="J2618">
        <v>0</v>
      </c>
      <c r="K2618">
        <v>2</v>
      </c>
      <c r="L2618">
        <v>5</v>
      </c>
      <c r="M2618">
        <v>246</v>
      </c>
      <c r="N2618">
        <v>489</v>
      </c>
      <c r="O2618">
        <v>8</v>
      </c>
      <c r="P2618">
        <v>501</v>
      </c>
      <c r="Q2618">
        <v>6</v>
      </c>
      <c r="R2618">
        <v>31</v>
      </c>
      <c r="S2618">
        <v>4</v>
      </c>
      <c r="T2618">
        <v>6</v>
      </c>
      <c r="U2618">
        <v>8</v>
      </c>
      <c r="V2618">
        <v>188</v>
      </c>
      <c r="W2618">
        <v>35</v>
      </c>
      <c r="X2618">
        <v>117</v>
      </c>
      <c r="Y2618">
        <v>59</v>
      </c>
      <c r="Z2618">
        <v>2</v>
      </c>
      <c r="AA2618">
        <v>4</v>
      </c>
      <c r="AC2618">
        <v>1</v>
      </c>
      <c r="AD2618" t="s">
        <v>105</v>
      </c>
      <c r="AE2618" t="s">
        <v>105</v>
      </c>
      <c r="AF2618" t="s">
        <v>105</v>
      </c>
      <c r="AG2618">
        <v>5</v>
      </c>
      <c r="AH2618" t="s">
        <v>105</v>
      </c>
      <c r="AI2618">
        <v>7</v>
      </c>
      <c r="AJ2618" t="s">
        <v>105</v>
      </c>
      <c r="AK2618">
        <v>2</v>
      </c>
      <c r="AL2618">
        <v>2</v>
      </c>
      <c r="AM2618" t="s">
        <v>105</v>
      </c>
      <c r="AN2618" t="s">
        <v>105</v>
      </c>
      <c r="BC2618" t="s">
        <v>105</v>
      </c>
      <c r="BD2618">
        <v>24</v>
      </c>
      <c r="BE2618" t="s">
        <v>105</v>
      </c>
      <c r="BF2618">
        <v>501</v>
      </c>
      <c r="BG2618">
        <v>714</v>
      </c>
      <c r="BI2618" t="s">
        <v>106</v>
      </c>
      <c r="BJ2618">
        <v>1</v>
      </c>
      <c r="BL2618" t="s">
        <v>5437</v>
      </c>
      <c r="BM2618" s="4">
        <v>43283.240972222222</v>
      </c>
      <c r="BN2618" s="4">
        <v>43283.263831018521</v>
      </c>
      <c r="BO2618" s="4">
        <v>43283.263831018521</v>
      </c>
      <c r="BP2618" t="s">
        <v>92</v>
      </c>
      <c r="BQ2618" t="s">
        <v>93</v>
      </c>
      <c r="BR2618" t="s">
        <v>94</v>
      </c>
    </row>
    <row r="2619" spans="1:70" x14ac:dyDescent="0.3">
      <c r="A2619" t="str">
        <f>"201842B0100"</f>
        <v>201842B0100</v>
      </c>
      <c r="B2619" t="s">
        <v>5438</v>
      </c>
      <c r="C2619">
        <v>20</v>
      </c>
      <c r="D2619" t="s">
        <v>88</v>
      </c>
      <c r="E2619">
        <v>414</v>
      </c>
      <c r="F2619" t="s">
        <v>5430</v>
      </c>
      <c r="G2619">
        <v>1842</v>
      </c>
      <c r="H2619">
        <v>1</v>
      </c>
      <c r="I2619" t="s">
        <v>90</v>
      </c>
      <c r="J2619">
        <v>0</v>
      </c>
      <c r="K2619">
        <v>2</v>
      </c>
      <c r="L2619">
        <v>5</v>
      </c>
      <c r="M2619">
        <v>255</v>
      </c>
      <c r="N2619">
        <v>425</v>
      </c>
      <c r="O2619">
        <v>3</v>
      </c>
      <c r="P2619">
        <v>427</v>
      </c>
      <c r="Q2619">
        <v>2</v>
      </c>
      <c r="R2619">
        <v>33</v>
      </c>
      <c r="S2619">
        <v>3</v>
      </c>
      <c r="T2619">
        <v>4</v>
      </c>
      <c r="U2619">
        <v>8</v>
      </c>
      <c r="V2619">
        <v>142</v>
      </c>
      <c r="W2619">
        <v>10</v>
      </c>
      <c r="X2619">
        <v>121</v>
      </c>
      <c r="Y2619">
        <v>55</v>
      </c>
      <c r="Z2619">
        <v>4</v>
      </c>
      <c r="AA2619">
        <v>14</v>
      </c>
      <c r="AC2619">
        <v>2</v>
      </c>
      <c r="AD2619">
        <v>0</v>
      </c>
      <c r="AE2619">
        <v>1</v>
      </c>
      <c r="AF2619">
        <v>1</v>
      </c>
      <c r="AG2619">
        <v>4</v>
      </c>
      <c r="AH2619">
        <v>1</v>
      </c>
      <c r="AI2619">
        <v>3</v>
      </c>
      <c r="AJ2619">
        <v>1</v>
      </c>
      <c r="AK2619">
        <v>0</v>
      </c>
      <c r="AL2619">
        <v>0</v>
      </c>
      <c r="AM2619">
        <v>0</v>
      </c>
      <c r="AN2619">
        <v>0</v>
      </c>
      <c r="BC2619">
        <v>0</v>
      </c>
      <c r="BD2619">
        <v>20</v>
      </c>
      <c r="BE2619">
        <v>427</v>
      </c>
      <c r="BF2619">
        <v>429</v>
      </c>
      <c r="BG2619">
        <v>659</v>
      </c>
      <c r="BJ2619">
        <v>1</v>
      </c>
      <c r="BL2619" t="s">
        <v>5439</v>
      </c>
      <c r="BM2619" s="4">
        <v>43283.186111111114</v>
      </c>
      <c r="BN2619" s="4">
        <v>43283.202638888892</v>
      </c>
      <c r="BO2619" s="4">
        <v>43283.202638888892</v>
      </c>
      <c r="BP2619" t="s">
        <v>92</v>
      </c>
      <c r="BQ2619" t="s">
        <v>93</v>
      </c>
      <c r="BR2619" t="s">
        <v>94</v>
      </c>
    </row>
    <row r="2620" spans="1:70" x14ac:dyDescent="0.3">
      <c r="A2620" t="str">
        <f>"201842C0100"</f>
        <v>201842C0100</v>
      </c>
      <c r="B2620" t="s">
        <v>5440</v>
      </c>
      <c r="C2620">
        <v>20</v>
      </c>
      <c r="D2620" t="s">
        <v>88</v>
      </c>
      <c r="E2620">
        <v>414</v>
      </c>
      <c r="F2620" t="s">
        <v>5430</v>
      </c>
      <c r="G2620">
        <v>1842</v>
      </c>
      <c r="H2620">
        <v>1</v>
      </c>
      <c r="I2620" t="s">
        <v>98</v>
      </c>
      <c r="J2620">
        <v>0</v>
      </c>
      <c r="K2620">
        <v>2</v>
      </c>
      <c r="L2620">
        <v>5</v>
      </c>
      <c r="M2620">
        <v>277</v>
      </c>
      <c r="N2620">
        <v>404</v>
      </c>
      <c r="O2620">
        <v>4</v>
      </c>
      <c r="P2620">
        <v>404</v>
      </c>
      <c r="Q2620">
        <v>1</v>
      </c>
      <c r="R2620">
        <v>25</v>
      </c>
      <c r="S2620">
        <v>3</v>
      </c>
      <c r="T2620">
        <v>2</v>
      </c>
      <c r="U2620">
        <v>5</v>
      </c>
      <c r="V2620">
        <v>144</v>
      </c>
      <c r="W2620">
        <v>11</v>
      </c>
      <c r="X2620">
        <v>106</v>
      </c>
      <c r="Y2620">
        <v>53</v>
      </c>
      <c r="Z2620">
        <v>3</v>
      </c>
      <c r="AA2620">
        <v>12</v>
      </c>
      <c r="AC2620">
        <v>4</v>
      </c>
      <c r="AD2620">
        <v>0</v>
      </c>
      <c r="AE2620">
        <v>0</v>
      </c>
      <c r="AF2620">
        <v>0</v>
      </c>
      <c r="AG2620">
        <v>3</v>
      </c>
      <c r="AH2620">
        <v>1</v>
      </c>
      <c r="AI2620">
        <v>5</v>
      </c>
      <c r="AJ2620">
        <v>0</v>
      </c>
      <c r="AK2620">
        <v>0</v>
      </c>
      <c r="AL2620">
        <v>0</v>
      </c>
      <c r="AM2620">
        <v>0</v>
      </c>
      <c r="AN2620">
        <v>1</v>
      </c>
      <c r="BC2620">
        <v>0</v>
      </c>
      <c r="BD2620">
        <v>25</v>
      </c>
      <c r="BE2620">
        <v>404</v>
      </c>
      <c r="BF2620">
        <v>404</v>
      </c>
      <c r="BG2620">
        <v>659</v>
      </c>
      <c r="BJ2620">
        <v>1</v>
      </c>
      <c r="BL2620" t="s">
        <v>5441</v>
      </c>
      <c r="BM2620" s="4">
        <v>43283.155555555553</v>
      </c>
      <c r="BN2620" s="4">
        <v>43283.171134259261</v>
      </c>
      <c r="BO2620" s="4">
        <v>43283.171134259261</v>
      </c>
      <c r="BP2620" t="s">
        <v>92</v>
      </c>
      <c r="BQ2620" t="s">
        <v>93</v>
      </c>
      <c r="BR2620" t="s">
        <v>94</v>
      </c>
    </row>
    <row r="2621" spans="1:70" x14ac:dyDescent="0.3">
      <c r="A2621" t="str">
        <f>"201842C0200"</f>
        <v>201842C0200</v>
      </c>
      <c r="B2621" t="s">
        <v>5442</v>
      </c>
      <c r="C2621">
        <v>20</v>
      </c>
      <c r="D2621" t="s">
        <v>88</v>
      </c>
      <c r="E2621">
        <v>414</v>
      </c>
      <c r="F2621" t="s">
        <v>5430</v>
      </c>
      <c r="G2621">
        <v>1842</v>
      </c>
      <c r="H2621">
        <v>2</v>
      </c>
      <c r="I2621" t="s">
        <v>98</v>
      </c>
      <c r="J2621">
        <v>0</v>
      </c>
      <c r="K2621">
        <v>2</v>
      </c>
      <c r="L2621">
        <v>5</v>
      </c>
      <c r="M2621">
        <v>275</v>
      </c>
      <c r="N2621">
        <v>405</v>
      </c>
      <c r="O2621">
        <v>10</v>
      </c>
      <c r="P2621">
        <v>405</v>
      </c>
      <c r="Q2621">
        <v>2</v>
      </c>
      <c r="R2621">
        <v>15</v>
      </c>
      <c r="S2621">
        <v>3</v>
      </c>
      <c r="T2621">
        <v>10</v>
      </c>
      <c r="U2621">
        <v>6</v>
      </c>
      <c r="V2621">
        <v>153</v>
      </c>
      <c r="W2621">
        <v>7</v>
      </c>
      <c r="X2621">
        <v>101</v>
      </c>
      <c r="Y2621">
        <v>56</v>
      </c>
      <c r="Z2621">
        <v>4</v>
      </c>
      <c r="AA2621">
        <v>10</v>
      </c>
      <c r="AC2621">
        <v>2</v>
      </c>
      <c r="AD2621">
        <v>0</v>
      </c>
      <c r="AE2621">
        <v>2</v>
      </c>
      <c r="AF2621">
        <v>1</v>
      </c>
      <c r="AG2621">
        <v>6</v>
      </c>
      <c r="AH2621">
        <v>1</v>
      </c>
      <c r="AI2621">
        <v>6</v>
      </c>
      <c r="AJ2621">
        <v>0</v>
      </c>
      <c r="AK2621">
        <v>4</v>
      </c>
      <c r="AL2621">
        <v>0</v>
      </c>
      <c r="AM2621">
        <v>0</v>
      </c>
      <c r="AN2621">
        <v>0</v>
      </c>
      <c r="BC2621">
        <v>0</v>
      </c>
      <c r="BD2621">
        <v>19</v>
      </c>
      <c r="BE2621">
        <v>408</v>
      </c>
      <c r="BF2621">
        <v>408</v>
      </c>
      <c r="BG2621">
        <v>659</v>
      </c>
      <c r="BJ2621">
        <v>1</v>
      </c>
      <c r="BL2621" t="s">
        <v>5443</v>
      </c>
      <c r="BM2621" s="4">
        <v>43283.151388888888</v>
      </c>
      <c r="BN2621" s="4">
        <v>43283.164895833332</v>
      </c>
      <c r="BO2621" s="4">
        <v>43283.164895833332</v>
      </c>
      <c r="BP2621" t="s">
        <v>92</v>
      </c>
      <c r="BQ2621" t="s">
        <v>93</v>
      </c>
      <c r="BR2621" t="s">
        <v>94</v>
      </c>
    </row>
    <row r="2622" spans="1:70" x14ac:dyDescent="0.3">
      <c r="A2622" t="str">
        <f>"201842C0300"</f>
        <v>201842C0300</v>
      </c>
      <c r="B2622" t="s">
        <v>5444</v>
      </c>
      <c r="C2622">
        <v>20</v>
      </c>
      <c r="D2622" t="s">
        <v>88</v>
      </c>
      <c r="E2622">
        <v>414</v>
      </c>
      <c r="F2622" t="s">
        <v>5430</v>
      </c>
      <c r="G2622">
        <v>1842</v>
      </c>
      <c r="H2622">
        <v>3</v>
      </c>
      <c r="I2622" t="s">
        <v>98</v>
      </c>
      <c r="J2622">
        <v>0</v>
      </c>
      <c r="K2622">
        <v>2</v>
      </c>
      <c r="L2622">
        <v>5</v>
      </c>
      <c r="M2622">
        <v>252</v>
      </c>
      <c r="N2622">
        <v>428</v>
      </c>
      <c r="O2622">
        <v>4</v>
      </c>
      <c r="P2622">
        <v>427</v>
      </c>
      <c r="Q2622">
        <v>3</v>
      </c>
      <c r="R2622">
        <v>41</v>
      </c>
      <c r="S2622">
        <v>1</v>
      </c>
      <c r="T2622">
        <v>1</v>
      </c>
      <c r="U2622">
        <v>1</v>
      </c>
      <c r="V2622">
        <v>174</v>
      </c>
      <c r="W2622">
        <v>10</v>
      </c>
      <c r="X2622">
        <v>99</v>
      </c>
      <c r="Y2622">
        <v>59</v>
      </c>
      <c r="Z2622">
        <v>1</v>
      </c>
      <c r="AA2622">
        <v>8</v>
      </c>
      <c r="AC2622">
        <v>2</v>
      </c>
      <c r="AD2622">
        <v>0</v>
      </c>
      <c r="AE2622">
        <v>0</v>
      </c>
      <c r="AF2622">
        <v>2</v>
      </c>
      <c r="AG2622">
        <v>5</v>
      </c>
      <c r="AH2622">
        <v>2</v>
      </c>
      <c r="AI2622">
        <v>4</v>
      </c>
      <c r="AJ2622">
        <v>0</v>
      </c>
      <c r="AK2622">
        <v>1</v>
      </c>
      <c r="AL2622">
        <v>0</v>
      </c>
      <c r="AM2622">
        <v>0</v>
      </c>
      <c r="AN2622">
        <v>0</v>
      </c>
      <c r="BC2622" t="s">
        <v>105</v>
      </c>
      <c r="BD2622">
        <v>13</v>
      </c>
      <c r="BE2622">
        <v>427</v>
      </c>
      <c r="BF2622">
        <v>427</v>
      </c>
      <c r="BG2622">
        <v>658</v>
      </c>
      <c r="BI2622" t="s">
        <v>106</v>
      </c>
      <c r="BJ2622">
        <v>1</v>
      </c>
      <c r="BL2622" t="s">
        <v>5445</v>
      </c>
      <c r="BM2622" s="4">
        <v>43283.084027777775</v>
      </c>
      <c r="BN2622" s="4">
        <v>43283.086759259262</v>
      </c>
      <c r="BO2622" s="4">
        <v>43283.086759259262</v>
      </c>
      <c r="BP2622" t="s">
        <v>92</v>
      </c>
      <c r="BQ2622" t="s">
        <v>93</v>
      </c>
      <c r="BR2622" t="s">
        <v>94</v>
      </c>
    </row>
    <row r="2623" spans="1:70" x14ac:dyDescent="0.3">
      <c r="A2623" t="str">
        <f>"201842C0400"</f>
        <v>201842C0400</v>
      </c>
      <c r="B2623" t="s">
        <v>5446</v>
      </c>
      <c r="C2623">
        <v>20</v>
      </c>
      <c r="D2623" t="s">
        <v>88</v>
      </c>
      <c r="E2623">
        <v>414</v>
      </c>
      <c r="F2623" t="s">
        <v>5430</v>
      </c>
      <c r="G2623">
        <v>1842</v>
      </c>
      <c r="H2623">
        <v>4</v>
      </c>
      <c r="I2623" t="s">
        <v>98</v>
      </c>
      <c r="J2623">
        <v>0</v>
      </c>
      <c r="K2623">
        <v>2</v>
      </c>
      <c r="L2623">
        <v>5</v>
      </c>
      <c r="M2623">
        <v>234</v>
      </c>
      <c r="N2623">
        <v>441</v>
      </c>
      <c r="O2623">
        <v>14</v>
      </c>
      <c r="P2623">
        <v>435</v>
      </c>
      <c r="Q2623">
        <v>5</v>
      </c>
      <c r="R2623">
        <v>21</v>
      </c>
      <c r="S2623">
        <v>3</v>
      </c>
      <c r="T2623">
        <v>5</v>
      </c>
      <c r="U2623">
        <v>5</v>
      </c>
      <c r="V2623">
        <v>176</v>
      </c>
      <c r="W2623">
        <v>14</v>
      </c>
      <c r="X2623">
        <v>103</v>
      </c>
      <c r="Y2623">
        <v>53</v>
      </c>
      <c r="Z2623">
        <v>6</v>
      </c>
      <c r="AA2623">
        <v>15</v>
      </c>
      <c r="AC2623">
        <v>2</v>
      </c>
      <c r="AD2623">
        <v>0</v>
      </c>
      <c r="AE2623">
        <v>0</v>
      </c>
      <c r="AF2623">
        <v>1</v>
      </c>
      <c r="AG2623">
        <v>3</v>
      </c>
      <c r="AH2623">
        <v>0</v>
      </c>
      <c r="AI2623">
        <v>2</v>
      </c>
      <c r="AJ2623">
        <v>1</v>
      </c>
      <c r="AK2623">
        <v>0</v>
      </c>
      <c r="AL2623">
        <v>0</v>
      </c>
      <c r="AM2623">
        <v>0</v>
      </c>
      <c r="AN2623">
        <v>1</v>
      </c>
      <c r="BC2623">
        <v>0</v>
      </c>
      <c r="BD2623">
        <v>19</v>
      </c>
      <c r="BE2623">
        <v>435</v>
      </c>
      <c r="BF2623">
        <v>435</v>
      </c>
      <c r="BG2623">
        <v>658</v>
      </c>
      <c r="BJ2623">
        <v>1</v>
      </c>
      <c r="BL2623" t="s">
        <v>5447</v>
      </c>
      <c r="BM2623" s="4">
        <v>43283.15347222222</v>
      </c>
      <c r="BN2623" s="4">
        <v>43283.168865740743</v>
      </c>
      <c r="BO2623" s="4">
        <v>43283.168865740743</v>
      </c>
      <c r="BP2623" t="s">
        <v>92</v>
      </c>
      <c r="BQ2623" t="s">
        <v>93</v>
      </c>
      <c r="BR2623" t="s">
        <v>94</v>
      </c>
    </row>
    <row r="2624" spans="1:70" x14ac:dyDescent="0.3">
      <c r="A2624" t="str">
        <f>"201842E0100"</f>
        <v>201842E0100</v>
      </c>
      <c r="B2624" s="2" t="s">
        <v>5448</v>
      </c>
      <c r="C2624">
        <v>20</v>
      </c>
      <c r="D2624" t="s">
        <v>88</v>
      </c>
      <c r="E2624">
        <v>414</v>
      </c>
      <c r="F2624" t="s">
        <v>5430</v>
      </c>
      <c r="G2624">
        <v>1842</v>
      </c>
      <c r="H2624">
        <v>1</v>
      </c>
      <c r="I2624" t="s">
        <v>156</v>
      </c>
      <c r="J2624">
        <v>0</v>
      </c>
      <c r="K2624">
        <v>2</v>
      </c>
      <c r="L2624">
        <v>5</v>
      </c>
      <c r="M2624">
        <v>288</v>
      </c>
      <c r="N2624">
        <v>361</v>
      </c>
      <c r="O2624">
        <v>10</v>
      </c>
      <c r="P2624">
        <v>361</v>
      </c>
      <c r="Q2624">
        <v>2</v>
      </c>
      <c r="R2624">
        <v>24</v>
      </c>
      <c r="S2624">
        <v>5</v>
      </c>
      <c r="T2624">
        <v>6</v>
      </c>
      <c r="U2624">
        <v>6</v>
      </c>
      <c r="V2624">
        <v>121</v>
      </c>
      <c r="W2624">
        <v>9</v>
      </c>
      <c r="X2624">
        <v>91</v>
      </c>
      <c r="Y2624">
        <v>37</v>
      </c>
      <c r="Z2624">
        <v>2</v>
      </c>
      <c r="AA2624">
        <v>3</v>
      </c>
      <c r="AC2624">
        <v>3</v>
      </c>
      <c r="AD2624">
        <v>1</v>
      </c>
      <c r="AE2624">
        <v>1</v>
      </c>
      <c r="AF2624">
        <v>1</v>
      </c>
      <c r="AG2624">
        <v>9</v>
      </c>
      <c r="AH2624">
        <v>0</v>
      </c>
      <c r="AI2624">
        <v>4</v>
      </c>
      <c r="AJ2624">
        <v>1</v>
      </c>
      <c r="AK2624">
        <v>6</v>
      </c>
      <c r="AL2624">
        <v>0</v>
      </c>
      <c r="AM2624">
        <v>1</v>
      </c>
      <c r="AN2624">
        <v>0</v>
      </c>
      <c r="BC2624">
        <v>0</v>
      </c>
      <c r="BD2624">
        <v>28</v>
      </c>
      <c r="BE2624" t="s">
        <v>105</v>
      </c>
      <c r="BF2624">
        <v>361</v>
      </c>
      <c r="BG2624">
        <v>627</v>
      </c>
      <c r="BJ2624">
        <v>1</v>
      </c>
      <c r="BL2624" t="s">
        <v>5449</v>
      </c>
      <c r="BM2624" s="4">
        <v>43283.181250000001</v>
      </c>
      <c r="BN2624" s="4">
        <v>43283.19736111111</v>
      </c>
      <c r="BO2624" s="4">
        <v>43283.19736111111</v>
      </c>
      <c r="BP2624" t="s">
        <v>92</v>
      </c>
      <c r="BQ2624" t="s">
        <v>93</v>
      </c>
      <c r="BR2624" t="s">
        <v>94</v>
      </c>
    </row>
    <row r="2625" spans="1:70" x14ac:dyDescent="0.3">
      <c r="A2625" t="str">
        <f>"201842E0200"</f>
        <v>201842E0200</v>
      </c>
      <c r="B2625" s="2" t="s">
        <v>5450</v>
      </c>
      <c r="C2625">
        <v>20</v>
      </c>
      <c r="D2625" t="s">
        <v>88</v>
      </c>
      <c r="E2625">
        <v>414</v>
      </c>
      <c r="F2625" t="s">
        <v>5430</v>
      </c>
      <c r="G2625">
        <v>1842</v>
      </c>
      <c r="H2625">
        <v>2</v>
      </c>
      <c r="I2625" t="s">
        <v>156</v>
      </c>
      <c r="J2625">
        <v>0</v>
      </c>
      <c r="K2625">
        <v>2</v>
      </c>
      <c r="L2625">
        <v>5</v>
      </c>
      <c r="M2625">
        <v>228</v>
      </c>
      <c r="N2625">
        <v>394</v>
      </c>
      <c r="O2625">
        <v>11</v>
      </c>
      <c r="P2625">
        <v>378</v>
      </c>
      <c r="Q2625">
        <v>2</v>
      </c>
      <c r="R2625">
        <v>32</v>
      </c>
      <c r="S2625">
        <v>3</v>
      </c>
      <c r="T2625">
        <v>3</v>
      </c>
      <c r="U2625">
        <v>2</v>
      </c>
      <c r="V2625">
        <v>123</v>
      </c>
      <c r="W2625">
        <v>14</v>
      </c>
      <c r="X2625">
        <v>138</v>
      </c>
      <c r="Y2625">
        <v>34</v>
      </c>
      <c r="Z2625">
        <v>2</v>
      </c>
      <c r="AA2625">
        <v>3</v>
      </c>
      <c r="AC2625">
        <v>3</v>
      </c>
      <c r="AD2625">
        <v>0</v>
      </c>
      <c r="AE2625">
        <v>0</v>
      </c>
      <c r="AF2625">
        <v>2</v>
      </c>
      <c r="AG2625">
        <v>11</v>
      </c>
      <c r="AH2625">
        <v>0</v>
      </c>
      <c r="AI2625">
        <v>4</v>
      </c>
      <c r="AJ2625">
        <v>1</v>
      </c>
      <c r="AK2625">
        <v>1</v>
      </c>
      <c r="AL2625">
        <v>0</v>
      </c>
      <c r="AM2625">
        <v>0</v>
      </c>
      <c r="AN2625">
        <v>0</v>
      </c>
      <c r="BC2625">
        <v>0</v>
      </c>
      <c r="BD2625">
        <v>17</v>
      </c>
      <c r="BE2625">
        <v>395</v>
      </c>
      <c r="BF2625">
        <v>395</v>
      </c>
      <c r="BG2625">
        <v>608</v>
      </c>
      <c r="BJ2625">
        <v>1</v>
      </c>
      <c r="BL2625" t="s">
        <v>5451</v>
      </c>
      <c r="BM2625" s="4">
        <v>43283.165972222225</v>
      </c>
      <c r="BN2625" s="4">
        <v>43283.177118055559</v>
      </c>
      <c r="BO2625" s="4">
        <v>43283.177118055559</v>
      </c>
      <c r="BP2625" t="s">
        <v>92</v>
      </c>
      <c r="BQ2625" t="s">
        <v>93</v>
      </c>
      <c r="BR2625" t="s">
        <v>94</v>
      </c>
    </row>
    <row r="2626" spans="1:70" x14ac:dyDescent="0.3">
      <c r="A2626" t="str">
        <f>"201842E0201"</f>
        <v>201842E0201</v>
      </c>
      <c r="B2626" s="2" t="s">
        <v>5452</v>
      </c>
      <c r="C2626">
        <v>20</v>
      </c>
      <c r="D2626" t="s">
        <v>88</v>
      </c>
      <c r="E2626">
        <v>414</v>
      </c>
      <c r="F2626" t="s">
        <v>5430</v>
      </c>
      <c r="G2626">
        <v>1842</v>
      </c>
      <c r="H2626">
        <v>2</v>
      </c>
      <c r="I2626" t="s">
        <v>156</v>
      </c>
      <c r="J2626">
        <v>1</v>
      </c>
      <c r="K2626">
        <v>2</v>
      </c>
      <c r="L2626">
        <v>5</v>
      </c>
      <c r="M2626">
        <v>227</v>
      </c>
      <c r="N2626">
        <v>402</v>
      </c>
      <c r="O2626">
        <v>11</v>
      </c>
      <c r="P2626">
        <v>402</v>
      </c>
      <c r="Q2626">
        <v>3</v>
      </c>
      <c r="R2626">
        <v>36</v>
      </c>
      <c r="S2626">
        <v>4</v>
      </c>
      <c r="T2626">
        <v>6</v>
      </c>
      <c r="U2626">
        <v>2</v>
      </c>
      <c r="V2626">
        <v>133</v>
      </c>
      <c r="W2626">
        <v>9</v>
      </c>
      <c r="X2626">
        <v>109</v>
      </c>
      <c r="Y2626">
        <v>47</v>
      </c>
      <c r="Z2626">
        <v>2</v>
      </c>
      <c r="AA2626">
        <v>11</v>
      </c>
      <c r="AC2626">
        <v>4</v>
      </c>
      <c r="AD2626">
        <v>0</v>
      </c>
      <c r="AE2626">
        <v>0</v>
      </c>
      <c r="AF2626">
        <v>2</v>
      </c>
      <c r="AG2626">
        <v>6</v>
      </c>
      <c r="AH2626">
        <v>1</v>
      </c>
      <c r="AI2626">
        <v>1</v>
      </c>
      <c r="AJ2626">
        <v>1</v>
      </c>
      <c r="AK2626">
        <v>1</v>
      </c>
      <c r="AL2626">
        <v>0</v>
      </c>
      <c r="AM2626">
        <v>0</v>
      </c>
      <c r="AN2626">
        <v>0</v>
      </c>
      <c r="BC2626">
        <v>0</v>
      </c>
      <c r="BD2626">
        <v>24</v>
      </c>
      <c r="BE2626">
        <v>402</v>
      </c>
      <c r="BF2626">
        <v>402</v>
      </c>
      <c r="BG2626">
        <v>607</v>
      </c>
      <c r="BJ2626">
        <v>1</v>
      </c>
      <c r="BL2626" t="s">
        <v>5453</v>
      </c>
      <c r="BM2626" s="4">
        <v>43283.164583333331</v>
      </c>
      <c r="BN2626" s="4">
        <v>43283.176215277781</v>
      </c>
      <c r="BO2626" s="4">
        <v>43283.176215277781</v>
      </c>
      <c r="BP2626" t="s">
        <v>92</v>
      </c>
      <c r="BQ2626" t="s">
        <v>93</v>
      </c>
      <c r="BR2626" t="s">
        <v>94</v>
      </c>
    </row>
    <row r="2627" spans="1:70" x14ac:dyDescent="0.3">
      <c r="A2627" t="str">
        <f>"201843B0100"</f>
        <v>201843B0100</v>
      </c>
      <c r="B2627" t="s">
        <v>5454</v>
      </c>
      <c r="C2627">
        <v>20</v>
      </c>
      <c r="D2627" t="s">
        <v>88</v>
      </c>
      <c r="E2627">
        <v>414</v>
      </c>
      <c r="F2627" t="s">
        <v>5430</v>
      </c>
      <c r="G2627">
        <v>1843</v>
      </c>
      <c r="H2627">
        <v>1</v>
      </c>
      <c r="I2627" t="s">
        <v>90</v>
      </c>
      <c r="J2627">
        <v>0</v>
      </c>
      <c r="K2627">
        <v>2</v>
      </c>
      <c r="L2627">
        <v>5</v>
      </c>
      <c r="M2627">
        <v>69</v>
      </c>
      <c r="N2627">
        <v>224</v>
      </c>
      <c r="O2627">
        <v>8</v>
      </c>
      <c r="P2627">
        <v>224</v>
      </c>
      <c r="Q2627" t="s">
        <v>127</v>
      </c>
      <c r="R2627">
        <v>11</v>
      </c>
      <c r="S2627">
        <v>2</v>
      </c>
      <c r="T2627">
        <v>6</v>
      </c>
      <c r="U2627">
        <v>2</v>
      </c>
      <c r="V2627">
        <v>81</v>
      </c>
      <c r="W2627" t="s">
        <v>105</v>
      </c>
      <c r="X2627">
        <v>65</v>
      </c>
      <c r="Y2627">
        <v>26</v>
      </c>
      <c r="Z2627">
        <v>2</v>
      </c>
      <c r="AA2627" t="s">
        <v>105</v>
      </c>
      <c r="AC2627" t="s">
        <v>105</v>
      </c>
      <c r="AD2627" t="s">
        <v>105</v>
      </c>
      <c r="AE2627" t="s">
        <v>105</v>
      </c>
      <c r="AF2627" t="s">
        <v>105</v>
      </c>
      <c r="AG2627">
        <v>2</v>
      </c>
      <c r="AH2627" t="s">
        <v>105</v>
      </c>
      <c r="AI2627">
        <v>5</v>
      </c>
      <c r="AJ2627">
        <v>1</v>
      </c>
      <c r="AK2627">
        <v>3</v>
      </c>
      <c r="AL2627">
        <v>1</v>
      </c>
      <c r="AM2627" t="s">
        <v>105</v>
      </c>
      <c r="AN2627" t="s">
        <v>105</v>
      </c>
      <c r="BC2627" t="s">
        <v>105</v>
      </c>
      <c r="BD2627" t="s">
        <v>105</v>
      </c>
      <c r="BE2627" t="s">
        <v>105</v>
      </c>
      <c r="BF2627">
        <v>207</v>
      </c>
      <c r="BG2627">
        <v>271</v>
      </c>
      <c r="BI2627" t="s">
        <v>106</v>
      </c>
      <c r="BJ2627">
        <v>1</v>
      </c>
      <c r="BL2627" t="s">
        <v>5455</v>
      </c>
      <c r="BM2627" s="4">
        <v>43283.070138888892</v>
      </c>
      <c r="BN2627" s="4">
        <v>43283.076921296299</v>
      </c>
      <c r="BO2627" s="4">
        <v>43283.076921296299</v>
      </c>
      <c r="BP2627" t="s">
        <v>92</v>
      </c>
      <c r="BQ2627" t="s">
        <v>93</v>
      </c>
      <c r="BR2627" t="s">
        <v>94</v>
      </c>
    </row>
    <row r="2628" spans="1:70" x14ac:dyDescent="0.3">
      <c r="A2628" t="str">
        <f>"201844B0100"</f>
        <v>201844B0100</v>
      </c>
      <c r="B2628" t="s">
        <v>5456</v>
      </c>
      <c r="C2628">
        <v>20</v>
      </c>
      <c r="D2628" t="s">
        <v>88</v>
      </c>
      <c r="E2628">
        <v>414</v>
      </c>
      <c r="F2628" t="s">
        <v>5430</v>
      </c>
      <c r="G2628">
        <v>1844</v>
      </c>
      <c r="H2628">
        <v>1</v>
      </c>
      <c r="I2628" t="s">
        <v>90</v>
      </c>
      <c r="J2628">
        <v>0</v>
      </c>
      <c r="K2628">
        <v>2</v>
      </c>
      <c r="L2628">
        <v>5</v>
      </c>
      <c r="M2628">
        <v>198</v>
      </c>
      <c r="N2628">
        <v>502</v>
      </c>
      <c r="O2628">
        <v>13</v>
      </c>
      <c r="P2628">
        <v>502</v>
      </c>
      <c r="Q2628">
        <v>17</v>
      </c>
      <c r="R2628">
        <v>30</v>
      </c>
      <c r="S2628">
        <v>1</v>
      </c>
      <c r="T2628">
        <v>7</v>
      </c>
      <c r="U2628">
        <v>1</v>
      </c>
      <c r="V2628">
        <v>173</v>
      </c>
      <c r="W2628">
        <v>7</v>
      </c>
      <c r="X2628">
        <v>196</v>
      </c>
      <c r="Y2628">
        <v>32</v>
      </c>
      <c r="Z2628">
        <v>3</v>
      </c>
      <c r="AA2628">
        <v>4</v>
      </c>
      <c r="AC2628">
        <v>0</v>
      </c>
      <c r="AD2628">
        <v>0</v>
      </c>
      <c r="AE2628">
        <v>3</v>
      </c>
      <c r="AF2628">
        <v>1</v>
      </c>
      <c r="AG2628">
        <v>7</v>
      </c>
      <c r="AH2628">
        <v>1</v>
      </c>
      <c r="AI2628">
        <v>5</v>
      </c>
      <c r="AJ2628">
        <v>1</v>
      </c>
      <c r="AK2628">
        <v>0</v>
      </c>
      <c r="AL2628">
        <v>0</v>
      </c>
      <c r="AM2628">
        <v>0</v>
      </c>
      <c r="AN2628">
        <v>0</v>
      </c>
      <c r="BC2628">
        <v>0</v>
      </c>
      <c r="BD2628">
        <v>26</v>
      </c>
      <c r="BE2628">
        <v>515</v>
      </c>
      <c r="BF2628">
        <v>515</v>
      </c>
      <c r="BG2628">
        <v>691</v>
      </c>
      <c r="BJ2628">
        <v>1</v>
      </c>
      <c r="BL2628" t="s">
        <v>5457</v>
      </c>
      <c r="BM2628" s="4">
        <v>43283.325694444444</v>
      </c>
      <c r="BN2628" s="4">
        <v>43283.352523148147</v>
      </c>
      <c r="BO2628" s="4">
        <v>43283.352523148147</v>
      </c>
      <c r="BP2628" t="s">
        <v>92</v>
      </c>
      <c r="BQ2628" t="s">
        <v>93</v>
      </c>
      <c r="BR2628" t="s">
        <v>94</v>
      </c>
    </row>
    <row r="2629" spans="1:70" x14ac:dyDescent="0.3">
      <c r="A2629" t="str">
        <f>"201844E0100"</f>
        <v>201844E0100</v>
      </c>
      <c r="B2629" s="2" t="s">
        <v>5458</v>
      </c>
      <c r="C2629">
        <v>20</v>
      </c>
      <c r="D2629" t="s">
        <v>88</v>
      </c>
      <c r="E2629">
        <v>414</v>
      </c>
      <c r="F2629" t="s">
        <v>5430</v>
      </c>
      <c r="G2629">
        <v>1844</v>
      </c>
      <c r="H2629">
        <v>1</v>
      </c>
      <c r="I2629" t="s">
        <v>156</v>
      </c>
      <c r="J2629">
        <v>0</v>
      </c>
      <c r="K2629">
        <v>2</v>
      </c>
      <c r="L2629">
        <v>5</v>
      </c>
      <c r="M2629">
        <v>132</v>
      </c>
      <c r="N2629">
        <v>358</v>
      </c>
      <c r="O2629">
        <v>7</v>
      </c>
      <c r="P2629">
        <v>358</v>
      </c>
      <c r="Q2629">
        <v>3</v>
      </c>
      <c r="R2629">
        <v>21</v>
      </c>
      <c r="S2629">
        <v>3</v>
      </c>
      <c r="T2629">
        <v>10</v>
      </c>
      <c r="U2629">
        <v>4</v>
      </c>
      <c r="V2629">
        <v>116</v>
      </c>
      <c r="W2629">
        <v>1</v>
      </c>
      <c r="X2629">
        <v>99</v>
      </c>
      <c r="Y2629">
        <v>23</v>
      </c>
      <c r="Z2629">
        <v>1</v>
      </c>
      <c r="AA2629">
        <v>14</v>
      </c>
      <c r="AC2629">
        <v>1</v>
      </c>
      <c r="AD2629">
        <v>0</v>
      </c>
      <c r="AE2629">
        <v>1</v>
      </c>
      <c r="AF2629">
        <v>3</v>
      </c>
      <c r="AG2629">
        <v>17</v>
      </c>
      <c r="AH2629">
        <v>1</v>
      </c>
      <c r="AI2629">
        <v>3</v>
      </c>
      <c r="AJ2629">
        <v>2</v>
      </c>
      <c r="AK2629">
        <v>1</v>
      </c>
      <c r="AL2629">
        <v>1</v>
      </c>
      <c r="AM2629">
        <v>0</v>
      </c>
      <c r="AN2629">
        <v>0</v>
      </c>
      <c r="BC2629">
        <v>0</v>
      </c>
      <c r="BD2629">
        <v>26</v>
      </c>
      <c r="BE2629">
        <v>351</v>
      </c>
      <c r="BF2629">
        <v>351</v>
      </c>
      <c r="BG2629">
        <v>461</v>
      </c>
      <c r="BJ2629">
        <v>1</v>
      </c>
      <c r="BL2629" t="s">
        <v>5459</v>
      </c>
      <c r="BM2629" s="4">
        <v>43283.168055555558</v>
      </c>
      <c r="BN2629" s="4">
        <v>43283.180150462962</v>
      </c>
      <c r="BO2629" s="4">
        <v>43283.180150462962</v>
      </c>
      <c r="BP2629" t="s">
        <v>92</v>
      </c>
      <c r="BQ2629" t="s">
        <v>93</v>
      </c>
      <c r="BR2629" t="s">
        <v>94</v>
      </c>
    </row>
    <row r="2630" spans="1:70" x14ac:dyDescent="0.3">
      <c r="A2630" t="str">
        <f>"201844E0200"</f>
        <v>201844E0200</v>
      </c>
      <c r="B2630" s="2" t="s">
        <v>5460</v>
      </c>
      <c r="C2630">
        <v>20</v>
      </c>
      <c r="D2630" t="s">
        <v>88</v>
      </c>
      <c r="E2630">
        <v>414</v>
      </c>
      <c r="F2630" t="s">
        <v>5430</v>
      </c>
      <c r="G2630">
        <v>1844</v>
      </c>
      <c r="H2630">
        <v>2</v>
      </c>
      <c r="I2630" t="s">
        <v>156</v>
      </c>
      <c r="J2630">
        <v>0</v>
      </c>
      <c r="K2630">
        <v>2</v>
      </c>
      <c r="L2630">
        <v>5</v>
      </c>
      <c r="M2630">
        <v>116</v>
      </c>
      <c r="N2630">
        <v>353</v>
      </c>
      <c r="O2630">
        <v>20</v>
      </c>
      <c r="P2630">
        <v>353</v>
      </c>
      <c r="Q2630">
        <v>1</v>
      </c>
      <c r="R2630">
        <v>22</v>
      </c>
      <c r="S2630">
        <v>1</v>
      </c>
      <c r="T2630">
        <v>3</v>
      </c>
      <c r="U2630">
        <v>2</v>
      </c>
      <c r="V2630">
        <v>138</v>
      </c>
      <c r="W2630">
        <v>2</v>
      </c>
      <c r="X2630">
        <v>83</v>
      </c>
      <c r="Y2630">
        <v>30</v>
      </c>
      <c r="Z2630">
        <v>4</v>
      </c>
      <c r="AA2630">
        <v>29</v>
      </c>
      <c r="AC2630">
        <v>1</v>
      </c>
      <c r="AD2630">
        <v>0</v>
      </c>
      <c r="AE2630">
        <v>1</v>
      </c>
      <c r="AF2630">
        <v>0</v>
      </c>
      <c r="AG2630">
        <v>2</v>
      </c>
      <c r="AH2630">
        <v>1</v>
      </c>
      <c r="AI2630">
        <v>5</v>
      </c>
      <c r="AJ2630">
        <v>1</v>
      </c>
      <c r="AK2630">
        <v>2</v>
      </c>
      <c r="AL2630">
        <v>1</v>
      </c>
      <c r="AM2630">
        <v>0</v>
      </c>
      <c r="AN2630">
        <v>0</v>
      </c>
      <c r="BC2630">
        <v>0</v>
      </c>
      <c r="BD2630">
        <v>24</v>
      </c>
      <c r="BE2630">
        <v>353</v>
      </c>
      <c r="BF2630">
        <v>353</v>
      </c>
      <c r="BG2630">
        <v>447</v>
      </c>
      <c r="BJ2630">
        <v>1</v>
      </c>
      <c r="BL2630" t="s">
        <v>5461</v>
      </c>
      <c r="BM2630" s="4">
        <v>43283.32916666667</v>
      </c>
      <c r="BN2630" s="4">
        <v>43283.347048611111</v>
      </c>
      <c r="BO2630" s="4">
        <v>43283.347048611111</v>
      </c>
      <c r="BP2630" t="s">
        <v>92</v>
      </c>
      <c r="BQ2630" t="s">
        <v>93</v>
      </c>
      <c r="BR2630" t="s">
        <v>94</v>
      </c>
    </row>
    <row r="2631" spans="1:70" x14ac:dyDescent="0.3">
      <c r="A2631" t="str">
        <f>"201844E0300"</f>
        <v>201844E0300</v>
      </c>
      <c r="B2631" s="2" t="s">
        <v>5462</v>
      </c>
      <c r="C2631">
        <v>20</v>
      </c>
      <c r="D2631" t="s">
        <v>88</v>
      </c>
      <c r="E2631">
        <v>414</v>
      </c>
      <c r="F2631" t="s">
        <v>5430</v>
      </c>
      <c r="G2631">
        <v>1844</v>
      </c>
      <c r="H2631">
        <v>3</v>
      </c>
      <c r="I2631" t="s">
        <v>156</v>
      </c>
      <c r="J2631">
        <v>0</v>
      </c>
      <c r="K2631">
        <v>2</v>
      </c>
      <c r="L2631">
        <v>5</v>
      </c>
      <c r="M2631">
        <v>212</v>
      </c>
      <c r="N2631">
        <v>469</v>
      </c>
      <c r="O2631">
        <v>17</v>
      </c>
      <c r="P2631">
        <v>469</v>
      </c>
      <c r="Q2631">
        <v>5</v>
      </c>
      <c r="R2631">
        <v>22</v>
      </c>
      <c r="S2631">
        <v>7</v>
      </c>
      <c r="T2631">
        <v>6</v>
      </c>
      <c r="U2631">
        <v>12</v>
      </c>
      <c r="V2631">
        <v>95</v>
      </c>
      <c r="W2631">
        <v>3</v>
      </c>
      <c r="X2631">
        <v>131</v>
      </c>
      <c r="Y2631">
        <v>67</v>
      </c>
      <c r="Z2631">
        <v>8</v>
      </c>
      <c r="AA2631">
        <v>74</v>
      </c>
      <c r="AC2631">
        <v>1</v>
      </c>
      <c r="AD2631">
        <v>0</v>
      </c>
      <c r="AE2631">
        <v>0</v>
      </c>
      <c r="AF2631">
        <v>1</v>
      </c>
      <c r="AG2631">
        <v>5</v>
      </c>
      <c r="AH2631">
        <v>3</v>
      </c>
      <c r="AI2631">
        <v>4</v>
      </c>
      <c r="AJ2631">
        <v>0</v>
      </c>
      <c r="AK2631">
        <v>1</v>
      </c>
      <c r="AL2631">
        <v>2</v>
      </c>
      <c r="AM2631">
        <v>0</v>
      </c>
      <c r="AN2631">
        <v>0</v>
      </c>
      <c r="BC2631">
        <v>0</v>
      </c>
      <c r="BD2631">
        <v>22</v>
      </c>
      <c r="BE2631">
        <v>469</v>
      </c>
      <c r="BF2631">
        <v>469</v>
      </c>
      <c r="BG2631">
        <v>659</v>
      </c>
      <c r="BJ2631">
        <v>1</v>
      </c>
      <c r="BL2631" t="s">
        <v>5463</v>
      </c>
      <c r="BM2631" s="4">
        <v>43283.32708333333</v>
      </c>
      <c r="BN2631" s="4">
        <v>43283.347280092596</v>
      </c>
      <c r="BO2631" s="4">
        <v>43283.347280092596</v>
      </c>
      <c r="BP2631" t="s">
        <v>92</v>
      </c>
      <c r="BQ2631" t="s">
        <v>93</v>
      </c>
      <c r="BR2631" t="s">
        <v>94</v>
      </c>
    </row>
    <row r="2632" spans="1:70" x14ac:dyDescent="0.3">
      <c r="A2632" t="str">
        <f>"201845B0100"</f>
        <v>201845B0100</v>
      </c>
      <c r="B2632" t="s">
        <v>5464</v>
      </c>
      <c r="C2632">
        <v>20</v>
      </c>
      <c r="D2632" t="s">
        <v>88</v>
      </c>
      <c r="E2632">
        <v>414</v>
      </c>
      <c r="F2632" t="s">
        <v>5430</v>
      </c>
      <c r="G2632">
        <v>1845</v>
      </c>
      <c r="H2632">
        <v>1</v>
      </c>
      <c r="I2632" t="s">
        <v>90</v>
      </c>
      <c r="J2632">
        <v>0</v>
      </c>
      <c r="K2632">
        <v>2</v>
      </c>
      <c r="L2632">
        <v>5</v>
      </c>
      <c r="M2632">
        <v>298</v>
      </c>
      <c r="N2632">
        <v>463</v>
      </c>
      <c r="O2632">
        <v>11</v>
      </c>
      <c r="P2632">
        <v>463</v>
      </c>
      <c r="Q2632">
        <v>1</v>
      </c>
      <c r="R2632">
        <v>28</v>
      </c>
      <c r="S2632">
        <v>1</v>
      </c>
      <c r="T2632">
        <v>17</v>
      </c>
      <c r="U2632">
        <v>7</v>
      </c>
      <c r="V2632">
        <v>141</v>
      </c>
      <c r="W2632">
        <v>3</v>
      </c>
      <c r="X2632">
        <v>111</v>
      </c>
      <c r="Y2632">
        <v>111</v>
      </c>
      <c r="Z2632">
        <v>9</v>
      </c>
      <c r="AA2632">
        <v>7</v>
      </c>
      <c r="AC2632">
        <v>5</v>
      </c>
      <c r="AD2632">
        <v>0</v>
      </c>
      <c r="AE2632">
        <v>2</v>
      </c>
      <c r="AF2632">
        <v>0</v>
      </c>
      <c r="AG2632">
        <v>8</v>
      </c>
      <c r="AH2632">
        <v>0</v>
      </c>
      <c r="AI2632">
        <v>0</v>
      </c>
      <c r="AJ2632">
        <v>0</v>
      </c>
      <c r="AK2632">
        <v>1</v>
      </c>
      <c r="AL2632">
        <v>1</v>
      </c>
      <c r="AM2632">
        <v>0</v>
      </c>
      <c r="AN2632">
        <v>0</v>
      </c>
      <c r="BC2632">
        <v>0</v>
      </c>
      <c r="BD2632">
        <v>0</v>
      </c>
      <c r="BE2632">
        <v>463</v>
      </c>
      <c r="BF2632">
        <v>453</v>
      </c>
      <c r="BG2632">
        <v>741</v>
      </c>
      <c r="BJ2632">
        <v>1</v>
      </c>
      <c r="BL2632" t="s">
        <v>5465</v>
      </c>
      <c r="BM2632" s="4">
        <v>43283.381249999999</v>
      </c>
      <c r="BN2632" s="4">
        <v>43283.385671296295</v>
      </c>
      <c r="BO2632" s="4">
        <v>43283.385671296295</v>
      </c>
      <c r="BP2632" t="s">
        <v>92</v>
      </c>
      <c r="BQ2632" t="s">
        <v>93</v>
      </c>
      <c r="BR2632" t="s">
        <v>94</v>
      </c>
    </row>
    <row r="2633" spans="1:70" x14ac:dyDescent="0.3">
      <c r="A2633" t="str">
        <f>"201845C0100"</f>
        <v>201845C0100</v>
      </c>
      <c r="B2633" t="s">
        <v>5466</v>
      </c>
      <c r="C2633">
        <v>20</v>
      </c>
      <c r="D2633" t="s">
        <v>88</v>
      </c>
      <c r="E2633">
        <v>414</v>
      </c>
      <c r="F2633" t="s">
        <v>5430</v>
      </c>
      <c r="G2633">
        <v>1845</v>
      </c>
      <c r="H2633">
        <v>1</v>
      </c>
      <c r="I2633" t="s">
        <v>98</v>
      </c>
      <c r="J2633">
        <v>0</v>
      </c>
      <c r="K2633">
        <v>2</v>
      </c>
      <c r="L2633">
        <v>5</v>
      </c>
      <c r="M2633">
        <v>292</v>
      </c>
      <c r="N2633">
        <v>763</v>
      </c>
      <c r="O2633">
        <v>0</v>
      </c>
      <c r="P2633" t="s">
        <v>105</v>
      </c>
      <c r="Q2633">
        <v>10</v>
      </c>
      <c r="R2633">
        <v>27</v>
      </c>
      <c r="S2633">
        <v>1</v>
      </c>
      <c r="T2633">
        <v>10</v>
      </c>
      <c r="U2633">
        <v>5</v>
      </c>
      <c r="V2633">
        <v>129</v>
      </c>
      <c r="W2633">
        <v>5</v>
      </c>
      <c r="X2633">
        <v>128</v>
      </c>
      <c r="Y2633">
        <v>93</v>
      </c>
      <c r="Z2633">
        <v>10</v>
      </c>
      <c r="AA2633">
        <v>11</v>
      </c>
      <c r="AC2633">
        <v>2</v>
      </c>
      <c r="AD2633">
        <v>1</v>
      </c>
      <c r="AE2633">
        <v>1</v>
      </c>
      <c r="AF2633">
        <v>2</v>
      </c>
      <c r="AG2633">
        <v>6</v>
      </c>
      <c r="AH2633">
        <v>0</v>
      </c>
      <c r="AI2633">
        <v>1</v>
      </c>
      <c r="AJ2633">
        <v>0</v>
      </c>
      <c r="AK2633">
        <v>1</v>
      </c>
      <c r="AL2633">
        <v>1</v>
      </c>
      <c r="AM2633">
        <v>0</v>
      </c>
      <c r="AN2633">
        <v>3</v>
      </c>
      <c r="BC2633">
        <v>0</v>
      </c>
      <c r="BD2633">
        <v>22</v>
      </c>
      <c r="BE2633">
        <v>469</v>
      </c>
      <c r="BF2633">
        <v>469</v>
      </c>
      <c r="BG2633">
        <v>741</v>
      </c>
      <c r="BJ2633">
        <v>1</v>
      </c>
      <c r="BL2633" t="s">
        <v>5467</v>
      </c>
      <c r="BM2633" s="4">
        <v>43283.251388888886</v>
      </c>
      <c r="BN2633" s="4">
        <v>43283.288124999999</v>
      </c>
      <c r="BO2633" s="4">
        <v>43283.288124999999</v>
      </c>
      <c r="BP2633" t="s">
        <v>92</v>
      </c>
      <c r="BQ2633" t="s">
        <v>93</v>
      </c>
      <c r="BR2633" t="s">
        <v>94</v>
      </c>
    </row>
    <row r="2634" spans="1:70" x14ac:dyDescent="0.3">
      <c r="A2634" t="str">
        <f>"201845C0200"</f>
        <v>201845C0200</v>
      </c>
      <c r="B2634" t="s">
        <v>5468</v>
      </c>
      <c r="C2634">
        <v>20</v>
      </c>
      <c r="D2634" t="s">
        <v>88</v>
      </c>
      <c r="E2634">
        <v>414</v>
      </c>
      <c r="F2634" t="s">
        <v>5430</v>
      </c>
      <c r="G2634">
        <v>1845</v>
      </c>
      <c r="H2634">
        <v>2</v>
      </c>
      <c r="I2634" t="s">
        <v>98</v>
      </c>
      <c r="J2634">
        <v>0</v>
      </c>
      <c r="K2634">
        <v>2</v>
      </c>
      <c r="L2634">
        <v>5</v>
      </c>
      <c r="M2634">
        <v>393</v>
      </c>
      <c r="N2634">
        <v>455</v>
      </c>
      <c r="O2634">
        <v>2</v>
      </c>
      <c r="P2634" t="s">
        <v>105</v>
      </c>
      <c r="Q2634">
        <v>2</v>
      </c>
      <c r="R2634">
        <v>18</v>
      </c>
      <c r="S2634">
        <v>3</v>
      </c>
      <c r="T2634">
        <v>4</v>
      </c>
      <c r="U2634">
        <v>2</v>
      </c>
      <c r="V2634" t="s">
        <v>127</v>
      </c>
      <c r="W2634">
        <v>2</v>
      </c>
      <c r="X2634">
        <v>129</v>
      </c>
      <c r="Y2634">
        <v>103</v>
      </c>
      <c r="Z2634">
        <v>10</v>
      </c>
      <c r="AA2634">
        <v>15</v>
      </c>
      <c r="AC2634">
        <v>3</v>
      </c>
      <c r="AD2634">
        <v>0</v>
      </c>
      <c r="AE2634">
        <v>1</v>
      </c>
      <c r="AF2634">
        <v>1</v>
      </c>
      <c r="AG2634">
        <v>1</v>
      </c>
      <c r="AH2634">
        <v>0</v>
      </c>
      <c r="AI2634">
        <v>0</v>
      </c>
      <c r="AJ2634">
        <v>1</v>
      </c>
      <c r="AK2634">
        <v>2</v>
      </c>
      <c r="AL2634">
        <v>0</v>
      </c>
      <c r="AM2634">
        <v>0</v>
      </c>
      <c r="AN2634">
        <v>1</v>
      </c>
      <c r="BC2634" t="s">
        <v>105</v>
      </c>
      <c r="BD2634">
        <v>16</v>
      </c>
      <c r="BE2634">
        <v>298</v>
      </c>
      <c r="BF2634">
        <v>314</v>
      </c>
      <c r="BG2634">
        <v>741</v>
      </c>
      <c r="BI2634" t="s">
        <v>106</v>
      </c>
      <c r="BJ2634">
        <v>1</v>
      </c>
      <c r="BL2634" t="s">
        <v>5469</v>
      </c>
      <c r="BM2634" s="4">
        <v>43283.267361111109</v>
      </c>
      <c r="BN2634" s="4">
        <v>43283.303993055553</v>
      </c>
      <c r="BO2634" s="4">
        <v>43283.303993055553</v>
      </c>
      <c r="BP2634" t="s">
        <v>92</v>
      </c>
      <c r="BQ2634" t="s">
        <v>93</v>
      </c>
      <c r="BR2634" t="s">
        <v>94</v>
      </c>
    </row>
    <row r="2635" spans="1:70" x14ac:dyDescent="0.3">
      <c r="A2635" t="str">
        <f>"201845C0300"</f>
        <v>201845C0300</v>
      </c>
      <c r="B2635" t="s">
        <v>5470</v>
      </c>
      <c r="C2635">
        <v>20</v>
      </c>
      <c r="D2635" t="s">
        <v>88</v>
      </c>
      <c r="E2635">
        <v>414</v>
      </c>
      <c r="F2635" t="s">
        <v>5430</v>
      </c>
      <c r="G2635">
        <v>1845</v>
      </c>
      <c r="H2635">
        <v>3</v>
      </c>
      <c r="I2635" t="s">
        <v>98</v>
      </c>
      <c r="J2635">
        <v>0</v>
      </c>
      <c r="K2635">
        <v>2</v>
      </c>
      <c r="L2635">
        <v>5</v>
      </c>
      <c r="M2635">
        <v>294</v>
      </c>
      <c r="N2635">
        <v>469</v>
      </c>
      <c r="O2635">
        <v>3</v>
      </c>
      <c r="P2635">
        <v>469</v>
      </c>
      <c r="Q2635">
        <v>7</v>
      </c>
      <c r="R2635">
        <v>9</v>
      </c>
      <c r="S2635">
        <v>3</v>
      </c>
      <c r="T2635">
        <v>6</v>
      </c>
      <c r="U2635">
        <v>9</v>
      </c>
      <c r="V2635">
        <v>136</v>
      </c>
      <c r="W2635">
        <v>4</v>
      </c>
      <c r="X2635">
        <v>127</v>
      </c>
      <c r="Y2635">
        <v>107</v>
      </c>
      <c r="Z2635">
        <v>6</v>
      </c>
      <c r="AA2635">
        <v>14</v>
      </c>
      <c r="AC2635">
        <v>0</v>
      </c>
      <c r="AD2635">
        <v>0</v>
      </c>
      <c r="AE2635">
        <v>0</v>
      </c>
      <c r="AF2635">
        <v>3</v>
      </c>
      <c r="AG2635">
        <v>4</v>
      </c>
      <c r="AH2635">
        <v>0</v>
      </c>
      <c r="AI2635">
        <v>1</v>
      </c>
      <c r="AJ2635">
        <v>1</v>
      </c>
      <c r="AK2635">
        <v>5</v>
      </c>
      <c r="AL2635">
        <v>2</v>
      </c>
      <c r="AM2635">
        <v>1</v>
      </c>
      <c r="AN2635">
        <v>1</v>
      </c>
      <c r="BC2635" t="s">
        <v>105</v>
      </c>
      <c r="BD2635">
        <v>13</v>
      </c>
      <c r="BE2635" t="s">
        <v>105</v>
      </c>
      <c r="BF2635">
        <v>459</v>
      </c>
      <c r="BG2635">
        <v>741</v>
      </c>
      <c r="BI2635" t="s">
        <v>106</v>
      </c>
      <c r="BJ2635">
        <v>1</v>
      </c>
      <c r="BL2635" t="s">
        <v>5471</v>
      </c>
      <c r="BM2635" s="4">
        <v>43283.258333333331</v>
      </c>
      <c r="BN2635" s="4">
        <v>43283.283993055556</v>
      </c>
      <c r="BO2635" s="4">
        <v>43283.283993055556</v>
      </c>
      <c r="BP2635" t="s">
        <v>92</v>
      </c>
      <c r="BQ2635" t="s">
        <v>93</v>
      </c>
      <c r="BR2635" t="s">
        <v>94</v>
      </c>
    </row>
    <row r="2636" spans="1:70" x14ac:dyDescent="0.3">
      <c r="A2636" t="str">
        <f>"201845C0400"</f>
        <v>201845C0400</v>
      </c>
      <c r="B2636" t="s">
        <v>5472</v>
      </c>
      <c r="C2636">
        <v>20</v>
      </c>
      <c r="D2636" t="s">
        <v>88</v>
      </c>
      <c r="E2636">
        <v>414</v>
      </c>
      <c r="F2636" t="s">
        <v>5430</v>
      </c>
      <c r="G2636">
        <v>1845</v>
      </c>
      <c r="H2636">
        <v>4</v>
      </c>
      <c r="I2636" t="s">
        <v>98</v>
      </c>
      <c r="J2636">
        <v>0</v>
      </c>
      <c r="K2636">
        <v>2</v>
      </c>
      <c r="L2636">
        <v>5</v>
      </c>
      <c r="M2636">
        <v>286</v>
      </c>
      <c r="N2636" t="s">
        <v>105</v>
      </c>
      <c r="O2636" t="s">
        <v>105</v>
      </c>
      <c r="P2636" t="s">
        <v>105</v>
      </c>
      <c r="Q2636">
        <v>6</v>
      </c>
      <c r="R2636">
        <v>17</v>
      </c>
      <c r="S2636">
        <v>3</v>
      </c>
      <c r="T2636">
        <v>27</v>
      </c>
      <c r="U2636">
        <v>3</v>
      </c>
      <c r="V2636">
        <v>118</v>
      </c>
      <c r="W2636">
        <v>4</v>
      </c>
      <c r="X2636">
        <v>130</v>
      </c>
      <c r="Y2636">
        <v>116</v>
      </c>
      <c r="Z2636">
        <v>5</v>
      </c>
      <c r="AA2636">
        <v>14</v>
      </c>
      <c r="AC2636">
        <v>4</v>
      </c>
      <c r="AD2636">
        <v>0</v>
      </c>
      <c r="AE2636">
        <v>0</v>
      </c>
      <c r="AF2636">
        <v>1</v>
      </c>
      <c r="AG2636">
        <v>2</v>
      </c>
      <c r="AH2636">
        <v>2</v>
      </c>
      <c r="AI2636">
        <v>1</v>
      </c>
      <c r="AJ2636">
        <v>1</v>
      </c>
      <c r="AK2636">
        <v>0</v>
      </c>
      <c r="AL2636">
        <v>1</v>
      </c>
      <c r="AM2636">
        <v>1</v>
      </c>
      <c r="AN2636">
        <v>2</v>
      </c>
      <c r="BC2636" t="s">
        <v>105</v>
      </c>
      <c r="BD2636">
        <v>21</v>
      </c>
      <c r="BE2636">
        <v>478</v>
      </c>
      <c r="BF2636">
        <v>479</v>
      </c>
      <c r="BG2636">
        <v>741</v>
      </c>
      <c r="BI2636" t="s">
        <v>106</v>
      </c>
      <c r="BJ2636">
        <v>1</v>
      </c>
      <c r="BL2636" t="s">
        <v>5473</v>
      </c>
      <c r="BM2636" s="4">
        <v>43283.259027777778</v>
      </c>
      <c r="BN2636" s="4">
        <v>43283.285162037035</v>
      </c>
      <c r="BO2636" s="4">
        <v>43283.285162037035</v>
      </c>
      <c r="BP2636" t="s">
        <v>92</v>
      </c>
      <c r="BQ2636" t="s">
        <v>93</v>
      </c>
      <c r="BR2636" t="s">
        <v>94</v>
      </c>
    </row>
    <row r="2637" spans="1:70" x14ac:dyDescent="0.3">
      <c r="A2637" t="str">
        <f>"201845C0500"</f>
        <v>201845C0500</v>
      </c>
      <c r="B2637" t="s">
        <v>5474</v>
      </c>
      <c r="C2637">
        <v>20</v>
      </c>
      <c r="D2637" t="s">
        <v>88</v>
      </c>
      <c r="E2637">
        <v>414</v>
      </c>
      <c r="F2637" t="s">
        <v>5430</v>
      </c>
      <c r="G2637">
        <v>1845</v>
      </c>
      <c r="H2637">
        <v>5</v>
      </c>
      <c r="I2637" t="s">
        <v>98</v>
      </c>
      <c r="J2637">
        <v>0</v>
      </c>
      <c r="K2637">
        <v>2</v>
      </c>
      <c r="L2637">
        <v>5</v>
      </c>
      <c r="M2637">
        <v>300</v>
      </c>
      <c r="N2637">
        <v>763</v>
      </c>
      <c r="O2637">
        <v>7</v>
      </c>
      <c r="P2637">
        <v>463</v>
      </c>
      <c r="Q2637">
        <v>6</v>
      </c>
      <c r="R2637">
        <v>20</v>
      </c>
      <c r="S2637">
        <v>3</v>
      </c>
      <c r="T2637">
        <v>21</v>
      </c>
      <c r="U2637">
        <v>1</v>
      </c>
      <c r="V2637">
        <v>105</v>
      </c>
      <c r="W2637">
        <v>6</v>
      </c>
      <c r="X2637">
        <v>145</v>
      </c>
      <c r="Y2637">
        <v>100</v>
      </c>
      <c r="Z2637">
        <v>11</v>
      </c>
      <c r="AA2637">
        <v>12</v>
      </c>
      <c r="AC2637">
        <v>3</v>
      </c>
      <c r="AD2637">
        <v>0</v>
      </c>
      <c r="AE2637">
        <v>0</v>
      </c>
      <c r="AF2637">
        <v>2</v>
      </c>
      <c r="AG2637">
        <v>1</v>
      </c>
      <c r="AH2637">
        <v>0</v>
      </c>
      <c r="AI2637">
        <v>0</v>
      </c>
      <c r="AJ2637">
        <v>2</v>
      </c>
      <c r="AK2637">
        <v>0</v>
      </c>
      <c r="AL2637">
        <v>1</v>
      </c>
      <c r="AM2637">
        <v>0</v>
      </c>
      <c r="AN2637">
        <v>1</v>
      </c>
      <c r="BC2637">
        <v>0</v>
      </c>
      <c r="BD2637">
        <v>23</v>
      </c>
      <c r="BE2637">
        <v>463</v>
      </c>
      <c r="BF2637">
        <v>463</v>
      </c>
      <c r="BG2637">
        <v>741</v>
      </c>
      <c r="BJ2637">
        <v>1</v>
      </c>
      <c r="BL2637" t="s">
        <v>5475</v>
      </c>
      <c r="BM2637" s="4">
        <v>43283.263194444444</v>
      </c>
      <c r="BN2637" s="4">
        <v>43283.299664351849</v>
      </c>
      <c r="BO2637" s="4">
        <v>43283.299664351849</v>
      </c>
      <c r="BP2637" t="s">
        <v>92</v>
      </c>
      <c r="BQ2637" t="s">
        <v>93</v>
      </c>
      <c r="BR2637" t="s">
        <v>94</v>
      </c>
    </row>
    <row r="2638" spans="1:70" x14ac:dyDescent="0.3">
      <c r="A2638" t="str">
        <f>"201845S0100"</f>
        <v>201845S0100</v>
      </c>
      <c r="B2638" t="s">
        <v>5476</v>
      </c>
      <c r="C2638">
        <v>20</v>
      </c>
      <c r="D2638" t="s">
        <v>88</v>
      </c>
      <c r="E2638">
        <v>414</v>
      </c>
      <c r="F2638" t="s">
        <v>5430</v>
      </c>
      <c r="G2638">
        <v>1845</v>
      </c>
      <c r="H2638">
        <v>1</v>
      </c>
      <c r="I2638" t="s">
        <v>113</v>
      </c>
      <c r="J2638">
        <v>0</v>
      </c>
      <c r="K2638">
        <v>2</v>
      </c>
      <c r="L2638">
        <v>6</v>
      </c>
      <c r="M2638">
        <v>757</v>
      </c>
      <c r="N2638">
        <v>15</v>
      </c>
      <c r="O2638">
        <v>0</v>
      </c>
      <c r="P2638">
        <v>15</v>
      </c>
      <c r="Q2638">
        <v>0</v>
      </c>
      <c r="R2638">
        <v>2</v>
      </c>
      <c r="S2638">
        <v>0</v>
      </c>
      <c r="T2638">
        <v>0</v>
      </c>
      <c r="U2638">
        <v>0</v>
      </c>
      <c r="V2638">
        <v>6</v>
      </c>
      <c r="W2638">
        <v>0</v>
      </c>
      <c r="X2638">
        <v>2</v>
      </c>
      <c r="Y2638">
        <v>3</v>
      </c>
      <c r="Z2638">
        <v>1</v>
      </c>
      <c r="AA2638">
        <v>1</v>
      </c>
      <c r="AC2638">
        <v>0</v>
      </c>
      <c r="AD2638">
        <v>0</v>
      </c>
      <c r="AE2638">
        <v>0</v>
      </c>
      <c r="AF2638">
        <v>0</v>
      </c>
      <c r="AG2638">
        <v>0</v>
      </c>
      <c r="AH2638">
        <v>0</v>
      </c>
      <c r="AI2638">
        <v>0</v>
      </c>
      <c r="AJ2638">
        <v>0</v>
      </c>
      <c r="AK2638">
        <v>0</v>
      </c>
      <c r="AL2638">
        <v>0</v>
      </c>
      <c r="AM2638">
        <v>0</v>
      </c>
      <c r="AN2638">
        <v>0</v>
      </c>
      <c r="BC2638">
        <v>0</v>
      </c>
      <c r="BD2638">
        <v>0</v>
      </c>
      <c r="BE2638">
        <v>15</v>
      </c>
      <c r="BF2638">
        <v>15</v>
      </c>
      <c r="BG2638">
        <v>0</v>
      </c>
      <c r="BJ2638">
        <v>1</v>
      </c>
      <c r="BL2638" t="s">
        <v>5477</v>
      </c>
      <c r="BM2638" s="4">
        <v>43283.263888888891</v>
      </c>
      <c r="BN2638" s="4">
        <v>43283.292627314811</v>
      </c>
      <c r="BO2638" s="4">
        <v>43283.292627314811</v>
      </c>
      <c r="BP2638" t="s">
        <v>92</v>
      </c>
      <c r="BQ2638" t="s">
        <v>93</v>
      </c>
      <c r="BR2638" t="s">
        <v>94</v>
      </c>
    </row>
    <row r="2639" spans="1:70" x14ac:dyDescent="0.3">
      <c r="A2639" t="str">
        <f>"201846B0100"</f>
        <v>201846B0100</v>
      </c>
      <c r="B2639" t="s">
        <v>5478</v>
      </c>
      <c r="C2639">
        <v>20</v>
      </c>
      <c r="D2639" t="s">
        <v>88</v>
      </c>
      <c r="E2639">
        <v>414</v>
      </c>
      <c r="F2639" t="s">
        <v>5430</v>
      </c>
      <c r="G2639">
        <v>1846</v>
      </c>
      <c r="H2639">
        <v>1</v>
      </c>
      <c r="I2639" t="s">
        <v>90</v>
      </c>
      <c r="J2639">
        <v>0</v>
      </c>
      <c r="K2639">
        <v>1</v>
      </c>
      <c r="L2639">
        <v>5</v>
      </c>
      <c r="M2639">
        <v>292</v>
      </c>
      <c r="N2639">
        <v>461</v>
      </c>
      <c r="O2639">
        <v>14</v>
      </c>
      <c r="P2639">
        <v>461</v>
      </c>
      <c r="Q2639">
        <v>7</v>
      </c>
      <c r="R2639">
        <v>40</v>
      </c>
      <c r="S2639">
        <v>5</v>
      </c>
      <c r="T2639">
        <v>11</v>
      </c>
      <c r="U2639">
        <v>7</v>
      </c>
      <c r="V2639">
        <v>140</v>
      </c>
      <c r="W2639">
        <v>7</v>
      </c>
      <c r="X2639">
        <v>105</v>
      </c>
      <c r="Y2639">
        <v>92</v>
      </c>
      <c r="Z2639">
        <v>16</v>
      </c>
      <c r="AA2639">
        <v>17</v>
      </c>
      <c r="AC2639">
        <v>2</v>
      </c>
      <c r="AD2639">
        <v>0</v>
      </c>
      <c r="AE2639">
        <v>0</v>
      </c>
      <c r="AF2639">
        <v>0</v>
      </c>
      <c r="AG2639">
        <v>3</v>
      </c>
      <c r="AH2639">
        <v>1</v>
      </c>
      <c r="AI2639">
        <v>1</v>
      </c>
      <c r="AJ2639">
        <v>0</v>
      </c>
      <c r="AK2639">
        <v>2</v>
      </c>
      <c r="AL2639">
        <v>0</v>
      </c>
      <c r="AM2639">
        <v>0</v>
      </c>
      <c r="AN2639">
        <v>3</v>
      </c>
      <c r="BC2639">
        <v>0</v>
      </c>
      <c r="BD2639">
        <v>6</v>
      </c>
      <c r="BE2639">
        <v>465</v>
      </c>
      <c r="BF2639">
        <v>465</v>
      </c>
      <c r="BG2639">
        <v>735</v>
      </c>
      <c r="BJ2639">
        <v>1</v>
      </c>
      <c r="BL2639" t="s">
        <v>5479</v>
      </c>
      <c r="BM2639" s="4">
        <v>43283.304861111108</v>
      </c>
      <c r="BN2639" s="4">
        <v>43283.33121527778</v>
      </c>
      <c r="BO2639" s="4">
        <v>43283.33121527778</v>
      </c>
      <c r="BP2639" t="s">
        <v>92</v>
      </c>
      <c r="BQ2639" t="s">
        <v>93</v>
      </c>
      <c r="BR2639" t="s">
        <v>94</v>
      </c>
    </row>
    <row r="2640" spans="1:70" x14ac:dyDescent="0.3">
      <c r="A2640" t="str">
        <f>"201846C0100"</f>
        <v>201846C0100</v>
      </c>
      <c r="B2640" t="s">
        <v>5480</v>
      </c>
      <c r="C2640">
        <v>20</v>
      </c>
      <c r="D2640" t="s">
        <v>88</v>
      </c>
      <c r="E2640">
        <v>414</v>
      </c>
      <c r="F2640" t="s">
        <v>5430</v>
      </c>
      <c r="G2640">
        <v>1846</v>
      </c>
      <c r="H2640">
        <v>1</v>
      </c>
      <c r="I2640" t="s">
        <v>98</v>
      </c>
      <c r="J2640">
        <v>0</v>
      </c>
      <c r="K2640">
        <v>2</v>
      </c>
      <c r="L2640">
        <v>5</v>
      </c>
      <c r="M2640">
        <v>327</v>
      </c>
      <c r="N2640">
        <v>431</v>
      </c>
      <c r="O2640">
        <v>7</v>
      </c>
      <c r="P2640">
        <v>433</v>
      </c>
      <c r="Q2640">
        <v>10</v>
      </c>
      <c r="R2640">
        <v>32</v>
      </c>
      <c r="S2640">
        <v>4</v>
      </c>
      <c r="T2640">
        <v>11</v>
      </c>
      <c r="U2640">
        <v>3</v>
      </c>
      <c r="V2640">
        <v>129</v>
      </c>
      <c r="W2640">
        <v>5</v>
      </c>
      <c r="X2640">
        <v>99</v>
      </c>
      <c r="Y2640">
        <v>103</v>
      </c>
      <c r="Z2640">
        <v>6</v>
      </c>
      <c r="AA2640">
        <v>15</v>
      </c>
      <c r="AC2640">
        <v>1</v>
      </c>
      <c r="AD2640" t="s">
        <v>105</v>
      </c>
      <c r="AE2640" t="s">
        <v>105</v>
      </c>
      <c r="AF2640" t="s">
        <v>105</v>
      </c>
      <c r="AG2640">
        <v>2</v>
      </c>
      <c r="AH2640" t="s">
        <v>105</v>
      </c>
      <c r="AI2640">
        <v>2</v>
      </c>
      <c r="AJ2640" t="s">
        <v>105</v>
      </c>
      <c r="AK2640" t="s">
        <v>105</v>
      </c>
      <c r="AL2640" t="s">
        <v>105</v>
      </c>
      <c r="AM2640" t="s">
        <v>105</v>
      </c>
      <c r="AN2640">
        <v>1</v>
      </c>
      <c r="BC2640" t="s">
        <v>105</v>
      </c>
      <c r="BD2640">
        <v>10</v>
      </c>
      <c r="BE2640">
        <v>433</v>
      </c>
      <c r="BF2640">
        <v>433</v>
      </c>
      <c r="BG2640">
        <v>735</v>
      </c>
      <c r="BI2640" t="s">
        <v>106</v>
      </c>
      <c r="BJ2640">
        <v>1</v>
      </c>
      <c r="BL2640" t="s">
        <v>5481</v>
      </c>
      <c r="BM2640" s="4">
        <v>43283.280555555553</v>
      </c>
      <c r="BN2640" s="4">
        <v>43283.307916666665</v>
      </c>
      <c r="BO2640" s="4">
        <v>43283.307916666665</v>
      </c>
      <c r="BP2640" t="s">
        <v>92</v>
      </c>
      <c r="BQ2640" t="s">
        <v>93</v>
      </c>
      <c r="BR2640" t="s">
        <v>94</v>
      </c>
    </row>
    <row r="2641" spans="1:70" x14ac:dyDescent="0.3">
      <c r="A2641" t="str">
        <f>"201846C0200"</f>
        <v>201846C0200</v>
      </c>
      <c r="B2641" t="s">
        <v>5482</v>
      </c>
      <c r="C2641">
        <v>20</v>
      </c>
      <c r="D2641" t="s">
        <v>88</v>
      </c>
      <c r="E2641">
        <v>414</v>
      </c>
      <c r="F2641" t="s">
        <v>5430</v>
      </c>
      <c r="G2641">
        <v>1846</v>
      </c>
      <c r="H2641">
        <v>2</v>
      </c>
      <c r="I2641" t="s">
        <v>98</v>
      </c>
      <c r="J2641">
        <v>0</v>
      </c>
      <c r="K2641">
        <v>2</v>
      </c>
      <c r="L2641">
        <v>5</v>
      </c>
      <c r="M2641">
        <v>316</v>
      </c>
      <c r="N2641">
        <v>443</v>
      </c>
      <c r="O2641">
        <v>0</v>
      </c>
      <c r="P2641">
        <v>443</v>
      </c>
      <c r="Q2641">
        <v>8</v>
      </c>
      <c r="R2641">
        <v>36</v>
      </c>
      <c r="S2641">
        <v>1</v>
      </c>
      <c r="T2641">
        <v>8</v>
      </c>
      <c r="U2641">
        <v>4</v>
      </c>
      <c r="V2641">
        <v>141</v>
      </c>
      <c r="W2641">
        <v>8</v>
      </c>
      <c r="X2641">
        <v>107</v>
      </c>
      <c r="Y2641">
        <v>85</v>
      </c>
      <c r="Z2641">
        <v>14</v>
      </c>
      <c r="AA2641">
        <v>13</v>
      </c>
      <c r="AC2641">
        <v>2</v>
      </c>
      <c r="AD2641">
        <v>0</v>
      </c>
      <c r="AE2641">
        <v>0</v>
      </c>
      <c r="AF2641">
        <v>0</v>
      </c>
      <c r="AG2641">
        <v>3</v>
      </c>
      <c r="AH2641">
        <v>0</v>
      </c>
      <c r="AI2641">
        <v>1</v>
      </c>
      <c r="AJ2641">
        <v>0</v>
      </c>
      <c r="AK2641">
        <v>2</v>
      </c>
      <c r="AL2641">
        <v>0</v>
      </c>
      <c r="AM2641">
        <v>0</v>
      </c>
      <c r="AN2641">
        <v>3</v>
      </c>
      <c r="BC2641">
        <v>0</v>
      </c>
      <c r="BD2641" t="s">
        <v>105</v>
      </c>
      <c r="BE2641">
        <v>443</v>
      </c>
      <c r="BF2641">
        <v>436</v>
      </c>
      <c r="BG2641">
        <v>735</v>
      </c>
      <c r="BI2641" t="s">
        <v>106</v>
      </c>
      <c r="BJ2641">
        <v>1</v>
      </c>
      <c r="BL2641" t="s">
        <v>5483</v>
      </c>
      <c r="BM2641" s="4">
        <v>43283.299305555556</v>
      </c>
      <c r="BN2641" s="4">
        <v>43283.345543981479</v>
      </c>
      <c r="BO2641" s="4">
        <v>43283.345543981479</v>
      </c>
      <c r="BP2641" t="s">
        <v>92</v>
      </c>
      <c r="BQ2641" t="s">
        <v>93</v>
      </c>
      <c r="BR2641" t="s">
        <v>94</v>
      </c>
    </row>
    <row r="2642" spans="1:70" x14ac:dyDescent="0.3">
      <c r="A2642" t="str">
        <f>"201846C0300"</f>
        <v>201846C0300</v>
      </c>
      <c r="B2642" t="s">
        <v>5484</v>
      </c>
      <c r="C2642">
        <v>20</v>
      </c>
      <c r="D2642" t="s">
        <v>88</v>
      </c>
      <c r="E2642">
        <v>414</v>
      </c>
      <c r="F2642" t="s">
        <v>5430</v>
      </c>
      <c r="G2642">
        <v>1846</v>
      </c>
      <c r="H2642">
        <v>3</v>
      </c>
      <c r="I2642" t="s">
        <v>98</v>
      </c>
      <c r="J2642">
        <v>0</v>
      </c>
      <c r="K2642">
        <v>2</v>
      </c>
      <c r="L2642">
        <v>5</v>
      </c>
      <c r="M2642">
        <v>272</v>
      </c>
      <c r="N2642">
        <v>481</v>
      </c>
      <c r="O2642">
        <v>4</v>
      </c>
      <c r="P2642">
        <v>482</v>
      </c>
      <c r="Q2642">
        <v>12</v>
      </c>
      <c r="R2642">
        <v>25</v>
      </c>
      <c r="S2642">
        <v>2</v>
      </c>
      <c r="T2642">
        <v>13</v>
      </c>
      <c r="U2642">
        <v>5</v>
      </c>
      <c r="V2642">
        <v>130</v>
      </c>
      <c r="W2642">
        <v>8</v>
      </c>
      <c r="X2642">
        <v>135</v>
      </c>
      <c r="Y2642">
        <v>98</v>
      </c>
      <c r="Z2642">
        <v>9</v>
      </c>
      <c r="AA2642">
        <v>11</v>
      </c>
      <c r="AC2642">
        <v>5</v>
      </c>
      <c r="AD2642">
        <v>0</v>
      </c>
      <c r="AE2642">
        <v>0</v>
      </c>
      <c r="AF2642">
        <v>5</v>
      </c>
      <c r="AG2642">
        <v>3</v>
      </c>
      <c r="AH2642">
        <v>1</v>
      </c>
      <c r="AI2642">
        <v>3</v>
      </c>
      <c r="AJ2642">
        <v>0</v>
      </c>
      <c r="AK2642">
        <v>2</v>
      </c>
      <c r="AL2642">
        <v>1</v>
      </c>
      <c r="AM2642">
        <v>1</v>
      </c>
      <c r="AN2642">
        <v>2</v>
      </c>
      <c r="BC2642">
        <v>0</v>
      </c>
      <c r="BD2642">
        <v>15</v>
      </c>
      <c r="BE2642">
        <v>485</v>
      </c>
      <c r="BF2642">
        <v>486</v>
      </c>
      <c r="BG2642">
        <v>735</v>
      </c>
      <c r="BJ2642">
        <v>1</v>
      </c>
      <c r="BL2642" t="s">
        <v>5485</v>
      </c>
      <c r="BM2642" s="4">
        <v>43283.311111111114</v>
      </c>
      <c r="BN2642" s="4">
        <v>43283.334849537037</v>
      </c>
      <c r="BO2642" s="4">
        <v>43283.334849537037</v>
      </c>
      <c r="BP2642" t="s">
        <v>92</v>
      </c>
      <c r="BQ2642" t="s">
        <v>93</v>
      </c>
      <c r="BR2642" t="s">
        <v>94</v>
      </c>
    </row>
    <row r="2643" spans="1:70" x14ac:dyDescent="0.3">
      <c r="A2643" t="str">
        <f>"201846C0400"</f>
        <v>201846C0400</v>
      </c>
      <c r="B2643" t="s">
        <v>5486</v>
      </c>
      <c r="C2643">
        <v>20</v>
      </c>
      <c r="D2643" t="s">
        <v>88</v>
      </c>
      <c r="E2643">
        <v>414</v>
      </c>
      <c r="F2643" t="s">
        <v>5430</v>
      </c>
      <c r="G2643">
        <v>1846</v>
      </c>
      <c r="H2643">
        <v>4</v>
      </c>
      <c r="I2643" t="s">
        <v>98</v>
      </c>
      <c r="J2643">
        <v>0</v>
      </c>
      <c r="K2643">
        <v>2</v>
      </c>
      <c r="L2643">
        <v>5</v>
      </c>
      <c r="M2643">
        <v>287</v>
      </c>
      <c r="N2643">
        <v>466</v>
      </c>
      <c r="O2643">
        <v>5</v>
      </c>
      <c r="P2643">
        <v>471</v>
      </c>
      <c r="Q2643">
        <v>9</v>
      </c>
      <c r="R2643">
        <v>18</v>
      </c>
      <c r="S2643">
        <v>1</v>
      </c>
      <c r="T2643">
        <v>9</v>
      </c>
      <c r="U2643">
        <v>4</v>
      </c>
      <c r="V2643">
        <v>158</v>
      </c>
      <c r="W2643">
        <v>1</v>
      </c>
      <c r="X2643">
        <v>107</v>
      </c>
      <c r="Y2643">
        <v>112</v>
      </c>
      <c r="Z2643">
        <v>16</v>
      </c>
      <c r="AA2643">
        <v>17</v>
      </c>
      <c r="AC2643">
        <v>3</v>
      </c>
      <c r="AD2643">
        <v>0</v>
      </c>
      <c r="AE2643">
        <v>0</v>
      </c>
      <c r="AF2643">
        <v>0</v>
      </c>
      <c r="AG2643">
        <v>3</v>
      </c>
      <c r="AH2643">
        <v>1</v>
      </c>
      <c r="AI2643">
        <v>1</v>
      </c>
      <c r="AJ2643">
        <v>0</v>
      </c>
      <c r="AK2643">
        <v>0</v>
      </c>
      <c r="AL2643">
        <v>0</v>
      </c>
      <c r="AM2643">
        <v>0</v>
      </c>
      <c r="AN2643">
        <v>2</v>
      </c>
      <c r="BC2643">
        <v>0</v>
      </c>
      <c r="BD2643">
        <v>9</v>
      </c>
      <c r="BE2643">
        <v>471</v>
      </c>
      <c r="BF2643">
        <v>471</v>
      </c>
      <c r="BG2643">
        <v>734</v>
      </c>
      <c r="BJ2643">
        <v>1</v>
      </c>
      <c r="BL2643" t="s">
        <v>5487</v>
      </c>
      <c r="BM2643" s="4">
        <v>43283.301388888889</v>
      </c>
      <c r="BN2643" s="4">
        <v>43283.326215277775</v>
      </c>
      <c r="BO2643" s="4">
        <v>43283.326215277775</v>
      </c>
      <c r="BP2643" t="s">
        <v>92</v>
      </c>
      <c r="BQ2643" t="s">
        <v>93</v>
      </c>
      <c r="BR2643" t="s">
        <v>94</v>
      </c>
    </row>
    <row r="2644" spans="1:70" x14ac:dyDescent="0.3">
      <c r="A2644" t="str">
        <f>"201846C0500"</f>
        <v>201846C0500</v>
      </c>
      <c r="B2644" t="s">
        <v>5488</v>
      </c>
      <c r="C2644">
        <v>20</v>
      </c>
      <c r="D2644" t="s">
        <v>88</v>
      </c>
      <c r="E2644">
        <v>414</v>
      </c>
      <c r="F2644" t="s">
        <v>5430</v>
      </c>
      <c r="G2644">
        <v>1846</v>
      </c>
      <c r="H2644">
        <v>5</v>
      </c>
      <c r="I2644" t="s">
        <v>98</v>
      </c>
      <c r="J2644">
        <v>0</v>
      </c>
      <c r="K2644">
        <v>2</v>
      </c>
      <c r="L2644">
        <v>5</v>
      </c>
      <c r="M2644">
        <v>305</v>
      </c>
      <c r="N2644">
        <v>450</v>
      </c>
      <c r="O2644">
        <v>17</v>
      </c>
      <c r="P2644">
        <v>447</v>
      </c>
      <c r="Q2644">
        <v>13</v>
      </c>
      <c r="R2644">
        <v>23</v>
      </c>
      <c r="S2644">
        <v>4</v>
      </c>
      <c r="T2644">
        <v>12</v>
      </c>
      <c r="U2644">
        <v>5</v>
      </c>
      <c r="V2644">
        <v>126</v>
      </c>
      <c r="W2644">
        <v>2</v>
      </c>
      <c r="X2644">
        <v>110</v>
      </c>
      <c r="Y2644">
        <v>110</v>
      </c>
      <c r="Z2644">
        <v>7</v>
      </c>
      <c r="AA2644">
        <v>20</v>
      </c>
      <c r="AC2644">
        <v>2</v>
      </c>
      <c r="AD2644">
        <v>0</v>
      </c>
      <c r="AE2644">
        <v>0</v>
      </c>
      <c r="AF2644">
        <v>0</v>
      </c>
      <c r="AG2644">
        <v>0</v>
      </c>
      <c r="AH2644">
        <v>0</v>
      </c>
      <c r="AI2644">
        <v>0</v>
      </c>
      <c r="AJ2644">
        <v>0</v>
      </c>
      <c r="AK2644">
        <v>1</v>
      </c>
      <c r="AL2644">
        <v>0</v>
      </c>
      <c r="AM2644">
        <v>2</v>
      </c>
      <c r="AN2644">
        <v>2</v>
      </c>
      <c r="BC2644">
        <v>0</v>
      </c>
      <c r="BD2644">
        <v>11</v>
      </c>
      <c r="BE2644">
        <v>450</v>
      </c>
      <c r="BF2644">
        <v>450</v>
      </c>
      <c r="BG2644">
        <v>734</v>
      </c>
      <c r="BJ2644">
        <v>1</v>
      </c>
      <c r="BL2644" t="s">
        <v>5489</v>
      </c>
      <c r="BM2644" s="4">
        <v>43283.291666666664</v>
      </c>
      <c r="BN2644" s="4">
        <v>43283.316041666665</v>
      </c>
      <c r="BO2644" s="4">
        <v>43283.316041666665</v>
      </c>
      <c r="BP2644" t="s">
        <v>92</v>
      </c>
      <c r="BQ2644" t="s">
        <v>93</v>
      </c>
      <c r="BR2644" t="s">
        <v>94</v>
      </c>
    </row>
    <row r="2645" spans="1:70" x14ac:dyDescent="0.3">
      <c r="A2645" t="str">
        <f>"201846C0600"</f>
        <v>201846C0600</v>
      </c>
      <c r="B2645" t="s">
        <v>5490</v>
      </c>
      <c r="C2645">
        <v>20</v>
      </c>
      <c r="D2645" t="s">
        <v>88</v>
      </c>
      <c r="E2645">
        <v>414</v>
      </c>
      <c r="F2645" t="s">
        <v>5430</v>
      </c>
      <c r="G2645">
        <v>1846</v>
      </c>
      <c r="H2645">
        <v>6</v>
      </c>
      <c r="I2645" t="s">
        <v>98</v>
      </c>
      <c r="J2645">
        <v>0</v>
      </c>
      <c r="K2645">
        <v>2</v>
      </c>
      <c r="L2645">
        <v>5</v>
      </c>
      <c r="M2645">
        <v>300</v>
      </c>
      <c r="N2645">
        <v>453</v>
      </c>
      <c r="O2645">
        <v>0</v>
      </c>
      <c r="P2645" t="s">
        <v>105</v>
      </c>
      <c r="Q2645">
        <v>8</v>
      </c>
      <c r="R2645">
        <v>22</v>
      </c>
      <c r="S2645">
        <v>8</v>
      </c>
      <c r="T2645">
        <v>8</v>
      </c>
      <c r="U2645">
        <v>6</v>
      </c>
      <c r="V2645">
        <v>123</v>
      </c>
      <c r="W2645">
        <v>4</v>
      </c>
      <c r="X2645">
        <v>123</v>
      </c>
      <c r="Y2645">
        <v>103</v>
      </c>
      <c r="Z2645">
        <v>9</v>
      </c>
      <c r="AA2645">
        <v>18</v>
      </c>
      <c r="AC2645">
        <v>1</v>
      </c>
      <c r="AD2645">
        <v>0</v>
      </c>
      <c r="AE2645">
        <v>0</v>
      </c>
      <c r="AF2645">
        <v>0</v>
      </c>
      <c r="AG2645">
        <v>3</v>
      </c>
      <c r="AH2645">
        <v>0</v>
      </c>
      <c r="AI2645">
        <v>0</v>
      </c>
      <c r="AJ2645">
        <v>0</v>
      </c>
      <c r="AK2645">
        <v>4</v>
      </c>
      <c r="AL2645">
        <v>0</v>
      </c>
      <c r="AM2645">
        <v>1</v>
      </c>
      <c r="AN2645">
        <v>0</v>
      </c>
      <c r="BC2645">
        <v>0</v>
      </c>
      <c r="BD2645">
        <v>13</v>
      </c>
      <c r="BE2645">
        <v>453</v>
      </c>
      <c r="BF2645">
        <v>454</v>
      </c>
      <c r="BG2645">
        <v>734</v>
      </c>
      <c r="BJ2645">
        <v>1</v>
      </c>
      <c r="BL2645" t="s">
        <v>5491</v>
      </c>
      <c r="BM2645" s="4">
        <v>43283.287499999999</v>
      </c>
      <c r="BN2645" s="4">
        <v>43283.329236111109</v>
      </c>
      <c r="BO2645" s="4">
        <v>43283.329236111109</v>
      </c>
      <c r="BP2645" t="s">
        <v>92</v>
      </c>
      <c r="BQ2645" t="s">
        <v>93</v>
      </c>
      <c r="BR2645" t="s">
        <v>94</v>
      </c>
    </row>
    <row r="2646" spans="1:70" x14ac:dyDescent="0.3">
      <c r="A2646" t="str">
        <f>"201846C0700"</f>
        <v>201846C0700</v>
      </c>
      <c r="B2646" t="s">
        <v>5492</v>
      </c>
      <c r="C2646">
        <v>20</v>
      </c>
      <c r="D2646" t="s">
        <v>88</v>
      </c>
      <c r="E2646">
        <v>414</v>
      </c>
      <c r="F2646" t="s">
        <v>5430</v>
      </c>
      <c r="G2646">
        <v>1846</v>
      </c>
      <c r="H2646">
        <v>7</v>
      </c>
      <c r="I2646" t="s">
        <v>98</v>
      </c>
      <c r="J2646">
        <v>0</v>
      </c>
      <c r="K2646">
        <v>2</v>
      </c>
      <c r="L2646">
        <v>5</v>
      </c>
      <c r="M2646">
        <v>308</v>
      </c>
      <c r="N2646">
        <v>448</v>
      </c>
      <c r="O2646">
        <v>2</v>
      </c>
      <c r="P2646">
        <v>448</v>
      </c>
      <c r="Q2646">
        <v>12</v>
      </c>
      <c r="R2646">
        <v>28</v>
      </c>
      <c r="S2646">
        <v>4</v>
      </c>
      <c r="T2646">
        <v>7</v>
      </c>
      <c r="U2646">
        <v>1</v>
      </c>
      <c r="V2646">
        <v>123</v>
      </c>
      <c r="W2646">
        <v>4</v>
      </c>
      <c r="X2646">
        <v>98</v>
      </c>
      <c r="Y2646">
        <v>108</v>
      </c>
      <c r="Z2646">
        <v>16</v>
      </c>
      <c r="AA2646">
        <v>27</v>
      </c>
      <c r="AC2646">
        <v>2</v>
      </c>
      <c r="AD2646">
        <v>0</v>
      </c>
      <c r="AE2646">
        <v>0</v>
      </c>
      <c r="AF2646">
        <v>1</v>
      </c>
      <c r="AG2646">
        <v>1</v>
      </c>
      <c r="AH2646">
        <v>0</v>
      </c>
      <c r="AI2646">
        <v>2</v>
      </c>
      <c r="AJ2646">
        <v>0</v>
      </c>
      <c r="AK2646">
        <v>2</v>
      </c>
      <c r="AL2646">
        <v>0</v>
      </c>
      <c r="AM2646">
        <v>0</v>
      </c>
      <c r="AN2646">
        <v>1</v>
      </c>
      <c r="BC2646">
        <v>0</v>
      </c>
      <c r="BD2646">
        <v>11</v>
      </c>
      <c r="BE2646">
        <v>448</v>
      </c>
      <c r="BF2646">
        <v>448</v>
      </c>
      <c r="BG2646">
        <v>734</v>
      </c>
      <c r="BJ2646">
        <v>1</v>
      </c>
      <c r="BL2646" t="s">
        <v>5493</v>
      </c>
      <c r="BM2646" s="4">
        <v>43283.274305555555</v>
      </c>
      <c r="BN2646" s="4">
        <v>43283.302025462966</v>
      </c>
      <c r="BO2646" s="4">
        <v>43283.302025462966</v>
      </c>
      <c r="BP2646" t="s">
        <v>92</v>
      </c>
      <c r="BQ2646" t="s">
        <v>93</v>
      </c>
      <c r="BR2646" t="s">
        <v>94</v>
      </c>
    </row>
    <row r="2647" spans="1:70" x14ac:dyDescent="0.3">
      <c r="A2647" t="str">
        <f>"201846C0800"</f>
        <v>201846C0800</v>
      </c>
      <c r="B2647" t="s">
        <v>5494</v>
      </c>
      <c r="C2647">
        <v>20</v>
      </c>
      <c r="D2647" t="s">
        <v>88</v>
      </c>
      <c r="E2647">
        <v>414</v>
      </c>
      <c r="F2647" t="s">
        <v>5430</v>
      </c>
      <c r="G2647">
        <v>1846</v>
      </c>
      <c r="H2647">
        <v>8</v>
      </c>
      <c r="I2647" t="s">
        <v>98</v>
      </c>
      <c r="J2647">
        <v>0</v>
      </c>
      <c r="K2647">
        <v>2</v>
      </c>
      <c r="L2647">
        <v>5</v>
      </c>
      <c r="M2647">
        <v>306</v>
      </c>
      <c r="N2647">
        <v>449</v>
      </c>
      <c r="O2647">
        <v>1</v>
      </c>
      <c r="P2647">
        <v>449</v>
      </c>
      <c r="Q2647">
        <v>8</v>
      </c>
      <c r="R2647">
        <v>26</v>
      </c>
      <c r="S2647">
        <v>5</v>
      </c>
      <c r="T2647">
        <v>9</v>
      </c>
      <c r="U2647">
        <v>10</v>
      </c>
      <c r="V2647">
        <v>146</v>
      </c>
      <c r="W2647">
        <v>5</v>
      </c>
      <c r="X2647">
        <v>104</v>
      </c>
      <c r="Y2647">
        <v>84</v>
      </c>
      <c r="Z2647">
        <v>18</v>
      </c>
      <c r="AA2647">
        <v>14</v>
      </c>
      <c r="AC2647">
        <v>0</v>
      </c>
      <c r="AD2647">
        <v>0</v>
      </c>
      <c r="AE2647">
        <v>1</v>
      </c>
      <c r="AF2647">
        <v>0</v>
      </c>
      <c r="AG2647">
        <v>4</v>
      </c>
      <c r="AH2647">
        <v>1</v>
      </c>
      <c r="AI2647">
        <v>1</v>
      </c>
      <c r="AJ2647">
        <v>1</v>
      </c>
      <c r="AK2647">
        <v>3</v>
      </c>
      <c r="AL2647">
        <v>0</v>
      </c>
      <c r="AM2647">
        <v>0</v>
      </c>
      <c r="AN2647">
        <v>0</v>
      </c>
      <c r="BC2647">
        <v>0</v>
      </c>
      <c r="BD2647">
        <v>10</v>
      </c>
      <c r="BE2647">
        <v>450</v>
      </c>
      <c r="BF2647">
        <v>450</v>
      </c>
      <c r="BG2647">
        <v>734</v>
      </c>
      <c r="BJ2647">
        <v>1</v>
      </c>
      <c r="BL2647" s="2" t="s">
        <v>5495</v>
      </c>
      <c r="BM2647" s="4">
        <v>43283.292361111111</v>
      </c>
      <c r="BN2647" s="4">
        <v>43283.317789351851</v>
      </c>
      <c r="BO2647" s="4">
        <v>43283.317789351851</v>
      </c>
      <c r="BP2647" t="s">
        <v>92</v>
      </c>
      <c r="BQ2647" t="s">
        <v>93</v>
      </c>
      <c r="BR2647" t="s">
        <v>94</v>
      </c>
    </row>
    <row r="2648" spans="1:70" x14ac:dyDescent="0.3">
      <c r="A2648" t="str">
        <f>"201846C0900"</f>
        <v>201846C0900</v>
      </c>
      <c r="B2648" t="s">
        <v>5496</v>
      </c>
      <c r="C2648">
        <v>20</v>
      </c>
      <c r="D2648" t="s">
        <v>88</v>
      </c>
      <c r="E2648">
        <v>414</v>
      </c>
      <c r="F2648" t="s">
        <v>5430</v>
      </c>
      <c r="G2648">
        <v>1846</v>
      </c>
      <c r="H2648">
        <v>9</v>
      </c>
      <c r="I2648" t="s">
        <v>98</v>
      </c>
      <c r="J2648">
        <v>0</v>
      </c>
      <c r="K2648">
        <v>2</v>
      </c>
      <c r="L2648">
        <v>5</v>
      </c>
      <c r="M2648">
        <v>305</v>
      </c>
      <c r="N2648">
        <v>453</v>
      </c>
      <c r="O2648">
        <v>9</v>
      </c>
      <c r="P2648">
        <v>444</v>
      </c>
      <c r="Q2648">
        <v>11</v>
      </c>
      <c r="R2648">
        <v>20</v>
      </c>
      <c r="S2648">
        <v>1</v>
      </c>
      <c r="T2648">
        <v>8</v>
      </c>
      <c r="U2648">
        <v>5</v>
      </c>
      <c r="V2648">
        <v>172</v>
      </c>
      <c r="W2648">
        <v>2</v>
      </c>
      <c r="X2648">
        <v>102</v>
      </c>
      <c r="Y2648">
        <v>91</v>
      </c>
      <c r="Z2648">
        <v>6</v>
      </c>
      <c r="AA2648">
        <v>18</v>
      </c>
      <c r="AC2648">
        <v>0</v>
      </c>
      <c r="AD2648">
        <v>1</v>
      </c>
      <c r="AE2648">
        <v>2</v>
      </c>
      <c r="AF2648">
        <v>0</v>
      </c>
      <c r="AG2648">
        <v>2</v>
      </c>
      <c r="AH2648">
        <v>1</v>
      </c>
      <c r="AI2648">
        <v>1</v>
      </c>
      <c r="AJ2648">
        <v>0</v>
      </c>
      <c r="AK2648">
        <v>1</v>
      </c>
      <c r="AL2648">
        <v>0</v>
      </c>
      <c r="AM2648">
        <v>0</v>
      </c>
      <c r="AN2648">
        <v>1</v>
      </c>
      <c r="BC2648">
        <v>0</v>
      </c>
      <c r="BD2648">
        <v>8</v>
      </c>
      <c r="BE2648">
        <v>452</v>
      </c>
      <c r="BF2648">
        <v>453</v>
      </c>
      <c r="BG2648">
        <v>734</v>
      </c>
      <c r="BJ2648">
        <v>1</v>
      </c>
      <c r="BL2648" t="s">
        <v>5497</v>
      </c>
      <c r="BM2648" s="4">
        <v>43283.308333333334</v>
      </c>
      <c r="BN2648" s="4">
        <v>43283.333796296298</v>
      </c>
      <c r="BO2648" s="4">
        <v>43283.333796296298</v>
      </c>
      <c r="BP2648" t="s">
        <v>92</v>
      </c>
      <c r="BQ2648" t="s">
        <v>93</v>
      </c>
      <c r="BR2648" t="s">
        <v>94</v>
      </c>
    </row>
    <row r="2649" spans="1:70" x14ac:dyDescent="0.3">
      <c r="A2649" t="str">
        <f>"201846C1000"</f>
        <v>201846C1000</v>
      </c>
      <c r="B2649" t="s">
        <v>5498</v>
      </c>
      <c r="C2649">
        <v>20</v>
      </c>
      <c r="D2649" t="s">
        <v>88</v>
      </c>
      <c r="E2649">
        <v>414</v>
      </c>
      <c r="F2649" t="s">
        <v>5430</v>
      </c>
      <c r="G2649">
        <v>1846</v>
      </c>
      <c r="H2649">
        <v>10</v>
      </c>
      <c r="I2649" t="s">
        <v>98</v>
      </c>
      <c r="J2649">
        <v>0</v>
      </c>
      <c r="K2649">
        <v>2</v>
      </c>
      <c r="L2649">
        <v>5</v>
      </c>
      <c r="M2649">
        <v>301</v>
      </c>
      <c r="N2649">
        <v>455</v>
      </c>
      <c r="O2649">
        <v>12</v>
      </c>
      <c r="P2649">
        <v>455</v>
      </c>
      <c r="Q2649">
        <v>11</v>
      </c>
      <c r="R2649">
        <v>23</v>
      </c>
      <c r="S2649">
        <v>1</v>
      </c>
      <c r="T2649">
        <v>6</v>
      </c>
      <c r="U2649">
        <v>6</v>
      </c>
      <c r="V2649">
        <v>133</v>
      </c>
      <c r="W2649">
        <v>6</v>
      </c>
      <c r="X2649">
        <v>101</v>
      </c>
      <c r="Y2649">
        <v>115</v>
      </c>
      <c r="Z2649">
        <v>9</v>
      </c>
      <c r="AA2649">
        <v>16</v>
      </c>
      <c r="AC2649">
        <v>3</v>
      </c>
      <c r="AD2649">
        <v>1</v>
      </c>
      <c r="AE2649">
        <v>0</v>
      </c>
      <c r="AF2649">
        <v>1</v>
      </c>
      <c r="AG2649">
        <v>4</v>
      </c>
      <c r="AH2649">
        <v>0</v>
      </c>
      <c r="AI2649">
        <v>2</v>
      </c>
      <c r="AJ2649">
        <v>0</v>
      </c>
      <c r="AK2649">
        <v>2</v>
      </c>
      <c r="AL2649">
        <v>0</v>
      </c>
      <c r="AM2649">
        <v>0</v>
      </c>
      <c r="AN2649">
        <v>6</v>
      </c>
      <c r="BC2649">
        <v>0</v>
      </c>
      <c r="BD2649">
        <v>7</v>
      </c>
      <c r="BE2649">
        <v>455</v>
      </c>
      <c r="BF2649">
        <v>453</v>
      </c>
      <c r="BG2649">
        <v>734</v>
      </c>
      <c r="BJ2649">
        <v>1</v>
      </c>
      <c r="BL2649" t="s">
        <v>5499</v>
      </c>
      <c r="BM2649" s="4">
        <v>43283.320833333331</v>
      </c>
      <c r="BN2649" s="4">
        <v>43283.340578703705</v>
      </c>
      <c r="BO2649" s="4">
        <v>43283.340578703705</v>
      </c>
      <c r="BP2649" t="s">
        <v>92</v>
      </c>
      <c r="BQ2649" t="s">
        <v>93</v>
      </c>
      <c r="BR2649" t="s">
        <v>94</v>
      </c>
    </row>
    <row r="2650" spans="1:70" x14ac:dyDescent="0.3">
      <c r="A2650" t="str">
        <f>"201846C1100"</f>
        <v>201846C1100</v>
      </c>
      <c r="B2650" t="s">
        <v>5500</v>
      </c>
      <c r="C2650">
        <v>20</v>
      </c>
      <c r="D2650" t="s">
        <v>88</v>
      </c>
      <c r="E2650">
        <v>414</v>
      </c>
      <c r="F2650" t="s">
        <v>5430</v>
      </c>
      <c r="G2650">
        <v>1846</v>
      </c>
      <c r="H2650">
        <v>11</v>
      </c>
      <c r="I2650" t="s">
        <v>98</v>
      </c>
      <c r="J2650">
        <v>0</v>
      </c>
      <c r="K2650">
        <v>2</v>
      </c>
      <c r="L2650">
        <v>5</v>
      </c>
      <c r="M2650">
        <v>317</v>
      </c>
      <c r="N2650">
        <v>439</v>
      </c>
      <c r="O2650">
        <v>1</v>
      </c>
      <c r="P2650">
        <v>427</v>
      </c>
      <c r="Q2650">
        <v>8</v>
      </c>
      <c r="R2650">
        <v>29</v>
      </c>
      <c r="S2650">
        <v>3</v>
      </c>
      <c r="T2650">
        <v>15</v>
      </c>
      <c r="U2650">
        <v>2</v>
      </c>
      <c r="V2650">
        <v>117</v>
      </c>
      <c r="W2650">
        <v>1</v>
      </c>
      <c r="X2650">
        <v>120</v>
      </c>
      <c r="Y2650">
        <v>95</v>
      </c>
      <c r="Z2650">
        <v>11</v>
      </c>
      <c r="AA2650">
        <v>6</v>
      </c>
      <c r="AC2650">
        <v>2</v>
      </c>
      <c r="AD2650">
        <v>0</v>
      </c>
      <c r="AE2650">
        <v>1</v>
      </c>
      <c r="AF2650">
        <v>0</v>
      </c>
      <c r="AG2650">
        <v>1</v>
      </c>
      <c r="AH2650">
        <v>1</v>
      </c>
      <c r="AI2650">
        <v>1</v>
      </c>
      <c r="AJ2650">
        <v>0</v>
      </c>
      <c r="AK2650">
        <v>1</v>
      </c>
      <c r="AL2650">
        <v>0</v>
      </c>
      <c r="AM2650">
        <v>1</v>
      </c>
      <c r="AN2650">
        <v>0</v>
      </c>
      <c r="BC2650">
        <v>0</v>
      </c>
      <c r="BD2650">
        <v>14</v>
      </c>
      <c r="BE2650">
        <v>428</v>
      </c>
      <c r="BF2650">
        <v>429</v>
      </c>
      <c r="BG2650">
        <v>734</v>
      </c>
      <c r="BJ2650">
        <v>1</v>
      </c>
      <c r="BL2650" t="s">
        <v>5501</v>
      </c>
      <c r="BM2650" s="4">
        <v>43283.293055555558</v>
      </c>
      <c r="BN2650" s="4">
        <v>43283.31927083333</v>
      </c>
      <c r="BO2650" s="4">
        <v>43283.31927083333</v>
      </c>
      <c r="BP2650" t="s">
        <v>92</v>
      </c>
      <c r="BQ2650" t="s">
        <v>93</v>
      </c>
      <c r="BR2650" t="s">
        <v>94</v>
      </c>
    </row>
    <row r="2651" spans="1:70" x14ac:dyDescent="0.3">
      <c r="A2651" t="str">
        <f>"201846C1200"</f>
        <v>201846C1200</v>
      </c>
      <c r="B2651" t="s">
        <v>5502</v>
      </c>
      <c r="C2651">
        <v>20</v>
      </c>
      <c r="D2651" t="s">
        <v>88</v>
      </c>
      <c r="E2651">
        <v>414</v>
      </c>
      <c r="F2651" t="s">
        <v>5430</v>
      </c>
      <c r="G2651">
        <v>1846</v>
      </c>
      <c r="H2651">
        <v>12</v>
      </c>
      <c r="I2651" t="s">
        <v>98</v>
      </c>
      <c r="J2651">
        <v>0</v>
      </c>
      <c r="K2651">
        <v>2</v>
      </c>
      <c r="L2651">
        <v>5</v>
      </c>
      <c r="BG2651">
        <v>734</v>
      </c>
      <c r="BI2651" t="s">
        <v>122</v>
      </c>
      <c r="BJ2651">
        <v>0</v>
      </c>
      <c r="BL2651" t="s">
        <v>5503</v>
      </c>
      <c r="BM2651" s="4">
        <v>43283.429166666669</v>
      </c>
      <c r="BN2651" s="4">
        <v>43283.430995370371</v>
      </c>
      <c r="BO2651" s="4">
        <v>43283.430995370371</v>
      </c>
      <c r="BP2651" t="s">
        <v>92</v>
      </c>
      <c r="BQ2651" t="s">
        <v>93</v>
      </c>
      <c r="BR2651" t="s">
        <v>94</v>
      </c>
    </row>
    <row r="2652" spans="1:70" x14ac:dyDescent="0.3">
      <c r="A2652" t="str">
        <f>"201846C1300"</f>
        <v>201846C1300</v>
      </c>
      <c r="B2652" t="s">
        <v>5504</v>
      </c>
      <c r="C2652">
        <v>20</v>
      </c>
      <c r="D2652" t="s">
        <v>88</v>
      </c>
      <c r="E2652">
        <v>414</v>
      </c>
      <c r="F2652" t="s">
        <v>5430</v>
      </c>
      <c r="G2652">
        <v>1846</v>
      </c>
      <c r="H2652">
        <v>13</v>
      </c>
      <c r="I2652" t="s">
        <v>98</v>
      </c>
      <c r="J2652">
        <v>0</v>
      </c>
      <c r="K2652">
        <v>2</v>
      </c>
      <c r="L2652">
        <v>5</v>
      </c>
      <c r="BG2652">
        <v>734</v>
      </c>
      <c r="BI2652" t="s">
        <v>122</v>
      </c>
      <c r="BJ2652">
        <v>0</v>
      </c>
      <c r="BL2652" t="s">
        <v>5505</v>
      </c>
      <c r="BM2652" s="4">
        <v>43283.427777777775</v>
      </c>
      <c r="BN2652" s="4">
        <v>43283.430115740739</v>
      </c>
      <c r="BO2652" s="4">
        <v>43283.430115740739</v>
      </c>
      <c r="BP2652" t="s">
        <v>92</v>
      </c>
      <c r="BQ2652" t="s">
        <v>93</v>
      </c>
      <c r="BR2652" t="s">
        <v>94</v>
      </c>
    </row>
    <row r="2653" spans="1:70" x14ac:dyDescent="0.3">
      <c r="A2653" t="str">
        <f>"201847B0100"</f>
        <v>201847B0100</v>
      </c>
      <c r="B2653" t="s">
        <v>5506</v>
      </c>
      <c r="C2653">
        <v>20</v>
      </c>
      <c r="D2653" t="s">
        <v>88</v>
      </c>
      <c r="E2653">
        <v>414</v>
      </c>
      <c r="F2653" t="s">
        <v>5430</v>
      </c>
      <c r="G2653">
        <v>1847</v>
      </c>
      <c r="H2653">
        <v>1</v>
      </c>
      <c r="I2653" t="s">
        <v>90</v>
      </c>
      <c r="J2653">
        <v>0</v>
      </c>
      <c r="K2653">
        <v>2</v>
      </c>
      <c r="L2653">
        <v>5</v>
      </c>
      <c r="M2653">
        <v>175</v>
      </c>
      <c r="N2653">
        <v>293</v>
      </c>
      <c r="O2653">
        <v>13</v>
      </c>
      <c r="P2653">
        <v>293</v>
      </c>
      <c r="Q2653">
        <v>14</v>
      </c>
      <c r="R2653">
        <v>26</v>
      </c>
      <c r="S2653">
        <v>1</v>
      </c>
      <c r="T2653">
        <v>7</v>
      </c>
      <c r="U2653">
        <v>5</v>
      </c>
      <c r="V2653">
        <v>71</v>
      </c>
      <c r="W2653">
        <v>4</v>
      </c>
      <c r="X2653">
        <v>70</v>
      </c>
      <c r="Y2653">
        <v>55</v>
      </c>
      <c r="Z2653">
        <v>3</v>
      </c>
      <c r="AA2653">
        <v>16</v>
      </c>
      <c r="AC2653">
        <v>2</v>
      </c>
      <c r="AD2653">
        <v>0</v>
      </c>
      <c r="AE2653">
        <v>0</v>
      </c>
      <c r="AF2653">
        <v>0</v>
      </c>
      <c r="AG2653">
        <v>2</v>
      </c>
      <c r="AH2653">
        <v>1</v>
      </c>
      <c r="AI2653">
        <v>3</v>
      </c>
      <c r="AJ2653">
        <v>0</v>
      </c>
      <c r="AK2653">
        <v>2</v>
      </c>
      <c r="AL2653">
        <v>1</v>
      </c>
      <c r="AM2653">
        <v>1</v>
      </c>
      <c r="AN2653">
        <v>0</v>
      </c>
      <c r="BC2653">
        <v>1</v>
      </c>
      <c r="BD2653">
        <v>9</v>
      </c>
      <c r="BE2653">
        <v>293</v>
      </c>
      <c r="BF2653">
        <v>294</v>
      </c>
      <c r="BG2653">
        <v>447</v>
      </c>
      <c r="BJ2653">
        <v>1</v>
      </c>
      <c r="BL2653" t="s">
        <v>5507</v>
      </c>
      <c r="BM2653" s="4">
        <v>43283.276388888888</v>
      </c>
      <c r="BN2653" s="4">
        <v>43283.308113425926</v>
      </c>
      <c r="BO2653" s="4">
        <v>43283.308113425926</v>
      </c>
      <c r="BP2653" t="s">
        <v>92</v>
      </c>
      <c r="BQ2653" t="s">
        <v>93</v>
      </c>
      <c r="BR2653" t="s">
        <v>94</v>
      </c>
    </row>
    <row r="2654" spans="1:70" x14ac:dyDescent="0.3">
      <c r="A2654" t="str">
        <f>"201847C0100"</f>
        <v>201847C0100</v>
      </c>
      <c r="B2654" t="s">
        <v>5508</v>
      </c>
      <c r="C2654">
        <v>20</v>
      </c>
      <c r="D2654" t="s">
        <v>88</v>
      </c>
      <c r="E2654">
        <v>414</v>
      </c>
      <c r="F2654" t="s">
        <v>5430</v>
      </c>
      <c r="G2654">
        <v>1847</v>
      </c>
      <c r="H2654">
        <v>1</v>
      </c>
      <c r="I2654" t="s">
        <v>98</v>
      </c>
      <c r="J2654">
        <v>0</v>
      </c>
      <c r="K2654">
        <v>2</v>
      </c>
      <c r="L2654">
        <v>5</v>
      </c>
      <c r="BG2654">
        <v>446</v>
      </c>
      <c r="BI2654" t="s">
        <v>122</v>
      </c>
      <c r="BJ2654">
        <v>0</v>
      </c>
      <c r="BL2654" t="s">
        <v>5509</v>
      </c>
      <c r="BM2654" s="4">
        <v>43283.427083333336</v>
      </c>
      <c r="BN2654" s="4">
        <v>43283.428483796299</v>
      </c>
      <c r="BO2654" s="4">
        <v>43283.428483796299</v>
      </c>
      <c r="BP2654" t="s">
        <v>92</v>
      </c>
      <c r="BQ2654" t="s">
        <v>93</v>
      </c>
      <c r="BR2654" t="s">
        <v>94</v>
      </c>
    </row>
    <row r="2655" spans="1:70" x14ac:dyDescent="0.3">
      <c r="A2655" t="str">
        <f>"201847S0100"</f>
        <v>201847S0100</v>
      </c>
      <c r="B2655" t="s">
        <v>5510</v>
      </c>
      <c r="C2655">
        <v>20</v>
      </c>
      <c r="D2655" t="s">
        <v>88</v>
      </c>
      <c r="E2655">
        <v>414</v>
      </c>
      <c r="F2655" t="s">
        <v>5430</v>
      </c>
      <c r="G2655">
        <v>1847</v>
      </c>
      <c r="H2655">
        <v>1</v>
      </c>
      <c r="I2655" t="s">
        <v>113</v>
      </c>
      <c r="J2655">
        <v>0</v>
      </c>
      <c r="K2655">
        <v>2</v>
      </c>
      <c r="L2655">
        <v>6</v>
      </c>
      <c r="BG2655">
        <v>0</v>
      </c>
      <c r="BI2655" t="s">
        <v>122</v>
      </c>
      <c r="BJ2655">
        <v>0</v>
      </c>
      <c r="BL2655" t="s">
        <v>5511</v>
      </c>
      <c r="BM2655" s="4">
        <v>43283.427777777775</v>
      </c>
      <c r="BN2655" s="4">
        <v>43283.429895833331</v>
      </c>
      <c r="BO2655" s="4">
        <v>43283.429895833331</v>
      </c>
      <c r="BP2655" t="s">
        <v>92</v>
      </c>
      <c r="BQ2655" t="s">
        <v>93</v>
      </c>
      <c r="BR2655" t="s">
        <v>94</v>
      </c>
    </row>
    <row r="2656" spans="1:70" x14ac:dyDescent="0.3">
      <c r="A2656" t="str">
        <f>"201848B0100"</f>
        <v>201848B0100</v>
      </c>
      <c r="B2656" t="s">
        <v>5512</v>
      </c>
      <c r="C2656">
        <v>20</v>
      </c>
      <c r="D2656" t="s">
        <v>88</v>
      </c>
      <c r="E2656">
        <v>414</v>
      </c>
      <c r="F2656" t="s">
        <v>5430</v>
      </c>
      <c r="G2656">
        <v>1848</v>
      </c>
      <c r="H2656">
        <v>1</v>
      </c>
      <c r="I2656" t="s">
        <v>90</v>
      </c>
      <c r="J2656">
        <v>0</v>
      </c>
      <c r="K2656">
        <v>2</v>
      </c>
      <c r="L2656">
        <v>5</v>
      </c>
      <c r="M2656">
        <v>111</v>
      </c>
      <c r="N2656">
        <v>410</v>
      </c>
      <c r="O2656">
        <v>7</v>
      </c>
      <c r="P2656">
        <v>410</v>
      </c>
      <c r="Q2656">
        <v>1</v>
      </c>
      <c r="R2656">
        <v>36</v>
      </c>
      <c r="S2656">
        <v>4</v>
      </c>
      <c r="T2656">
        <v>34</v>
      </c>
      <c r="U2656">
        <v>4</v>
      </c>
      <c r="V2656">
        <v>76</v>
      </c>
      <c r="W2656">
        <v>3</v>
      </c>
      <c r="X2656">
        <v>158</v>
      </c>
      <c r="Y2656">
        <v>15</v>
      </c>
      <c r="Z2656">
        <v>3</v>
      </c>
      <c r="AA2656">
        <v>26</v>
      </c>
      <c r="AC2656">
        <v>4</v>
      </c>
      <c r="AD2656">
        <v>0</v>
      </c>
      <c r="AE2656">
        <v>0</v>
      </c>
      <c r="AF2656">
        <v>1</v>
      </c>
      <c r="AG2656">
        <v>14</v>
      </c>
      <c r="AH2656">
        <v>4</v>
      </c>
      <c r="AI2656">
        <v>5</v>
      </c>
      <c r="AJ2656">
        <v>2</v>
      </c>
      <c r="AK2656">
        <v>0</v>
      </c>
      <c r="AL2656">
        <v>0</v>
      </c>
      <c r="AM2656">
        <v>0</v>
      </c>
      <c r="AN2656">
        <v>0</v>
      </c>
      <c r="BC2656">
        <v>0</v>
      </c>
      <c r="BD2656">
        <v>20</v>
      </c>
      <c r="BE2656">
        <v>410</v>
      </c>
      <c r="BF2656">
        <v>410</v>
      </c>
      <c r="BG2656">
        <v>499</v>
      </c>
      <c r="BJ2656">
        <v>1</v>
      </c>
      <c r="BL2656" t="s">
        <v>5513</v>
      </c>
      <c r="BM2656" s="4">
        <v>43283.009722222225</v>
      </c>
      <c r="BN2656" s="4">
        <v>43283.019502314812</v>
      </c>
      <c r="BO2656" s="4">
        <v>43283.019502314812</v>
      </c>
      <c r="BP2656" t="s">
        <v>92</v>
      </c>
      <c r="BQ2656" t="s">
        <v>93</v>
      </c>
      <c r="BR2656" t="s">
        <v>94</v>
      </c>
    </row>
    <row r="2657" spans="1:70" x14ac:dyDescent="0.3">
      <c r="A2657" t="str">
        <f>"201848E0100"</f>
        <v>201848E0100</v>
      </c>
      <c r="B2657" s="2" t="s">
        <v>5514</v>
      </c>
      <c r="C2657">
        <v>20</v>
      </c>
      <c r="D2657" t="s">
        <v>88</v>
      </c>
      <c r="E2657">
        <v>414</v>
      </c>
      <c r="F2657" t="s">
        <v>5430</v>
      </c>
      <c r="G2657">
        <v>1848</v>
      </c>
      <c r="H2657">
        <v>1</v>
      </c>
      <c r="I2657" t="s">
        <v>156</v>
      </c>
      <c r="J2657">
        <v>0</v>
      </c>
      <c r="K2657">
        <v>2</v>
      </c>
      <c r="L2657">
        <v>5</v>
      </c>
      <c r="BG2657">
        <v>508</v>
      </c>
      <c r="BI2657" t="s">
        <v>122</v>
      </c>
      <c r="BJ2657">
        <v>0</v>
      </c>
      <c r="BL2657" t="s">
        <v>5515</v>
      </c>
      <c r="BM2657" s="4">
        <v>43283.428472222222</v>
      </c>
      <c r="BN2657" s="4">
        <v>43283.430266203701</v>
      </c>
      <c r="BO2657" s="4">
        <v>43283.430266203701</v>
      </c>
      <c r="BP2657" t="s">
        <v>92</v>
      </c>
      <c r="BQ2657" t="s">
        <v>93</v>
      </c>
      <c r="BR2657" t="s">
        <v>94</v>
      </c>
    </row>
    <row r="2658" spans="1:70" x14ac:dyDescent="0.3">
      <c r="A2658" t="str">
        <f>"201848E0101"</f>
        <v>201848E0101</v>
      </c>
      <c r="B2658" s="2" t="s">
        <v>5516</v>
      </c>
      <c r="C2658">
        <v>20</v>
      </c>
      <c r="D2658" t="s">
        <v>88</v>
      </c>
      <c r="E2658">
        <v>414</v>
      </c>
      <c r="F2658" t="s">
        <v>5430</v>
      </c>
      <c r="G2658">
        <v>1848</v>
      </c>
      <c r="H2658">
        <v>1</v>
      </c>
      <c r="I2658" t="s">
        <v>156</v>
      </c>
      <c r="J2658">
        <v>1</v>
      </c>
      <c r="K2658">
        <v>2</v>
      </c>
      <c r="L2658">
        <v>5</v>
      </c>
      <c r="BG2658">
        <v>508</v>
      </c>
      <c r="BI2658" t="s">
        <v>122</v>
      </c>
      <c r="BJ2658">
        <v>0</v>
      </c>
      <c r="BL2658" t="s">
        <v>5517</v>
      </c>
      <c r="BM2658" s="4">
        <v>43283.428472222222</v>
      </c>
      <c r="BN2658" s="4">
        <v>43283.430763888886</v>
      </c>
      <c r="BO2658" s="4">
        <v>43283.430763888886</v>
      </c>
      <c r="BP2658" t="s">
        <v>92</v>
      </c>
      <c r="BQ2658" t="s">
        <v>93</v>
      </c>
      <c r="BR2658" t="s">
        <v>94</v>
      </c>
    </row>
    <row r="2659" spans="1:70" x14ac:dyDescent="0.3">
      <c r="A2659" t="str">
        <f>"201848E0200"</f>
        <v>201848E0200</v>
      </c>
      <c r="B2659" s="2" t="s">
        <v>5518</v>
      </c>
      <c r="C2659">
        <v>20</v>
      </c>
      <c r="D2659" t="s">
        <v>88</v>
      </c>
      <c r="E2659">
        <v>414</v>
      </c>
      <c r="F2659" t="s">
        <v>5430</v>
      </c>
      <c r="G2659">
        <v>1848</v>
      </c>
      <c r="H2659">
        <v>2</v>
      </c>
      <c r="I2659" t="s">
        <v>156</v>
      </c>
      <c r="J2659">
        <v>0</v>
      </c>
      <c r="K2659">
        <v>2</v>
      </c>
      <c r="L2659">
        <v>5</v>
      </c>
      <c r="M2659">
        <v>119</v>
      </c>
      <c r="N2659">
        <v>319</v>
      </c>
      <c r="O2659">
        <v>5</v>
      </c>
      <c r="P2659">
        <v>319</v>
      </c>
      <c r="Q2659">
        <v>3</v>
      </c>
      <c r="R2659">
        <v>22</v>
      </c>
      <c r="S2659">
        <v>3</v>
      </c>
      <c r="T2659">
        <v>4</v>
      </c>
      <c r="U2659">
        <v>3</v>
      </c>
      <c r="V2659">
        <v>104</v>
      </c>
      <c r="W2659">
        <v>5</v>
      </c>
      <c r="X2659">
        <v>70</v>
      </c>
      <c r="Y2659">
        <v>33</v>
      </c>
      <c r="Z2659">
        <v>1</v>
      </c>
      <c r="AA2659">
        <v>42</v>
      </c>
      <c r="AC2659">
        <v>1</v>
      </c>
      <c r="AD2659">
        <v>0</v>
      </c>
      <c r="AE2659">
        <v>0</v>
      </c>
      <c r="AF2659">
        <v>0</v>
      </c>
      <c r="AG2659">
        <v>3</v>
      </c>
      <c r="AH2659">
        <v>0</v>
      </c>
      <c r="AI2659">
        <v>1</v>
      </c>
      <c r="AJ2659">
        <v>2</v>
      </c>
      <c r="AK2659">
        <v>0</v>
      </c>
      <c r="AL2659">
        <v>0</v>
      </c>
      <c r="AM2659">
        <v>0</v>
      </c>
      <c r="AN2659">
        <v>0</v>
      </c>
      <c r="BC2659">
        <v>0</v>
      </c>
      <c r="BD2659">
        <v>22</v>
      </c>
      <c r="BE2659">
        <v>319</v>
      </c>
      <c r="BF2659">
        <v>319</v>
      </c>
      <c r="BG2659">
        <v>416</v>
      </c>
      <c r="BJ2659">
        <v>1</v>
      </c>
      <c r="BL2659" t="s">
        <v>5519</v>
      </c>
      <c r="BM2659" s="4">
        <v>43283.133333333331</v>
      </c>
      <c r="BN2659" s="4">
        <v>43283.136863425927</v>
      </c>
      <c r="BO2659" s="4">
        <v>43283.136863425927</v>
      </c>
      <c r="BP2659" t="s">
        <v>92</v>
      </c>
      <c r="BQ2659" t="s">
        <v>93</v>
      </c>
      <c r="BR2659" t="s">
        <v>94</v>
      </c>
    </row>
    <row r="2660" spans="1:70" x14ac:dyDescent="0.3">
      <c r="A2660" t="str">
        <f>"201848E0300"</f>
        <v>201848E0300</v>
      </c>
      <c r="B2660" s="2" t="s">
        <v>5520</v>
      </c>
      <c r="C2660">
        <v>20</v>
      </c>
      <c r="D2660" t="s">
        <v>88</v>
      </c>
      <c r="E2660">
        <v>414</v>
      </c>
      <c r="F2660" t="s">
        <v>5430</v>
      </c>
      <c r="G2660">
        <v>1848</v>
      </c>
      <c r="H2660">
        <v>3</v>
      </c>
      <c r="I2660" t="s">
        <v>156</v>
      </c>
      <c r="J2660">
        <v>0</v>
      </c>
      <c r="K2660">
        <v>2</v>
      </c>
      <c r="L2660">
        <v>5</v>
      </c>
      <c r="M2660">
        <v>187</v>
      </c>
      <c r="N2660">
        <v>387</v>
      </c>
      <c r="O2660">
        <v>5</v>
      </c>
      <c r="P2660">
        <v>387</v>
      </c>
      <c r="Q2660">
        <v>2</v>
      </c>
      <c r="R2660">
        <v>13</v>
      </c>
      <c r="S2660">
        <v>6</v>
      </c>
      <c r="T2660">
        <v>6</v>
      </c>
      <c r="U2660">
        <v>3</v>
      </c>
      <c r="V2660">
        <v>127</v>
      </c>
      <c r="W2660">
        <v>2</v>
      </c>
      <c r="X2660">
        <v>127</v>
      </c>
      <c r="Y2660">
        <v>58</v>
      </c>
      <c r="Z2660">
        <v>2</v>
      </c>
      <c r="AA2660">
        <v>4</v>
      </c>
      <c r="AC2660">
        <v>0</v>
      </c>
      <c r="AD2660">
        <v>0</v>
      </c>
      <c r="AE2660">
        <v>0</v>
      </c>
      <c r="AF2660">
        <v>0</v>
      </c>
      <c r="AG2660">
        <v>5</v>
      </c>
      <c r="AH2660">
        <v>0</v>
      </c>
      <c r="AI2660">
        <v>3</v>
      </c>
      <c r="AJ2660">
        <v>0</v>
      </c>
      <c r="AK2660">
        <v>3</v>
      </c>
      <c r="AL2660">
        <v>1</v>
      </c>
      <c r="AM2660">
        <v>1</v>
      </c>
      <c r="AN2660">
        <v>1</v>
      </c>
      <c r="BC2660">
        <v>0</v>
      </c>
      <c r="BD2660">
        <v>15</v>
      </c>
      <c r="BE2660">
        <v>387</v>
      </c>
      <c r="BF2660">
        <v>379</v>
      </c>
      <c r="BG2660">
        <v>552</v>
      </c>
      <c r="BJ2660">
        <v>1</v>
      </c>
      <c r="BL2660" t="s">
        <v>5521</v>
      </c>
      <c r="BM2660" s="4">
        <v>43283.09375</v>
      </c>
      <c r="BN2660" s="4">
        <v>43283.097291666665</v>
      </c>
      <c r="BO2660" s="4">
        <v>43283.097291666665</v>
      </c>
      <c r="BP2660" t="s">
        <v>92</v>
      </c>
      <c r="BQ2660" t="s">
        <v>93</v>
      </c>
      <c r="BR2660" t="s">
        <v>94</v>
      </c>
    </row>
    <row r="2661" spans="1:70" x14ac:dyDescent="0.3">
      <c r="A2661" t="str">
        <f>"201848E0301"</f>
        <v>201848E0301</v>
      </c>
      <c r="B2661" s="2" t="s">
        <v>5522</v>
      </c>
      <c r="C2661">
        <v>20</v>
      </c>
      <c r="D2661" t="s">
        <v>88</v>
      </c>
      <c r="E2661">
        <v>414</v>
      </c>
      <c r="F2661" t="s">
        <v>5430</v>
      </c>
      <c r="G2661">
        <v>1848</v>
      </c>
      <c r="H2661">
        <v>3</v>
      </c>
      <c r="I2661" t="s">
        <v>156</v>
      </c>
      <c r="J2661">
        <v>1</v>
      </c>
      <c r="K2661">
        <v>2</v>
      </c>
      <c r="L2661">
        <v>5</v>
      </c>
      <c r="M2661">
        <v>187</v>
      </c>
      <c r="N2661">
        <v>387</v>
      </c>
      <c r="O2661">
        <v>4</v>
      </c>
      <c r="P2661">
        <v>386</v>
      </c>
      <c r="Q2661">
        <v>4</v>
      </c>
      <c r="R2661">
        <v>47</v>
      </c>
      <c r="S2661">
        <v>4</v>
      </c>
      <c r="T2661">
        <v>10</v>
      </c>
      <c r="U2661">
        <v>3</v>
      </c>
      <c r="V2661">
        <v>157</v>
      </c>
      <c r="W2661">
        <v>4</v>
      </c>
      <c r="X2661">
        <v>104</v>
      </c>
      <c r="Y2661">
        <v>49</v>
      </c>
      <c r="Z2661">
        <v>2</v>
      </c>
      <c r="AA2661">
        <v>4</v>
      </c>
      <c r="AC2661">
        <v>4</v>
      </c>
      <c r="AD2661">
        <v>0</v>
      </c>
      <c r="AE2661">
        <v>0</v>
      </c>
      <c r="AF2661">
        <v>0</v>
      </c>
      <c r="AG2661">
        <v>0</v>
      </c>
      <c r="AH2661">
        <v>1</v>
      </c>
      <c r="AI2661">
        <v>1</v>
      </c>
      <c r="AJ2661">
        <v>0</v>
      </c>
      <c r="AK2661">
        <v>0</v>
      </c>
      <c r="AL2661">
        <v>0</v>
      </c>
      <c r="AM2661">
        <v>0</v>
      </c>
      <c r="AN2661">
        <v>0</v>
      </c>
      <c r="BC2661">
        <v>0</v>
      </c>
      <c r="BD2661" t="s">
        <v>105</v>
      </c>
      <c r="BE2661">
        <v>386</v>
      </c>
      <c r="BF2661">
        <v>394</v>
      </c>
      <c r="BG2661">
        <v>552</v>
      </c>
      <c r="BI2661" t="s">
        <v>106</v>
      </c>
      <c r="BJ2661">
        <v>1</v>
      </c>
      <c r="BL2661" t="s">
        <v>5523</v>
      </c>
      <c r="BM2661" s="4">
        <v>43283.090277777781</v>
      </c>
      <c r="BN2661" s="4">
        <v>43283.093935185185</v>
      </c>
      <c r="BO2661" s="4">
        <v>43283.093935185185</v>
      </c>
      <c r="BP2661" t="s">
        <v>92</v>
      </c>
      <c r="BQ2661" t="s">
        <v>93</v>
      </c>
      <c r="BR2661" t="s">
        <v>94</v>
      </c>
    </row>
    <row r="2662" spans="1:70" x14ac:dyDescent="0.3">
      <c r="A2662" t="str">
        <f>"201848E0400"</f>
        <v>201848E0400</v>
      </c>
      <c r="B2662" s="2" t="s">
        <v>5524</v>
      </c>
      <c r="C2662">
        <v>20</v>
      </c>
      <c r="D2662" t="s">
        <v>88</v>
      </c>
      <c r="E2662">
        <v>414</v>
      </c>
      <c r="F2662" t="s">
        <v>5430</v>
      </c>
      <c r="G2662">
        <v>1848</v>
      </c>
      <c r="H2662">
        <v>4</v>
      </c>
      <c r="I2662" t="s">
        <v>156</v>
      </c>
      <c r="J2662">
        <v>0</v>
      </c>
      <c r="K2662">
        <v>2</v>
      </c>
      <c r="L2662">
        <v>5</v>
      </c>
      <c r="M2662">
        <v>231</v>
      </c>
      <c r="N2662">
        <v>316</v>
      </c>
      <c r="O2662">
        <v>3</v>
      </c>
      <c r="P2662">
        <v>316</v>
      </c>
      <c r="Q2662">
        <v>0</v>
      </c>
      <c r="R2662">
        <v>21</v>
      </c>
      <c r="S2662">
        <v>0</v>
      </c>
      <c r="T2662">
        <v>2</v>
      </c>
      <c r="U2662">
        <v>3</v>
      </c>
      <c r="V2662">
        <v>66</v>
      </c>
      <c r="W2662">
        <v>3</v>
      </c>
      <c r="X2662">
        <v>98</v>
      </c>
      <c r="Y2662">
        <v>83</v>
      </c>
      <c r="Z2662">
        <v>6</v>
      </c>
      <c r="AA2662">
        <v>8</v>
      </c>
      <c r="AC2662">
        <v>1</v>
      </c>
      <c r="AD2662">
        <v>0</v>
      </c>
      <c r="AE2662">
        <v>1</v>
      </c>
      <c r="AF2662">
        <v>0</v>
      </c>
      <c r="AG2662">
        <v>4</v>
      </c>
      <c r="AH2662">
        <v>0</v>
      </c>
      <c r="AI2662">
        <v>0</v>
      </c>
      <c r="AJ2662">
        <v>0</v>
      </c>
      <c r="AK2662">
        <v>1</v>
      </c>
      <c r="AL2662">
        <v>2</v>
      </c>
      <c r="AM2662">
        <v>0</v>
      </c>
      <c r="AN2662">
        <v>1</v>
      </c>
      <c r="BC2662">
        <v>0</v>
      </c>
      <c r="BD2662">
        <v>16</v>
      </c>
      <c r="BE2662" t="s">
        <v>105</v>
      </c>
      <c r="BF2662">
        <v>316</v>
      </c>
      <c r="BG2662">
        <v>525</v>
      </c>
      <c r="BJ2662">
        <v>1</v>
      </c>
      <c r="BL2662" t="s">
        <v>5525</v>
      </c>
      <c r="BM2662" s="4">
        <v>43283.131249999999</v>
      </c>
      <c r="BN2662" s="4">
        <v>43283.134687500002</v>
      </c>
      <c r="BO2662" s="4">
        <v>43283.134687500002</v>
      </c>
      <c r="BP2662" t="s">
        <v>92</v>
      </c>
      <c r="BQ2662" t="s">
        <v>93</v>
      </c>
      <c r="BR2662" t="s">
        <v>94</v>
      </c>
    </row>
    <row r="2663" spans="1:70" x14ac:dyDescent="0.3">
      <c r="A2663" t="str">
        <f>"201849B0100"</f>
        <v>201849B0100</v>
      </c>
      <c r="B2663" t="s">
        <v>5526</v>
      </c>
      <c r="C2663">
        <v>20</v>
      </c>
      <c r="D2663" t="s">
        <v>88</v>
      </c>
      <c r="E2663">
        <v>414</v>
      </c>
      <c r="F2663" t="s">
        <v>5430</v>
      </c>
      <c r="G2663">
        <v>1849</v>
      </c>
      <c r="H2663">
        <v>1</v>
      </c>
      <c r="I2663" t="s">
        <v>90</v>
      </c>
      <c r="J2663">
        <v>0</v>
      </c>
      <c r="K2663">
        <v>2</v>
      </c>
      <c r="L2663">
        <v>5</v>
      </c>
      <c r="M2663">
        <v>210</v>
      </c>
      <c r="N2663">
        <v>410</v>
      </c>
      <c r="O2663">
        <v>4</v>
      </c>
      <c r="P2663">
        <v>410</v>
      </c>
      <c r="Q2663">
        <v>4</v>
      </c>
      <c r="R2663">
        <v>35</v>
      </c>
      <c r="S2663">
        <v>5</v>
      </c>
      <c r="T2663">
        <v>3</v>
      </c>
      <c r="U2663">
        <v>6</v>
      </c>
      <c r="V2663">
        <v>143</v>
      </c>
      <c r="W2663">
        <v>2</v>
      </c>
      <c r="X2663">
        <v>113</v>
      </c>
      <c r="Y2663">
        <v>54</v>
      </c>
      <c r="Z2663">
        <v>2</v>
      </c>
      <c r="AA2663">
        <v>6</v>
      </c>
      <c r="AC2663">
        <v>4</v>
      </c>
      <c r="AD2663">
        <v>0</v>
      </c>
      <c r="AE2663">
        <v>1</v>
      </c>
      <c r="AF2663">
        <v>4</v>
      </c>
      <c r="AG2663">
        <v>8</v>
      </c>
      <c r="AH2663">
        <v>3</v>
      </c>
      <c r="AI2663">
        <v>1</v>
      </c>
      <c r="AJ2663">
        <v>0</v>
      </c>
      <c r="AK2663">
        <v>0</v>
      </c>
      <c r="AL2663">
        <v>1</v>
      </c>
      <c r="AM2663">
        <v>0</v>
      </c>
      <c r="AN2663">
        <v>0</v>
      </c>
      <c r="BC2663" t="s">
        <v>105</v>
      </c>
      <c r="BD2663">
        <v>15</v>
      </c>
      <c r="BE2663" t="s">
        <v>127</v>
      </c>
      <c r="BF2663">
        <v>410</v>
      </c>
      <c r="BG2663">
        <v>598</v>
      </c>
      <c r="BI2663" t="s">
        <v>106</v>
      </c>
      <c r="BJ2663">
        <v>1</v>
      </c>
      <c r="BL2663" t="s">
        <v>5527</v>
      </c>
      <c r="BM2663" s="4">
        <v>43283.147222222222</v>
      </c>
      <c r="BN2663" s="4">
        <v>43283.155613425923</v>
      </c>
      <c r="BO2663" s="4">
        <v>43283.155613425923</v>
      </c>
      <c r="BP2663" t="s">
        <v>92</v>
      </c>
      <c r="BQ2663" t="s">
        <v>93</v>
      </c>
      <c r="BR2663" t="s">
        <v>94</v>
      </c>
    </row>
    <row r="2664" spans="1:70" x14ac:dyDescent="0.3">
      <c r="A2664" t="str">
        <f>"201849C0100"</f>
        <v>201849C0100</v>
      </c>
      <c r="B2664" t="s">
        <v>5528</v>
      </c>
      <c r="C2664">
        <v>20</v>
      </c>
      <c r="D2664" t="s">
        <v>88</v>
      </c>
      <c r="E2664">
        <v>414</v>
      </c>
      <c r="F2664" t="s">
        <v>5430</v>
      </c>
      <c r="G2664">
        <v>1849</v>
      </c>
      <c r="H2664">
        <v>1</v>
      </c>
      <c r="I2664" t="s">
        <v>98</v>
      </c>
      <c r="J2664">
        <v>0</v>
      </c>
      <c r="K2664">
        <v>2</v>
      </c>
      <c r="L2664">
        <v>5</v>
      </c>
      <c r="M2664">
        <v>224</v>
      </c>
      <c r="N2664">
        <v>395</v>
      </c>
      <c r="O2664">
        <v>7</v>
      </c>
      <c r="P2664">
        <v>396</v>
      </c>
      <c r="Q2664">
        <v>8</v>
      </c>
      <c r="R2664">
        <v>37</v>
      </c>
      <c r="S2664">
        <v>1</v>
      </c>
      <c r="T2664">
        <v>10</v>
      </c>
      <c r="U2664">
        <v>2</v>
      </c>
      <c r="V2664">
        <v>134</v>
      </c>
      <c r="W2664" t="s">
        <v>105</v>
      </c>
      <c r="X2664">
        <v>109</v>
      </c>
      <c r="Y2664">
        <v>37</v>
      </c>
      <c r="Z2664">
        <v>5</v>
      </c>
      <c r="AA2664" t="s">
        <v>105</v>
      </c>
      <c r="AC2664">
        <v>6</v>
      </c>
      <c r="AD2664" t="s">
        <v>127</v>
      </c>
      <c r="AE2664">
        <v>2</v>
      </c>
      <c r="AF2664" t="s">
        <v>105</v>
      </c>
      <c r="AG2664">
        <v>14</v>
      </c>
      <c r="AH2664">
        <v>3</v>
      </c>
      <c r="AI2664" t="s">
        <v>105</v>
      </c>
      <c r="AJ2664" t="s">
        <v>105</v>
      </c>
      <c r="AK2664">
        <v>2</v>
      </c>
      <c r="AL2664" t="s">
        <v>105</v>
      </c>
      <c r="AM2664" t="s">
        <v>105</v>
      </c>
      <c r="AN2664" t="s">
        <v>105</v>
      </c>
      <c r="BC2664" t="s">
        <v>105</v>
      </c>
      <c r="BD2664" t="s">
        <v>105</v>
      </c>
      <c r="BE2664" t="s">
        <v>105</v>
      </c>
      <c r="BF2664">
        <v>370</v>
      </c>
      <c r="BG2664">
        <v>598</v>
      </c>
      <c r="BI2664" t="s">
        <v>106</v>
      </c>
      <c r="BJ2664">
        <v>1</v>
      </c>
      <c r="BL2664" t="s">
        <v>5529</v>
      </c>
      <c r="BM2664" s="4">
        <v>43283.143750000003</v>
      </c>
      <c r="BN2664" s="4">
        <v>43283.160509259258</v>
      </c>
      <c r="BO2664" s="4">
        <v>43283.160509259258</v>
      </c>
      <c r="BP2664" t="s">
        <v>92</v>
      </c>
      <c r="BQ2664" t="s">
        <v>93</v>
      </c>
      <c r="BR2664" t="s">
        <v>94</v>
      </c>
    </row>
    <row r="2665" spans="1:70" x14ac:dyDescent="0.3">
      <c r="A2665" t="str">
        <f>"201849C0200"</f>
        <v>201849C0200</v>
      </c>
      <c r="B2665" t="s">
        <v>5530</v>
      </c>
      <c r="C2665">
        <v>20</v>
      </c>
      <c r="D2665" t="s">
        <v>88</v>
      </c>
      <c r="E2665">
        <v>414</v>
      </c>
      <c r="F2665" t="s">
        <v>5430</v>
      </c>
      <c r="G2665">
        <v>1849</v>
      </c>
      <c r="H2665">
        <v>2</v>
      </c>
      <c r="I2665" t="s">
        <v>98</v>
      </c>
      <c r="J2665">
        <v>0</v>
      </c>
      <c r="K2665">
        <v>2</v>
      </c>
      <c r="L2665">
        <v>5</v>
      </c>
      <c r="M2665">
        <v>219</v>
      </c>
      <c r="N2665" t="s">
        <v>105</v>
      </c>
      <c r="O2665" t="s">
        <v>105</v>
      </c>
      <c r="P2665" t="s">
        <v>105</v>
      </c>
      <c r="Q2665">
        <v>3</v>
      </c>
      <c r="R2665">
        <v>26</v>
      </c>
      <c r="S2665">
        <v>7</v>
      </c>
      <c r="T2665">
        <v>4</v>
      </c>
      <c r="U2665">
        <v>3</v>
      </c>
      <c r="V2665">
        <v>153</v>
      </c>
      <c r="W2665">
        <v>7</v>
      </c>
      <c r="X2665">
        <v>109</v>
      </c>
      <c r="Y2665">
        <v>27</v>
      </c>
      <c r="Z2665">
        <v>2</v>
      </c>
      <c r="AA2665">
        <v>10</v>
      </c>
      <c r="AC2665">
        <v>6</v>
      </c>
      <c r="AD2665">
        <v>0</v>
      </c>
      <c r="AE2665">
        <v>0</v>
      </c>
      <c r="AF2665">
        <v>1</v>
      </c>
      <c r="AG2665">
        <v>8</v>
      </c>
      <c r="AH2665">
        <v>2</v>
      </c>
      <c r="AI2665">
        <v>9</v>
      </c>
      <c r="AJ2665">
        <v>2</v>
      </c>
      <c r="AK2665">
        <v>1</v>
      </c>
      <c r="AL2665">
        <v>0</v>
      </c>
      <c r="AM2665">
        <v>0</v>
      </c>
      <c r="AN2665">
        <v>1</v>
      </c>
      <c r="BC2665" t="s">
        <v>105</v>
      </c>
      <c r="BD2665" t="s">
        <v>105</v>
      </c>
      <c r="BE2665" t="s">
        <v>105</v>
      </c>
      <c r="BF2665">
        <v>381</v>
      </c>
      <c r="BG2665">
        <v>598</v>
      </c>
      <c r="BI2665" t="s">
        <v>106</v>
      </c>
      <c r="BJ2665">
        <v>1</v>
      </c>
      <c r="BL2665" t="s">
        <v>5531</v>
      </c>
      <c r="BM2665" s="4">
        <v>43283.144444444442</v>
      </c>
      <c r="BN2665" s="4">
        <v>43283.152002314811</v>
      </c>
      <c r="BO2665" s="4">
        <v>43283.152002314811</v>
      </c>
      <c r="BP2665" t="s">
        <v>92</v>
      </c>
      <c r="BQ2665" t="s">
        <v>93</v>
      </c>
      <c r="BR2665" t="s">
        <v>94</v>
      </c>
    </row>
    <row r="2666" spans="1:70" x14ac:dyDescent="0.3">
      <c r="A2666" t="str">
        <f>"201850B0100"</f>
        <v>201850B0100</v>
      </c>
      <c r="B2666" t="s">
        <v>5532</v>
      </c>
      <c r="C2666">
        <v>20</v>
      </c>
      <c r="D2666" t="s">
        <v>88</v>
      </c>
      <c r="E2666">
        <v>414</v>
      </c>
      <c r="F2666" t="s">
        <v>5430</v>
      </c>
      <c r="G2666">
        <v>1850</v>
      </c>
      <c r="H2666">
        <v>1</v>
      </c>
      <c r="I2666" t="s">
        <v>90</v>
      </c>
      <c r="J2666">
        <v>0</v>
      </c>
      <c r="K2666">
        <v>2</v>
      </c>
      <c r="L2666">
        <v>5</v>
      </c>
      <c r="M2666">
        <v>228</v>
      </c>
      <c r="N2666">
        <v>413</v>
      </c>
      <c r="O2666">
        <v>4</v>
      </c>
      <c r="P2666">
        <v>413</v>
      </c>
      <c r="Q2666">
        <v>5</v>
      </c>
      <c r="R2666">
        <v>34</v>
      </c>
      <c r="S2666">
        <v>4</v>
      </c>
      <c r="T2666">
        <v>12</v>
      </c>
      <c r="U2666">
        <v>3</v>
      </c>
      <c r="V2666">
        <v>128</v>
      </c>
      <c r="W2666">
        <v>2</v>
      </c>
      <c r="X2666">
        <v>89</v>
      </c>
      <c r="Y2666">
        <v>84</v>
      </c>
      <c r="Z2666">
        <v>6</v>
      </c>
      <c r="AA2666">
        <v>21</v>
      </c>
      <c r="AC2666">
        <v>1</v>
      </c>
      <c r="AD2666">
        <v>0</v>
      </c>
      <c r="AE2666">
        <v>0</v>
      </c>
      <c r="AF2666">
        <v>0</v>
      </c>
      <c r="AG2666">
        <v>9</v>
      </c>
      <c r="AH2666">
        <v>0</v>
      </c>
      <c r="AI2666">
        <v>1</v>
      </c>
      <c r="AJ2666">
        <v>0</v>
      </c>
      <c r="AK2666">
        <v>0</v>
      </c>
      <c r="AL2666">
        <v>0</v>
      </c>
      <c r="AM2666">
        <v>0</v>
      </c>
      <c r="AN2666">
        <v>0</v>
      </c>
      <c r="BC2666">
        <v>0</v>
      </c>
      <c r="BD2666">
        <v>11</v>
      </c>
      <c r="BE2666">
        <v>413</v>
      </c>
      <c r="BF2666">
        <v>410</v>
      </c>
      <c r="BG2666">
        <v>619</v>
      </c>
      <c r="BJ2666">
        <v>1</v>
      </c>
      <c r="BL2666" t="s">
        <v>5533</v>
      </c>
      <c r="BM2666" s="4">
        <v>43282.979467592595</v>
      </c>
      <c r="BN2666" s="4">
        <v>43282.984629629631</v>
      </c>
      <c r="BO2666" s="4">
        <v>43282.984629629631</v>
      </c>
      <c r="BP2666" t="s">
        <v>339</v>
      </c>
      <c r="BQ2666" t="s">
        <v>340</v>
      </c>
      <c r="BR2666" t="s">
        <v>94</v>
      </c>
    </row>
    <row r="2667" spans="1:70" x14ac:dyDescent="0.3">
      <c r="A2667" t="str">
        <f>"201850C0100"</f>
        <v>201850C0100</v>
      </c>
      <c r="B2667" t="s">
        <v>5534</v>
      </c>
      <c r="C2667">
        <v>20</v>
      </c>
      <c r="D2667" t="s">
        <v>88</v>
      </c>
      <c r="E2667">
        <v>414</v>
      </c>
      <c r="F2667" t="s">
        <v>5430</v>
      </c>
      <c r="G2667">
        <v>1850</v>
      </c>
      <c r="H2667">
        <v>1</v>
      </c>
      <c r="I2667" t="s">
        <v>98</v>
      </c>
      <c r="J2667">
        <v>0</v>
      </c>
      <c r="K2667">
        <v>2</v>
      </c>
      <c r="L2667">
        <v>5</v>
      </c>
      <c r="M2667">
        <v>257</v>
      </c>
      <c r="N2667">
        <v>385</v>
      </c>
      <c r="O2667">
        <v>4</v>
      </c>
      <c r="P2667">
        <v>384</v>
      </c>
      <c r="Q2667">
        <v>9</v>
      </c>
      <c r="R2667">
        <v>29</v>
      </c>
      <c r="S2667">
        <v>4</v>
      </c>
      <c r="T2667">
        <v>16</v>
      </c>
      <c r="U2667">
        <v>4</v>
      </c>
      <c r="V2667">
        <v>136</v>
      </c>
      <c r="W2667">
        <v>2</v>
      </c>
      <c r="X2667">
        <v>70</v>
      </c>
      <c r="Y2667">
        <v>62</v>
      </c>
      <c r="Z2667">
        <v>6</v>
      </c>
      <c r="AA2667">
        <v>20</v>
      </c>
      <c r="AC2667">
        <v>4</v>
      </c>
      <c r="AD2667">
        <v>1</v>
      </c>
      <c r="AE2667">
        <v>0</v>
      </c>
      <c r="AF2667">
        <v>1</v>
      </c>
      <c r="AG2667">
        <v>5</v>
      </c>
      <c r="AH2667">
        <v>1</v>
      </c>
      <c r="AI2667">
        <v>0</v>
      </c>
      <c r="AJ2667">
        <v>0</v>
      </c>
      <c r="AK2667">
        <v>2</v>
      </c>
      <c r="AL2667">
        <v>0</v>
      </c>
      <c r="AM2667">
        <v>0</v>
      </c>
      <c r="AN2667">
        <v>0</v>
      </c>
      <c r="BC2667">
        <v>0</v>
      </c>
      <c r="BD2667">
        <v>12</v>
      </c>
      <c r="BE2667">
        <v>384</v>
      </c>
      <c r="BF2667">
        <v>384</v>
      </c>
      <c r="BG2667">
        <v>619</v>
      </c>
      <c r="BJ2667">
        <v>1</v>
      </c>
      <c r="BL2667" t="s">
        <v>5535</v>
      </c>
      <c r="BM2667" s="4">
        <v>43282.991388888891</v>
      </c>
      <c r="BN2667" s="4">
        <v>43282.995671296296</v>
      </c>
      <c r="BO2667" s="4">
        <v>43282.995671296296</v>
      </c>
      <c r="BP2667" t="s">
        <v>339</v>
      </c>
      <c r="BQ2667" t="s">
        <v>340</v>
      </c>
      <c r="BR2667" t="s">
        <v>94</v>
      </c>
    </row>
    <row r="2668" spans="1:70" x14ac:dyDescent="0.3">
      <c r="A2668" t="str">
        <f>"201851B0100"</f>
        <v>201851B0100</v>
      </c>
      <c r="B2668" t="s">
        <v>5536</v>
      </c>
      <c r="C2668">
        <v>20</v>
      </c>
      <c r="D2668" t="s">
        <v>88</v>
      </c>
      <c r="E2668">
        <v>415</v>
      </c>
      <c r="F2668" t="s">
        <v>5537</v>
      </c>
      <c r="G2668">
        <v>1851</v>
      </c>
      <c r="H2668">
        <v>1</v>
      </c>
      <c r="I2668" t="s">
        <v>90</v>
      </c>
      <c r="J2668">
        <v>0</v>
      </c>
      <c r="K2668">
        <v>2</v>
      </c>
      <c r="L2668">
        <v>5</v>
      </c>
      <c r="M2668">
        <v>162</v>
      </c>
      <c r="N2668">
        <v>455</v>
      </c>
      <c r="O2668">
        <v>461</v>
      </c>
      <c r="P2668">
        <v>455</v>
      </c>
      <c r="Q2668">
        <v>3</v>
      </c>
      <c r="R2668">
        <v>70</v>
      </c>
      <c r="S2668">
        <v>167</v>
      </c>
      <c r="T2668">
        <v>66</v>
      </c>
      <c r="U2668">
        <v>4</v>
      </c>
      <c r="V2668">
        <v>2</v>
      </c>
      <c r="W2668">
        <v>8</v>
      </c>
      <c r="X2668">
        <v>1</v>
      </c>
      <c r="Y2668">
        <v>111</v>
      </c>
      <c r="Z2668">
        <v>1</v>
      </c>
      <c r="AC2668">
        <v>1</v>
      </c>
      <c r="AD2668">
        <v>0</v>
      </c>
      <c r="AE2668">
        <v>0</v>
      </c>
      <c r="AF2668">
        <v>0</v>
      </c>
      <c r="AK2668">
        <v>1</v>
      </c>
      <c r="AL2668">
        <v>0</v>
      </c>
      <c r="AM2668">
        <v>1</v>
      </c>
      <c r="AN2668">
        <v>0</v>
      </c>
      <c r="BC2668">
        <v>0</v>
      </c>
      <c r="BD2668">
        <v>23</v>
      </c>
      <c r="BE2668">
        <v>459</v>
      </c>
      <c r="BF2668">
        <v>459</v>
      </c>
      <c r="BG2668">
        <v>601</v>
      </c>
      <c r="BJ2668">
        <v>1</v>
      </c>
      <c r="BL2668" t="s">
        <v>5538</v>
      </c>
      <c r="BM2668" s="4">
        <v>43283.21802083333</v>
      </c>
      <c r="BN2668" s="4">
        <v>43283.238541666666</v>
      </c>
      <c r="BO2668" s="4">
        <v>43283.238541666666</v>
      </c>
      <c r="BP2668" t="s">
        <v>92</v>
      </c>
      <c r="BQ2668" t="s">
        <v>93</v>
      </c>
      <c r="BR2668" t="s">
        <v>94</v>
      </c>
    </row>
    <row r="2669" spans="1:70" x14ac:dyDescent="0.3">
      <c r="A2669" t="str">
        <f>"201851C0100"</f>
        <v>201851C0100</v>
      </c>
      <c r="B2669" t="s">
        <v>5539</v>
      </c>
      <c r="C2669">
        <v>20</v>
      </c>
      <c r="D2669" t="s">
        <v>88</v>
      </c>
      <c r="E2669">
        <v>415</v>
      </c>
      <c r="F2669" t="s">
        <v>5537</v>
      </c>
      <c r="G2669">
        <v>1851</v>
      </c>
      <c r="H2669">
        <v>1</v>
      </c>
      <c r="I2669" t="s">
        <v>98</v>
      </c>
      <c r="J2669">
        <v>0</v>
      </c>
      <c r="K2669">
        <v>2</v>
      </c>
      <c r="L2669">
        <v>5</v>
      </c>
      <c r="M2669">
        <v>156</v>
      </c>
      <c r="N2669">
        <v>466</v>
      </c>
      <c r="O2669">
        <v>3</v>
      </c>
      <c r="P2669">
        <v>466</v>
      </c>
      <c r="Q2669">
        <v>1</v>
      </c>
      <c r="R2669">
        <v>52</v>
      </c>
      <c r="S2669">
        <v>146</v>
      </c>
      <c r="T2669">
        <v>91</v>
      </c>
      <c r="U2669">
        <v>4</v>
      </c>
      <c r="V2669">
        <v>1</v>
      </c>
      <c r="W2669">
        <v>3</v>
      </c>
      <c r="X2669">
        <v>2</v>
      </c>
      <c r="Y2669">
        <v>131</v>
      </c>
      <c r="Z2669">
        <v>2</v>
      </c>
      <c r="AC2669">
        <v>1</v>
      </c>
      <c r="AD2669">
        <v>1</v>
      </c>
      <c r="AE2669" t="s">
        <v>105</v>
      </c>
      <c r="AF2669" t="s">
        <v>105</v>
      </c>
      <c r="AK2669">
        <v>1</v>
      </c>
      <c r="AL2669" t="s">
        <v>105</v>
      </c>
      <c r="AM2669" t="s">
        <v>105</v>
      </c>
      <c r="AN2669" t="s">
        <v>105</v>
      </c>
      <c r="BC2669" t="s">
        <v>105</v>
      </c>
      <c r="BD2669">
        <v>30</v>
      </c>
      <c r="BE2669">
        <v>466</v>
      </c>
      <c r="BF2669">
        <v>466</v>
      </c>
      <c r="BG2669">
        <v>600</v>
      </c>
      <c r="BI2669" t="s">
        <v>106</v>
      </c>
      <c r="BJ2669">
        <v>1</v>
      </c>
      <c r="BL2669" t="s">
        <v>5540</v>
      </c>
      <c r="BM2669" s="4">
        <v>43283.222824074073</v>
      </c>
      <c r="BN2669" s="4">
        <v>43283.244756944441</v>
      </c>
      <c r="BO2669" s="4">
        <v>43283.244756944441</v>
      </c>
      <c r="BP2669" t="s">
        <v>92</v>
      </c>
      <c r="BQ2669" t="s">
        <v>93</v>
      </c>
      <c r="BR2669" t="s">
        <v>94</v>
      </c>
    </row>
    <row r="2670" spans="1:70" x14ac:dyDescent="0.3">
      <c r="A2670" t="str">
        <f>"201851C0200"</f>
        <v>201851C0200</v>
      </c>
      <c r="B2670" t="s">
        <v>5541</v>
      </c>
      <c r="C2670">
        <v>20</v>
      </c>
      <c r="D2670" t="s">
        <v>88</v>
      </c>
      <c r="E2670">
        <v>415</v>
      </c>
      <c r="F2670" t="s">
        <v>5537</v>
      </c>
      <c r="G2670">
        <v>1851</v>
      </c>
      <c r="H2670">
        <v>2</v>
      </c>
      <c r="I2670" t="s">
        <v>98</v>
      </c>
      <c r="J2670">
        <v>0</v>
      </c>
      <c r="K2670">
        <v>2</v>
      </c>
      <c r="L2670">
        <v>5</v>
      </c>
      <c r="M2670">
        <v>146</v>
      </c>
      <c r="N2670">
        <v>475</v>
      </c>
      <c r="O2670">
        <v>0</v>
      </c>
      <c r="P2670">
        <v>475</v>
      </c>
      <c r="Q2670">
        <v>4</v>
      </c>
      <c r="R2670">
        <v>87</v>
      </c>
      <c r="S2670">
        <v>164</v>
      </c>
      <c r="T2670">
        <v>92</v>
      </c>
      <c r="U2670">
        <v>7</v>
      </c>
      <c r="V2670">
        <v>1</v>
      </c>
      <c r="W2670">
        <v>5</v>
      </c>
      <c r="X2670" t="s">
        <v>105</v>
      </c>
      <c r="Y2670">
        <v>97</v>
      </c>
      <c r="Z2670">
        <v>1</v>
      </c>
      <c r="AC2670" t="s">
        <v>105</v>
      </c>
      <c r="AD2670" t="s">
        <v>105</v>
      </c>
      <c r="AE2670" t="s">
        <v>105</v>
      </c>
      <c r="AF2670" t="s">
        <v>105</v>
      </c>
      <c r="AK2670" t="s">
        <v>105</v>
      </c>
      <c r="AL2670" t="s">
        <v>105</v>
      </c>
      <c r="AM2670" t="s">
        <v>105</v>
      </c>
      <c r="AN2670" t="s">
        <v>105</v>
      </c>
      <c r="BC2670" t="s">
        <v>105</v>
      </c>
      <c r="BD2670">
        <v>17</v>
      </c>
      <c r="BE2670" t="s">
        <v>105</v>
      </c>
      <c r="BF2670">
        <v>475</v>
      </c>
      <c r="BG2670">
        <v>600</v>
      </c>
      <c r="BI2670" t="s">
        <v>106</v>
      </c>
      <c r="BJ2670">
        <v>1</v>
      </c>
      <c r="BL2670" t="s">
        <v>5542</v>
      </c>
      <c r="BM2670" s="4">
        <v>43283.229305555556</v>
      </c>
      <c r="BN2670" s="4">
        <v>43283.250173611108</v>
      </c>
      <c r="BO2670" s="4">
        <v>43283.250173611108</v>
      </c>
      <c r="BP2670" t="s">
        <v>92</v>
      </c>
      <c r="BQ2670" t="s">
        <v>93</v>
      </c>
      <c r="BR2670" t="s">
        <v>94</v>
      </c>
    </row>
    <row r="2671" spans="1:70" x14ac:dyDescent="0.3">
      <c r="A2671" t="str">
        <f>"201851E0100"</f>
        <v>201851E0100</v>
      </c>
      <c r="B2671" s="2" t="s">
        <v>5543</v>
      </c>
      <c r="C2671">
        <v>20</v>
      </c>
      <c r="D2671" t="s">
        <v>88</v>
      </c>
      <c r="E2671">
        <v>415</v>
      </c>
      <c r="F2671" t="s">
        <v>5537</v>
      </c>
      <c r="G2671">
        <v>1851</v>
      </c>
      <c r="H2671">
        <v>1</v>
      </c>
      <c r="I2671" t="s">
        <v>156</v>
      </c>
      <c r="J2671">
        <v>0</v>
      </c>
      <c r="K2671">
        <v>2</v>
      </c>
      <c r="L2671">
        <v>5</v>
      </c>
      <c r="M2671">
        <v>76</v>
      </c>
      <c r="N2671">
        <v>186</v>
      </c>
      <c r="O2671">
        <v>11</v>
      </c>
      <c r="P2671">
        <v>186</v>
      </c>
      <c r="Q2671">
        <v>1</v>
      </c>
      <c r="R2671">
        <v>63</v>
      </c>
      <c r="S2671">
        <v>60</v>
      </c>
      <c r="T2671">
        <v>37</v>
      </c>
      <c r="U2671">
        <v>1</v>
      </c>
      <c r="V2671">
        <v>0</v>
      </c>
      <c r="W2671">
        <v>1</v>
      </c>
      <c r="X2671">
        <v>1</v>
      </c>
      <c r="Y2671">
        <v>15</v>
      </c>
      <c r="Z2671">
        <v>0</v>
      </c>
      <c r="AC2671">
        <v>0</v>
      </c>
      <c r="AD2671">
        <v>0</v>
      </c>
      <c r="AE2671">
        <v>0</v>
      </c>
      <c r="AF2671">
        <v>0</v>
      </c>
      <c r="AK2671">
        <v>0</v>
      </c>
      <c r="AL2671">
        <v>0</v>
      </c>
      <c r="AM2671">
        <v>0</v>
      </c>
      <c r="AN2671">
        <v>2</v>
      </c>
      <c r="BC2671">
        <v>0</v>
      </c>
      <c r="BD2671">
        <v>5</v>
      </c>
      <c r="BE2671">
        <v>186</v>
      </c>
      <c r="BF2671">
        <v>186</v>
      </c>
      <c r="BG2671">
        <v>240</v>
      </c>
      <c r="BJ2671">
        <v>1</v>
      </c>
      <c r="BL2671" t="s">
        <v>5544</v>
      </c>
      <c r="BM2671" s="4">
        <v>43283.044849537036</v>
      </c>
      <c r="BN2671" s="4">
        <v>43283.077789351853</v>
      </c>
      <c r="BO2671" s="4">
        <v>43283.077789351853</v>
      </c>
      <c r="BP2671" t="s">
        <v>92</v>
      </c>
      <c r="BQ2671" t="s">
        <v>93</v>
      </c>
      <c r="BR2671" t="s">
        <v>94</v>
      </c>
    </row>
    <row r="2672" spans="1:70" x14ac:dyDescent="0.3">
      <c r="A2672" t="str">
        <f>"201852B0100"</f>
        <v>201852B0100</v>
      </c>
      <c r="B2672" t="s">
        <v>5545</v>
      </c>
      <c r="C2672">
        <v>20</v>
      </c>
      <c r="D2672" t="s">
        <v>88</v>
      </c>
      <c r="E2672">
        <v>415</v>
      </c>
      <c r="F2672" t="s">
        <v>5537</v>
      </c>
      <c r="G2672">
        <v>1852</v>
      </c>
      <c r="H2672">
        <v>1</v>
      </c>
      <c r="I2672" t="s">
        <v>90</v>
      </c>
      <c r="J2672">
        <v>0</v>
      </c>
      <c r="K2672">
        <v>1</v>
      </c>
      <c r="L2672">
        <v>5</v>
      </c>
      <c r="M2672">
        <v>166</v>
      </c>
      <c r="N2672">
        <v>519</v>
      </c>
      <c r="O2672">
        <v>6</v>
      </c>
      <c r="P2672">
        <v>519</v>
      </c>
      <c r="Q2672">
        <v>2</v>
      </c>
      <c r="R2672">
        <v>70</v>
      </c>
      <c r="S2672">
        <v>184</v>
      </c>
      <c r="T2672">
        <v>113</v>
      </c>
      <c r="U2672">
        <v>8</v>
      </c>
      <c r="V2672">
        <v>2</v>
      </c>
      <c r="W2672">
        <v>8</v>
      </c>
      <c r="X2672">
        <v>2</v>
      </c>
      <c r="Y2672">
        <v>102</v>
      </c>
      <c r="Z2672">
        <v>0</v>
      </c>
      <c r="AC2672">
        <v>1</v>
      </c>
      <c r="AD2672">
        <v>2</v>
      </c>
      <c r="AE2672">
        <v>0</v>
      </c>
      <c r="AF2672">
        <v>1</v>
      </c>
      <c r="AK2672">
        <v>0</v>
      </c>
      <c r="AL2672">
        <v>1</v>
      </c>
      <c r="AM2672">
        <v>0</v>
      </c>
      <c r="AN2672">
        <v>1</v>
      </c>
      <c r="BC2672">
        <v>0</v>
      </c>
      <c r="BD2672">
        <v>22</v>
      </c>
      <c r="BE2672">
        <v>519</v>
      </c>
      <c r="BF2672">
        <v>519</v>
      </c>
      <c r="BG2672">
        <v>663</v>
      </c>
      <c r="BJ2672">
        <v>1</v>
      </c>
      <c r="BL2672" t="s">
        <v>5546</v>
      </c>
      <c r="BM2672" s="4">
        <v>43283.214375000003</v>
      </c>
      <c r="BN2672" s="4">
        <v>43283.238136574073</v>
      </c>
      <c r="BO2672" s="4">
        <v>43283.238136574073</v>
      </c>
      <c r="BP2672" t="s">
        <v>92</v>
      </c>
      <c r="BQ2672" t="s">
        <v>93</v>
      </c>
      <c r="BR2672" t="s">
        <v>94</v>
      </c>
    </row>
    <row r="2673" spans="1:70" x14ac:dyDescent="0.3">
      <c r="A2673" t="str">
        <f>"201852C0100"</f>
        <v>201852C0100</v>
      </c>
      <c r="B2673" t="s">
        <v>5547</v>
      </c>
      <c r="C2673">
        <v>20</v>
      </c>
      <c r="D2673" t="s">
        <v>88</v>
      </c>
      <c r="E2673">
        <v>415</v>
      </c>
      <c r="F2673" t="s">
        <v>5537</v>
      </c>
      <c r="G2673">
        <v>1852</v>
      </c>
      <c r="H2673">
        <v>1</v>
      </c>
      <c r="I2673" t="s">
        <v>98</v>
      </c>
      <c r="J2673">
        <v>0</v>
      </c>
      <c r="K2673">
        <v>1</v>
      </c>
      <c r="L2673">
        <v>5</v>
      </c>
      <c r="M2673">
        <v>158</v>
      </c>
      <c r="N2673" t="s">
        <v>105</v>
      </c>
      <c r="O2673">
        <v>5</v>
      </c>
      <c r="P2673">
        <v>0</v>
      </c>
      <c r="Q2673">
        <v>5</v>
      </c>
      <c r="R2673">
        <v>74</v>
      </c>
      <c r="S2673">
        <v>183</v>
      </c>
      <c r="T2673">
        <v>107</v>
      </c>
      <c r="U2673">
        <v>4</v>
      </c>
      <c r="V2673">
        <v>2</v>
      </c>
      <c r="W2673">
        <v>0</v>
      </c>
      <c r="X2673">
        <v>0</v>
      </c>
      <c r="Y2673">
        <v>111</v>
      </c>
      <c r="Z2673">
        <v>1</v>
      </c>
      <c r="AC2673">
        <v>0</v>
      </c>
      <c r="AD2673">
        <v>0</v>
      </c>
      <c r="AE2673">
        <v>0</v>
      </c>
      <c r="AF2673">
        <v>0</v>
      </c>
      <c r="AK2673">
        <v>1</v>
      </c>
      <c r="AL2673">
        <v>1</v>
      </c>
      <c r="AM2673">
        <v>0</v>
      </c>
      <c r="AN2673">
        <v>0</v>
      </c>
      <c r="BC2673">
        <v>0</v>
      </c>
      <c r="BD2673">
        <v>24</v>
      </c>
      <c r="BE2673" t="s">
        <v>105</v>
      </c>
      <c r="BF2673">
        <v>513</v>
      </c>
      <c r="BG2673">
        <v>663</v>
      </c>
      <c r="BJ2673">
        <v>1</v>
      </c>
      <c r="BL2673" t="s">
        <v>5548</v>
      </c>
      <c r="BM2673" s="4">
        <v>43283.23164351852</v>
      </c>
      <c r="BN2673" s="4">
        <v>43283.253101851849</v>
      </c>
      <c r="BO2673" s="4">
        <v>43283.253101851849</v>
      </c>
      <c r="BP2673" t="s">
        <v>92</v>
      </c>
      <c r="BQ2673" t="s">
        <v>93</v>
      </c>
      <c r="BR2673" t="s">
        <v>94</v>
      </c>
    </row>
    <row r="2674" spans="1:70" x14ac:dyDescent="0.3">
      <c r="A2674" t="str">
        <f>"201852C0200"</f>
        <v>201852C0200</v>
      </c>
      <c r="B2674" t="s">
        <v>5549</v>
      </c>
      <c r="C2674">
        <v>20</v>
      </c>
      <c r="D2674" t="s">
        <v>88</v>
      </c>
      <c r="E2674">
        <v>415</v>
      </c>
      <c r="F2674" t="s">
        <v>5537</v>
      </c>
      <c r="G2674">
        <v>1852</v>
      </c>
      <c r="H2674">
        <v>2</v>
      </c>
      <c r="I2674" t="s">
        <v>98</v>
      </c>
      <c r="J2674">
        <v>0</v>
      </c>
      <c r="K2674">
        <v>1</v>
      </c>
      <c r="L2674">
        <v>5</v>
      </c>
      <c r="M2674">
        <v>165</v>
      </c>
      <c r="N2674">
        <v>519</v>
      </c>
      <c r="O2674">
        <v>2</v>
      </c>
      <c r="P2674">
        <v>519</v>
      </c>
      <c r="Q2674">
        <v>2</v>
      </c>
      <c r="R2674">
        <v>100</v>
      </c>
      <c r="S2674">
        <v>152</v>
      </c>
      <c r="T2674">
        <v>117</v>
      </c>
      <c r="U2674">
        <v>4</v>
      </c>
      <c r="V2674">
        <v>3</v>
      </c>
      <c r="W2674">
        <v>17</v>
      </c>
      <c r="X2674">
        <v>0</v>
      </c>
      <c r="Y2674">
        <v>100</v>
      </c>
      <c r="Z2674">
        <v>1</v>
      </c>
      <c r="AC2674">
        <v>0</v>
      </c>
      <c r="AD2674">
        <v>2</v>
      </c>
      <c r="AE2674">
        <v>0</v>
      </c>
      <c r="AF2674">
        <v>1</v>
      </c>
      <c r="AK2674">
        <v>1</v>
      </c>
      <c r="AL2674">
        <v>0</v>
      </c>
      <c r="AM2674">
        <v>0</v>
      </c>
      <c r="AN2674">
        <v>0</v>
      </c>
      <c r="BC2674">
        <v>0</v>
      </c>
      <c r="BD2674">
        <v>20</v>
      </c>
      <c r="BE2674">
        <v>520</v>
      </c>
      <c r="BF2674">
        <v>520</v>
      </c>
      <c r="BG2674">
        <v>663</v>
      </c>
      <c r="BJ2674">
        <v>1</v>
      </c>
      <c r="BL2674" t="s">
        <v>5550</v>
      </c>
      <c r="BM2674" s="4">
        <v>43283.234861111108</v>
      </c>
      <c r="BN2674" s="4">
        <v>43283.256550925929</v>
      </c>
      <c r="BO2674" s="4">
        <v>43283.256550925929</v>
      </c>
      <c r="BP2674" t="s">
        <v>92</v>
      </c>
      <c r="BQ2674" t="s">
        <v>93</v>
      </c>
      <c r="BR2674" t="s">
        <v>94</v>
      </c>
    </row>
    <row r="2675" spans="1:70" x14ac:dyDescent="0.3">
      <c r="A2675" t="str">
        <f>"201853B0100"</f>
        <v>201853B0100</v>
      </c>
      <c r="B2675" t="s">
        <v>5551</v>
      </c>
      <c r="C2675">
        <v>20</v>
      </c>
      <c r="D2675" t="s">
        <v>88</v>
      </c>
      <c r="E2675">
        <v>415</v>
      </c>
      <c r="F2675" t="s">
        <v>5537</v>
      </c>
      <c r="G2675">
        <v>1853</v>
      </c>
      <c r="H2675">
        <v>1</v>
      </c>
      <c r="I2675" t="s">
        <v>90</v>
      </c>
      <c r="J2675">
        <v>0</v>
      </c>
      <c r="K2675">
        <v>2</v>
      </c>
      <c r="L2675">
        <v>5</v>
      </c>
      <c r="M2675">
        <v>116</v>
      </c>
      <c r="N2675">
        <v>315</v>
      </c>
      <c r="O2675">
        <v>2</v>
      </c>
      <c r="P2675">
        <v>315</v>
      </c>
      <c r="Q2675">
        <v>1</v>
      </c>
      <c r="R2675">
        <v>85</v>
      </c>
      <c r="S2675">
        <v>86</v>
      </c>
      <c r="T2675">
        <v>89</v>
      </c>
      <c r="U2675">
        <v>0</v>
      </c>
      <c r="V2675">
        <v>1</v>
      </c>
      <c r="W2675">
        <v>5</v>
      </c>
      <c r="X2675">
        <v>3</v>
      </c>
      <c r="Y2675">
        <v>25</v>
      </c>
      <c r="Z2675">
        <v>1</v>
      </c>
      <c r="AC2675">
        <v>0</v>
      </c>
      <c r="AD2675">
        <v>0</v>
      </c>
      <c r="AE2675">
        <v>0</v>
      </c>
      <c r="AF2675">
        <v>0</v>
      </c>
      <c r="AK2675">
        <v>0</v>
      </c>
      <c r="AL2675">
        <v>0</v>
      </c>
      <c r="AM2675">
        <v>0</v>
      </c>
      <c r="AN2675">
        <v>0</v>
      </c>
      <c r="BC2675">
        <v>0</v>
      </c>
      <c r="BD2675">
        <v>19</v>
      </c>
      <c r="BE2675">
        <v>315</v>
      </c>
      <c r="BF2675">
        <v>315</v>
      </c>
      <c r="BG2675">
        <v>409</v>
      </c>
      <c r="BJ2675">
        <v>1</v>
      </c>
      <c r="BL2675" t="s">
        <v>5552</v>
      </c>
      <c r="BM2675" s="4">
        <v>43283.299791666665</v>
      </c>
      <c r="BN2675" s="4">
        <v>43283.324826388889</v>
      </c>
      <c r="BO2675" s="4">
        <v>43283.324826388889</v>
      </c>
      <c r="BP2675" t="s">
        <v>92</v>
      </c>
      <c r="BQ2675" t="s">
        <v>93</v>
      </c>
      <c r="BR2675" t="s">
        <v>94</v>
      </c>
    </row>
    <row r="2676" spans="1:70" x14ac:dyDescent="0.3">
      <c r="A2676" t="str">
        <f>"201853E0100"</f>
        <v>201853E0100</v>
      </c>
      <c r="B2676" s="2" t="s">
        <v>5553</v>
      </c>
      <c r="C2676">
        <v>20</v>
      </c>
      <c r="D2676" t="s">
        <v>88</v>
      </c>
      <c r="E2676">
        <v>415</v>
      </c>
      <c r="F2676" t="s">
        <v>5537</v>
      </c>
      <c r="G2676">
        <v>1853</v>
      </c>
      <c r="H2676">
        <v>1</v>
      </c>
      <c r="I2676" t="s">
        <v>156</v>
      </c>
      <c r="J2676">
        <v>0</v>
      </c>
      <c r="K2676">
        <v>2</v>
      </c>
      <c r="L2676">
        <v>5</v>
      </c>
      <c r="M2676">
        <v>224</v>
      </c>
      <c r="N2676">
        <v>0</v>
      </c>
      <c r="O2676">
        <v>0</v>
      </c>
      <c r="P2676">
        <v>534</v>
      </c>
      <c r="Q2676">
        <v>4</v>
      </c>
      <c r="R2676">
        <v>88</v>
      </c>
      <c r="S2676">
        <v>124</v>
      </c>
      <c r="T2676">
        <v>202</v>
      </c>
      <c r="U2676">
        <v>6</v>
      </c>
      <c r="V2676">
        <v>1</v>
      </c>
      <c r="W2676">
        <v>16</v>
      </c>
      <c r="X2676">
        <v>2</v>
      </c>
      <c r="Y2676">
        <v>62</v>
      </c>
      <c r="Z2676">
        <v>1</v>
      </c>
      <c r="AC2676">
        <v>1</v>
      </c>
      <c r="AD2676">
        <v>0</v>
      </c>
      <c r="AE2676">
        <v>0</v>
      </c>
      <c r="AF2676">
        <v>0</v>
      </c>
      <c r="AK2676">
        <v>0</v>
      </c>
      <c r="AL2676">
        <v>0</v>
      </c>
      <c r="AM2676">
        <v>0</v>
      </c>
      <c r="AN2676">
        <v>0</v>
      </c>
      <c r="BC2676">
        <v>0</v>
      </c>
      <c r="BD2676">
        <v>26</v>
      </c>
      <c r="BE2676">
        <v>534</v>
      </c>
      <c r="BF2676">
        <v>533</v>
      </c>
      <c r="BG2676">
        <v>736</v>
      </c>
      <c r="BJ2676">
        <v>1</v>
      </c>
      <c r="BL2676" t="s">
        <v>5554</v>
      </c>
      <c r="BM2676" s="4">
        <v>43283.295590277776</v>
      </c>
      <c r="BN2676" s="4">
        <v>43283.342048611114</v>
      </c>
      <c r="BO2676" s="4">
        <v>43283.342048611114</v>
      </c>
      <c r="BP2676" t="s">
        <v>92</v>
      </c>
      <c r="BQ2676" t="s">
        <v>93</v>
      </c>
      <c r="BR2676" t="s">
        <v>94</v>
      </c>
    </row>
    <row r="2677" spans="1:70" x14ac:dyDescent="0.3">
      <c r="A2677" t="str">
        <f>"201854B0100"</f>
        <v>201854B0100</v>
      </c>
      <c r="B2677" t="s">
        <v>5555</v>
      </c>
      <c r="C2677">
        <v>20</v>
      </c>
      <c r="D2677" t="s">
        <v>88</v>
      </c>
      <c r="E2677">
        <v>415</v>
      </c>
      <c r="F2677" t="s">
        <v>5537</v>
      </c>
      <c r="G2677">
        <v>1854</v>
      </c>
      <c r="H2677">
        <v>1</v>
      </c>
      <c r="I2677" t="s">
        <v>90</v>
      </c>
      <c r="J2677">
        <v>0</v>
      </c>
      <c r="K2677">
        <v>2</v>
      </c>
      <c r="L2677">
        <v>5</v>
      </c>
      <c r="M2677">
        <v>208</v>
      </c>
      <c r="N2677">
        <v>354</v>
      </c>
      <c r="O2677">
        <v>3</v>
      </c>
      <c r="P2677">
        <v>354</v>
      </c>
      <c r="Q2677">
        <v>2</v>
      </c>
      <c r="R2677">
        <v>52</v>
      </c>
      <c r="S2677">
        <v>111</v>
      </c>
      <c r="T2677">
        <v>120</v>
      </c>
      <c r="U2677">
        <v>1</v>
      </c>
      <c r="V2677">
        <v>1</v>
      </c>
      <c r="W2677">
        <v>3</v>
      </c>
      <c r="X2677">
        <v>4</v>
      </c>
      <c r="Y2677">
        <v>31</v>
      </c>
      <c r="Z2677">
        <v>1</v>
      </c>
      <c r="AC2677">
        <v>1</v>
      </c>
      <c r="AD2677">
        <v>1</v>
      </c>
      <c r="AE2677">
        <v>0</v>
      </c>
      <c r="AF2677">
        <v>1</v>
      </c>
      <c r="AK2677">
        <v>0</v>
      </c>
      <c r="AL2677">
        <v>1</v>
      </c>
      <c r="AM2677">
        <v>0</v>
      </c>
      <c r="AN2677">
        <v>1</v>
      </c>
      <c r="BC2677">
        <v>0</v>
      </c>
      <c r="BD2677">
        <v>23</v>
      </c>
      <c r="BE2677">
        <v>354</v>
      </c>
      <c r="BF2677">
        <v>354</v>
      </c>
      <c r="BG2677">
        <v>540</v>
      </c>
      <c r="BJ2677">
        <v>1</v>
      </c>
      <c r="BL2677" t="s">
        <v>5556</v>
      </c>
      <c r="BM2677" s="4">
        <v>43283.311909722222</v>
      </c>
      <c r="BN2677" s="4">
        <v>43283.334629629629</v>
      </c>
      <c r="BO2677" s="4">
        <v>43283.334629629629</v>
      </c>
      <c r="BP2677" t="s">
        <v>92</v>
      </c>
      <c r="BQ2677" t="s">
        <v>93</v>
      </c>
      <c r="BR2677" t="s">
        <v>94</v>
      </c>
    </row>
    <row r="2678" spans="1:70" x14ac:dyDescent="0.3">
      <c r="A2678" t="str">
        <f>"201854C0100"</f>
        <v>201854C0100</v>
      </c>
      <c r="B2678" t="s">
        <v>5557</v>
      </c>
      <c r="C2678">
        <v>20</v>
      </c>
      <c r="D2678" t="s">
        <v>88</v>
      </c>
      <c r="E2678">
        <v>415</v>
      </c>
      <c r="F2678" t="s">
        <v>5537</v>
      </c>
      <c r="G2678">
        <v>1854</v>
      </c>
      <c r="H2678">
        <v>1</v>
      </c>
      <c r="I2678" t="s">
        <v>98</v>
      </c>
      <c r="J2678">
        <v>0</v>
      </c>
      <c r="K2678">
        <v>2</v>
      </c>
      <c r="L2678">
        <v>5</v>
      </c>
      <c r="M2678">
        <v>176</v>
      </c>
      <c r="N2678">
        <v>386</v>
      </c>
      <c r="O2678">
        <v>0</v>
      </c>
      <c r="P2678">
        <v>385</v>
      </c>
      <c r="Q2678">
        <v>1</v>
      </c>
      <c r="R2678">
        <v>78</v>
      </c>
      <c r="S2678">
        <v>112</v>
      </c>
      <c r="T2678">
        <v>113</v>
      </c>
      <c r="U2678">
        <v>4</v>
      </c>
      <c r="V2678">
        <v>1</v>
      </c>
      <c r="W2678">
        <v>3</v>
      </c>
      <c r="X2678">
        <v>1</v>
      </c>
      <c r="Y2678">
        <v>48</v>
      </c>
      <c r="Z2678">
        <v>1</v>
      </c>
      <c r="AC2678">
        <v>0</v>
      </c>
      <c r="AD2678">
        <v>0</v>
      </c>
      <c r="AE2678">
        <v>0</v>
      </c>
      <c r="AF2678">
        <v>0</v>
      </c>
      <c r="AK2678">
        <v>0</v>
      </c>
      <c r="AL2678">
        <v>0</v>
      </c>
      <c r="AM2678">
        <v>0</v>
      </c>
      <c r="AN2678">
        <v>0</v>
      </c>
      <c r="BC2678">
        <v>0</v>
      </c>
      <c r="BD2678">
        <v>23</v>
      </c>
      <c r="BE2678">
        <v>385</v>
      </c>
      <c r="BF2678">
        <v>385</v>
      </c>
      <c r="BG2678">
        <v>540</v>
      </c>
      <c r="BJ2678">
        <v>1</v>
      </c>
      <c r="BL2678" t="s">
        <v>5558</v>
      </c>
      <c r="BM2678" s="4">
        <v>43283.30259259259</v>
      </c>
      <c r="BN2678" s="4">
        <v>43283.32640046296</v>
      </c>
      <c r="BO2678" s="4">
        <v>43283.32640046296</v>
      </c>
      <c r="BP2678" t="s">
        <v>92</v>
      </c>
      <c r="BQ2678" t="s">
        <v>93</v>
      </c>
      <c r="BR2678" t="s">
        <v>94</v>
      </c>
    </row>
    <row r="2679" spans="1:70" x14ac:dyDescent="0.3">
      <c r="A2679" t="str">
        <f>"201854C0200"</f>
        <v>201854C0200</v>
      </c>
      <c r="B2679" t="s">
        <v>5559</v>
      </c>
      <c r="C2679">
        <v>20</v>
      </c>
      <c r="D2679" t="s">
        <v>88</v>
      </c>
      <c r="E2679">
        <v>415</v>
      </c>
      <c r="F2679" t="s">
        <v>5537</v>
      </c>
      <c r="G2679">
        <v>1854</v>
      </c>
      <c r="H2679">
        <v>2</v>
      </c>
      <c r="I2679" t="s">
        <v>98</v>
      </c>
      <c r="J2679">
        <v>0</v>
      </c>
      <c r="K2679">
        <v>2</v>
      </c>
      <c r="L2679">
        <v>5</v>
      </c>
      <c r="M2679">
        <v>167</v>
      </c>
      <c r="N2679">
        <v>394</v>
      </c>
      <c r="O2679">
        <v>0</v>
      </c>
      <c r="P2679">
        <v>394</v>
      </c>
      <c r="Q2679">
        <v>1</v>
      </c>
      <c r="R2679">
        <v>91</v>
      </c>
      <c r="S2679">
        <v>114</v>
      </c>
      <c r="T2679">
        <v>112</v>
      </c>
      <c r="U2679">
        <v>5</v>
      </c>
      <c r="V2679">
        <v>0</v>
      </c>
      <c r="W2679">
        <v>7</v>
      </c>
      <c r="X2679">
        <v>2</v>
      </c>
      <c r="Y2679">
        <v>38</v>
      </c>
      <c r="Z2679">
        <v>1</v>
      </c>
      <c r="AC2679">
        <v>0</v>
      </c>
      <c r="AD2679">
        <v>1</v>
      </c>
      <c r="AE2679">
        <v>0</v>
      </c>
      <c r="AF2679">
        <v>1</v>
      </c>
      <c r="AK2679">
        <v>1</v>
      </c>
      <c r="AL2679">
        <v>1</v>
      </c>
      <c r="AM2679">
        <v>0</v>
      </c>
      <c r="AN2679">
        <v>0</v>
      </c>
      <c r="BC2679">
        <v>0</v>
      </c>
      <c r="BD2679">
        <v>19</v>
      </c>
      <c r="BE2679">
        <v>394</v>
      </c>
      <c r="BF2679">
        <v>394</v>
      </c>
      <c r="BG2679">
        <v>539</v>
      </c>
      <c r="BJ2679">
        <v>1</v>
      </c>
      <c r="BL2679" t="s">
        <v>5560</v>
      </c>
      <c r="BM2679" s="4">
        <v>43283.307222222225</v>
      </c>
      <c r="BN2679" s="4">
        <v>43283.330659722225</v>
      </c>
      <c r="BO2679" s="4">
        <v>43283.330659722225</v>
      </c>
      <c r="BP2679" t="s">
        <v>92</v>
      </c>
      <c r="BQ2679" t="s">
        <v>93</v>
      </c>
      <c r="BR2679" t="s">
        <v>94</v>
      </c>
    </row>
    <row r="2680" spans="1:70" x14ac:dyDescent="0.3">
      <c r="A2680" t="str">
        <f>"201855B0100"</f>
        <v>201855B0100</v>
      </c>
      <c r="B2680" t="s">
        <v>5561</v>
      </c>
      <c r="C2680">
        <v>20</v>
      </c>
      <c r="D2680" t="s">
        <v>88</v>
      </c>
      <c r="E2680">
        <v>415</v>
      </c>
      <c r="F2680" t="s">
        <v>5537</v>
      </c>
      <c r="G2680">
        <v>1855</v>
      </c>
      <c r="H2680">
        <v>1</v>
      </c>
      <c r="I2680" t="s">
        <v>90</v>
      </c>
      <c r="J2680">
        <v>0</v>
      </c>
      <c r="K2680">
        <v>2</v>
      </c>
      <c r="L2680">
        <v>5</v>
      </c>
      <c r="M2680">
        <v>201</v>
      </c>
      <c r="N2680">
        <v>357</v>
      </c>
      <c r="O2680">
        <v>0</v>
      </c>
      <c r="P2680">
        <v>357</v>
      </c>
      <c r="Q2680">
        <v>9</v>
      </c>
      <c r="R2680">
        <v>55</v>
      </c>
      <c r="S2680">
        <v>115</v>
      </c>
      <c r="T2680">
        <v>26</v>
      </c>
      <c r="U2680">
        <v>4</v>
      </c>
      <c r="V2680">
        <v>4</v>
      </c>
      <c r="W2680">
        <v>5</v>
      </c>
      <c r="X2680">
        <v>0</v>
      </c>
      <c r="Y2680">
        <v>109</v>
      </c>
      <c r="Z2680">
        <v>1</v>
      </c>
      <c r="AC2680">
        <v>1</v>
      </c>
      <c r="AD2680">
        <v>0</v>
      </c>
      <c r="AE2680">
        <v>0</v>
      </c>
      <c r="AF2680">
        <v>0</v>
      </c>
      <c r="AK2680">
        <v>2</v>
      </c>
      <c r="AL2680">
        <v>1</v>
      </c>
      <c r="AM2680">
        <v>0</v>
      </c>
      <c r="AN2680">
        <v>0</v>
      </c>
      <c r="BC2680">
        <v>0</v>
      </c>
      <c r="BD2680">
        <v>25</v>
      </c>
      <c r="BE2680">
        <v>357</v>
      </c>
      <c r="BF2680">
        <v>357</v>
      </c>
      <c r="BG2680">
        <v>536</v>
      </c>
      <c r="BJ2680">
        <v>1</v>
      </c>
      <c r="BL2680" t="s">
        <v>5562</v>
      </c>
      <c r="BM2680" s="4">
        <v>43283.205381944441</v>
      </c>
      <c r="BN2680" s="4">
        <v>43283.221041666664</v>
      </c>
      <c r="BO2680" s="4">
        <v>43283.221041666664</v>
      </c>
      <c r="BP2680" t="s">
        <v>339</v>
      </c>
      <c r="BQ2680" t="s">
        <v>340</v>
      </c>
      <c r="BR2680" t="s">
        <v>94</v>
      </c>
    </row>
    <row r="2681" spans="1:70" x14ac:dyDescent="0.3">
      <c r="A2681" t="str">
        <f>"201855C0100"</f>
        <v>201855C0100</v>
      </c>
      <c r="B2681" t="s">
        <v>5563</v>
      </c>
      <c r="C2681">
        <v>20</v>
      </c>
      <c r="D2681" t="s">
        <v>88</v>
      </c>
      <c r="E2681">
        <v>415</v>
      </c>
      <c r="F2681" t="s">
        <v>5537</v>
      </c>
      <c r="G2681">
        <v>1855</v>
      </c>
      <c r="H2681">
        <v>1</v>
      </c>
      <c r="I2681" t="s">
        <v>98</v>
      </c>
      <c r="J2681">
        <v>0</v>
      </c>
      <c r="K2681">
        <v>2</v>
      </c>
      <c r="L2681">
        <v>5</v>
      </c>
      <c r="M2681">
        <v>194</v>
      </c>
      <c r="N2681">
        <v>362</v>
      </c>
      <c r="O2681">
        <v>0</v>
      </c>
      <c r="P2681">
        <v>363</v>
      </c>
      <c r="Q2681">
        <v>4</v>
      </c>
      <c r="R2681">
        <v>49</v>
      </c>
      <c r="S2681">
        <v>133</v>
      </c>
      <c r="T2681">
        <v>43</v>
      </c>
      <c r="U2681">
        <v>8</v>
      </c>
      <c r="V2681">
        <v>8</v>
      </c>
      <c r="W2681">
        <v>5</v>
      </c>
      <c r="X2681">
        <v>5</v>
      </c>
      <c r="Y2681">
        <v>83</v>
      </c>
      <c r="Z2681">
        <v>0</v>
      </c>
      <c r="AC2681">
        <v>3</v>
      </c>
      <c r="AD2681">
        <v>2</v>
      </c>
      <c r="AE2681">
        <v>0</v>
      </c>
      <c r="AF2681">
        <v>0</v>
      </c>
      <c r="AK2681">
        <v>0</v>
      </c>
      <c r="AL2681">
        <v>0</v>
      </c>
      <c r="AM2681">
        <v>0</v>
      </c>
      <c r="AN2681">
        <v>0</v>
      </c>
      <c r="BC2681">
        <v>0</v>
      </c>
      <c r="BD2681">
        <v>20</v>
      </c>
      <c r="BE2681">
        <v>363</v>
      </c>
      <c r="BF2681">
        <v>363</v>
      </c>
      <c r="BG2681">
        <v>535</v>
      </c>
      <c r="BJ2681">
        <v>1</v>
      </c>
      <c r="BL2681" t="s">
        <v>5564</v>
      </c>
      <c r="BM2681" s="4">
        <v>43283.059444444443</v>
      </c>
      <c r="BN2681" s="4">
        <v>43283.062928240739</v>
      </c>
      <c r="BO2681" s="4">
        <v>43283.062928240739</v>
      </c>
      <c r="BP2681" t="s">
        <v>339</v>
      </c>
      <c r="BQ2681" t="s">
        <v>340</v>
      </c>
      <c r="BR2681" t="s">
        <v>94</v>
      </c>
    </row>
    <row r="2682" spans="1:70" x14ac:dyDescent="0.3">
      <c r="A2682" t="str">
        <f>"201855E0100"</f>
        <v>201855E0100</v>
      </c>
      <c r="B2682" s="2" t="s">
        <v>5565</v>
      </c>
      <c r="C2682">
        <v>20</v>
      </c>
      <c r="D2682" t="s">
        <v>88</v>
      </c>
      <c r="E2682">
        <v>415</v>
      </c>
      <c r="F2682" t="s">
        <v>5537</v>
      </c>
      <c r="G2682">
        <v>1855</v>
      </c>
      <c r="H2682">
        <v>1</v>
      </c>
      <c r="I2682" t="s">
        <v>156</v>
      </c>
      <c r="J2682">
        <v>0</v>
      </c>
      <c r="K2682">
        <v>2</v>
      </c>
      <c r="L2682">
        <v>5</v>
      </c>
      <c r="M2682">
        <v>73</v>
      </c>
      <c r="N2682">
        <v>148</v>
      </c>
      <c r="O2682">
        <v>10</v>
      </c>
      <c r="P2682">
        <v>148</v>
      </c>
      <c r="Q2682">
        <v>1</v>
      </c>
      <c r="R2682">
        <v>41</v>
      </c>
      <c r="S2682">
        <v>21</v>
      </c>
      <c r="T2682">
        <v>60</v>
      </c>
      <c r="U2682">
        <v>3</v>
      </c>
      <c r="V2682">
        <v>0</v>
      </c>
      <c r="W2682">
        <v>1</v>
      </c>
      <c r="X2682">
        <v>1</v>
      </c>
      <c r="Y2682">
        <v>6</v>
      </c>
      <c r="Z2682">
        <v>2</v>
      </c>
      <c r="AC2682">
        <v>0</v>
      </c>
      <c r="AD2682">
        <v>0</v>
      </c>
      <c r="AE2682">
        <v>0</v>
      </c>
      <c r="AF2682">
        <v>0</v>
      </c>
      <c r="AK2682">
        <v>0</v>
      </c>
      <c r="AL2682">
        <v>0</v>
      </c>
      <c r="AM2682">
        <v>0</v>
      </c>
      <c r="AN2682">
        <v>0</v>
      </c>
      <c r="BC2682">
        <v>0</v>
      </c>
      <c r="BD2682">
        <v>12</v>
      </c>
      <c r="BE2682">
        <v>148</v>
      </c>
      <c r="BF2682">
        <v>148</v>
      </c>
      <c r="BG2682">
        <v>199</v>
      </c>
      <c r="BJ2682">
        <v>1</v>
      </c>
      <c r="BL2682" t="s">
        <v>5566</v>
      </c>
      <c r="BM2682" s="4">
        <v>43283.314756944441</v>
      </c>
      <c r="BN2682" s="4">
        <v>43283.337314814817</v>
      </c>
      <c r="BO2682" s="4">
        <v>43283.337314814817</v>
      </c>
      <c r="BP2682" t="s">
        <v>92</v>
      </c>
      <c r="BQ2682" t="s">
        <v>93</v>
      </c>
      <c r="BR2682" t="s">
        <v>94</v>
      </c>
    </row>
    <row r="2683" spans="1:70" x14ac:dyDescent="0.3">
      <c r="A2683" t="str">
        <f>"201856B0100"</f>
        <v>201856B0100</v>
      </c>
      <c r="B2683" t="s">
        <v>5567</v>
      </c>
      <c r="C2683">
        <v>20</v>
      </c>
      <c r="D2683" t="s">
        <v>88</v>
      </c>
      <c r="E2683">
        <v>416</v>
      </c>
      <c r="F2683" t="s">
        <v>5568</v>
      </c>
      <c r="G2683">
        <v>1856</v>
      </c>
      <c r="H2683">
        <v>1</v>
      </c>
      <c r="I2683" t="s">
        <v>90</v>
      </c>
      <c r="J2683">
        <v>0</v>
      </c>
      <c r="K2683">
        <v>2</v>
      </c>
      <c r="L2683">
        <v>5</v>
      </c>
      <c r="M2683">
        <v>137</v>
      </c>
      <c r="N2683">
        <v>403</v>
      </c>
      <c r="O2683" t="s">
        <v>105</v>
      </c>
      <c r="P2683">
        <v>403</v>
      </c>
      <c r="Q2683">
        <v>4</v>
      </c>
      <c r="R2683">
        <v>91</v>
      </c>
      <c r="S2683">
        <v>124</v>
      </c>
      <c r="T2683">
        <v>4</v>
      </c>
      <c r="U2683">
        <v>1</v>
      </c>
      <c r="V2683" t="s">
        <v>105</v>
      </c>
      <c r="W2683">
        <v>126</v>
      </c>
      <c r="X2683">
        <v>1</v>
      </c>
      <c r="Y2683">
        <v>31</v>
      </c>
      <c r="Z2683">
        <v>2</v>
      </c>
      <c r="AC2683" t="s">
        <v>105</v>
      </c>
      <c r="AD2683">
        <v>1</v>
      </c>
      <c r="AE2683" t="s">
        <v>105</v>
      </c>
      <c r="AF2683" t="s">
        <v>105</v>
      </c>
      <c r="AG2683">
        <v>1</v>
      </c>
      <c r="AH2683">
        <v>1</v>
      </c>
      <c r="AI2683" t="s">
        <v>105</v>
      </c>
      <c r="AJ2683" t="s">
        <v>105</v>
      </c>
      <c r="AK2683">
        <v>1</v>
      </c>
      <c r="AL2683" t="s">
        <v>105</v>
      </c>
      <c r="AM2683" t="s">
        <v>105</v>
      </c>
      <c r="AN2683" t="s">
        <v>105</v>
      </c>
      <c r="BC2683">
        <v>1</v>
      </c>
      <c r="BD2683">
        <v>14</v>
      </c>
      <c r="BE2683">
        <v>403</v>
      </c>
      <c r="BF2683">
        <v>403</v>
      </c>
      <c r="BG2683">
        <v>518</v>
      </c>
      <c r="BI2683" t="s">
        <v>106</v>
      </c>
      <c r="BJ2683">
        <v>1</v>
      </c>
      <c r="BL2683" t="s">
        <v>5569</v>
      </c>
      <c r="BM2683" s="4">
        <v>43283.532939814817</v>
      </c>
      <c r="BN2683" s="4">
        <v>43283.54142361111</v>
      </c>
      <c r="BO2683" s="4">
        <v>43283.54142361111</v>
      </c>
      <c r="BP2683" t="s">
        <v>92</v>
      </c>
      <c r="BQ2683" t="s">
        <v>93</v>
      </c>
      <c r="BR2683" t="s">
        <v>94</v>
      </c>
    </row>
    <row r="2684" spans="1:70" x14ac:dyDescent="0.3">
      <c r="A2684" t="str">
        <f>"201856C0100"</f>
        <v>201856C0100</v>
      </c>
      <c r="B2684" t="s">
        <v>5570</v>
      </c>
      <c r="C2684">
        <v>20</v>
      </c>
      <c r="D2684" t="s">
        <v>88</v>
      </c>
      <c r="E2684">
        <v>416</v>
      </c>
      <c r="F2684" t="s">
        <v>5568</v>
      </c>
      <c r="G2684">
        <v>1856</v>
      </c>
      <c r="H2684">
        <v>1</v>
      </c>
      <c r="I2684" t="s">
        <v>98</v>
      </c>
      <c r="J2684">
        <v>0</v>
      </c>
      <c r="K2684">
        <v>2</v>
      </c>
      <c r="L2684">
        <v>5</v>
      </c>
      <c r="M2684">
        <v>131</v>
      </c>
      <c r="N2684">
        <v>409</v>
      </c>
      <c r="O2684">
        <v>2</v>
      </c>
      <c r="P2684" t="s">
        <v>105</v>
      </c>
      <c r="Q2684">
        <v>3</v>
      </c>
      <c r="R2684">
        <v>92</v>
      </c>
      <c r="S2684">
        <v>156</v>
      </c>
      <c r="T2684" t="s">
        <v>105</v>
      </c>
      <c r="U2684">
        <v>1</v>
      </c>
      <c r="V2684" t="s">
        <v>105</v>
      </c>
      <c r="W2684">
        <v>106</v>
      </c>
      <c r="X2684">
        <v>1</v>
      </c>
      <c r="Y2684">
        <v>28</v>
      </c>
      <c r="Z2684">
        <v>1</v>
      </c>
      <c r="AC2684">
        <v>1</v>
      </c>
      <c r="AD2684">
        <v>2</v>
      </c>
      <c r="AE2684">
        <v>1</v>
      </c>
      <c r="AF2684" t="s">
        <v>105</v>
      </c>
      <c r="AG2684" t="s">
        <v>105</v>
      </c>
      <c r="AH2684">
        <v>1</v>
      </c>
      <c r="AI2684" t="s">
        <v>105</v>
      </c>
      <c r="AJ2684" t="s">
        <v>105</v>
      </c>
      <c r="AK2684">
        <v>2</v>
      </c>
      <c r="AL2684" t="s">
        <v>105</v>
      </c>
      <c r="AM2684" t="s">
        <v>105</v>
      </c>
      <c r="AN2684" t="s">
        <v>105</v>
      </c>
      <c r="BC2684" t="s">
        <v>105</v>
      </c>
      <c r="BD2684">
        <v>14</v>
      </c>
      <c r="BE2684">
        <v>409</v>
      </c>
      <c r="BF2684">
        <v>409</v>
      </c>
      <c r="BG2684">
        <v>518</v>
      </c>
      <c r="BI2684" t="s">
        <v>106</v>
      </c>
      <c r="BJ2684">
        <v>1</v>
      </c>
      <c r="BL2684" t="s">
        <v>5571</v>
      </c>
      <c r="BM2684" s="4">
        <v>43283.537233796298</v>
      </c>
      <c r="BN2684" s="4">
        <v>43283.540543981479</v>
      </c>
      <c r="BO2684" s="4">
        <v>43283.540543981479</v>
      </c>
      <c r="BP2684" t="s">
        <v>92</v>
      </c>
      <c r="BQ2684" t="s">
        <v>93</v>
      </c>
      <c r="BR2684" t="s">
        <v>94</v>
      </c>
    </row>
    <row r="2685" spans="1:70" x14ac:dyDescent="0.3">
      <c r="A2685" t="str">
        <f>"201856C0200"</f>
        <v>201856C0200</v>
      </c>
      <c r="B2685" t="s">
        <v>5572</v>
      </c>
      <c r="C2685">
        <v>20</v>
      </c>
      <c r="D2685" t="s">
        <v>88</v>
      </c>
      <c r="E2685">
        <v>416</v>
      </c>
      <c r="F2685" t="s">
        <v>5568</v>
      </c>
      <c r="G2685">
        <v>1856</v>
      </c>
      <c r="H2685">
        <v>2</v>
      </c>
      <c r="I2685" t="s">
        <v>98</v>
      </c>
      <c r="J2685">
        <v>0</v>
      </c>
      <c r="K2685">
        <v>2</v>
      </c>
      <c r="L2685">
        <v>5</v>
      </c>
      <c r="M2685">
        <v>124</v>
      </c>
      <c r="N2685">
        <v>416</v>
      </c>
      <c r="O2685">
        <v>0</v>
      </c>
      <c r="P2685">
        <v>414</v>
      </c>
      <c r="Q2685">
        <v>3</v>
      </c>
      <c r="R2685">
        <v>99</v>
      </c>
      <c r="S2685">
        <v>146</v>
      </c>
      <c r="T2685">
        <v>0</v>
      </c>
      <c r="U2685">
        <v>0</v>
      </c>
      <c r="V2685">
        <v>0</v>
      </c>
      <c r="W2685">
        <v>108</v>
      </c>
      <c r="X2685">
        <v>1</v>
      </c>
      <c r="Y2685">
        <v>36</v>
      </c>
      <c r="Z2685">
        <v>0</v>
      </c>
      <c r="AC2685">
        <v>0</v>
      </c>
      <c r="AD2685">
        <v>0</v>
      </c>
      <c r="AE2685">
        <v>0</v>
      </c>
      <c r="AF2685">
        <v>0</v>
      </c>
      <c r="AG2685">
        <v>1</v>
      </c>
      <c r="AH2685">
        <v>0</v>
      </c>
      <c r="AI2685">
        <v>0</v>
      </c>
      <c r="AJ2685">
        <v>0</v>
      </c>
      <c r="AK2685">
        <v>1</v>
      </c>
      <c r="AL2685">
        <v>0</v>
      </c>
      <c r="AM2685">
        <v>0</v>
      </c>
      <c r="AN2685">
        <v>0</v>
      </c>
      <c r="BC2685">
        <v>0</v>
      </c>
      <c r="BD2685">
        <v>19</v>
      </c>
      <c r="BE2685">
        <v>414</v>
      </c>
      <c r="BF2685">
        <v>414</v>
      </c>
      <c r="BG2685">
        <v>517</v>
      </c>
      <c r="BJ2685">
        <v>1</v>
      </c>
      <c r="BL2685" t="s">
        <v>5573</v>
      </c>
      <c r="BM2685" s="4">
        <v>43283.531180555554</v>
      </c>
      <c r="BN2685" s="4">
        <v>43283.535856481481</v>
      </c>
      <c r="BO2685" s="4">
        <v>43283.535856481481</v>
      </c>
      <c r="BP2685" t="s">
        <v>92</v>
      </c>
      <c r="BQ2685" t="s">
        <v>93</v>
      </c>
      <c r="BR2685" t="s">
        <v>94</v>
      </c>
    </row>
    <row r="2686" spans="1:70" x14ac:dyDescent="0.3">
      <c r="A2686" t="str">
        <f>"201857B0100"</f>
        <v>201857B0100</v>
      </c>
      <c r="B2686" t="s">
        <v>5574</v>
      </c>
      <c r="C2686">
        <v>20</v>
      </c>
      <c r="D2686" t="s">
        <v>88</v>
      </c>
      <c r="E2686">
        <v>416</v>
      </c>
      <c r="F2686" t="s">
        <v>5568</v>
      </c>
      <c r="G2686">
        <v>1857</v>
      </c>
      <c r="H2686">
        <v>1</v>
      </c>
      <c r="I2686" t="s">
        <v>90</v>
      </c>
      <c r="J2686">
        <v>0</v>
      </c>
      <c r="K2686">
        <v>2</v>
      </c>
      <c r="L2686">
        <v>5</v>
      </c>
      <c r="M2686">
        <v>136</v>
      </c>
      <c r="N2686">
        <v>284</v>
      </c>
      <c r="O2686">
        <v>2</v>
      </c>
      <c r="P2686">
        <v>284</v>
      </c>
      <c r="Q2686" t="s">
        <v>105</v>
      </c>
      <c r="R2686">
        <v>34</v>
      </c>
      <c r="S2686">
        <v>108</v>
      </c>
      <c r="T2686">
        <v>3</v>
      </c>
      <c r="U2686">
        <v>4</v>
      </c>
      <c r="V2686">
        <v>1</v>
      </c>
      <c r="W2686">
        <v>37</v>
      </c>
      <c r="X2686" t="s">
        <v>105</v>
      </c>
      <c r="Y2686">
        <v>72</v>
      </c>
      <c r="Z2686">
        <v>3</v>
      </c>
      <c r="AC2686">
        <v>1</v>
      </c>
      <c r="AD2686">
        <v>1</v>
      </c>
      <c r="AE2686" t="s">
        <v>105</v>
      </c>
      <c r="AF2686" t="s">
        <v>105</v>
      </c>
      <c r="AG2686" t="s">
        <v>105</v>
      </c>
      <c r="AH2686">
        <v>1</v>
      </c>
      <c r="AI2686" t="s">
        <v>105</v>
      </c>
      <c r="AJ2686" t="s">
        <v>105</v>
      </c>
      <c r="AK2686">
        <v>3</v>
      </c>
      <c r="AL2686">
        <v>1</v>
      </c>
      <c r="AM2686">
        <v>1</v>
      </c>
      <c r="AN2686">
        <v>1</v>
      </c>
      <c r="BC2686" t="s">
        <v>105</v>
      </c>
      <c r="BD2686">
        <v>14</v>
      </c>
      <c r="BE2686" t="s">
        <v>105</v>
      </c>
      <c r="BF2686">
        <v>285</v>
      </c>
      <c r="BG2686">
        <v>421</v>
      </c>
      <c r="BI2686" t="s">
        <v>106</v>
      </c>
      <c r="BJ2686">
        <v>1</v>
      </c>
      <c r="BL2686" t="s">
        <v>5575</v>
      </c>
      <c r="BM2686" s="4">
        <v>43283.569421296299</v>
      </c>
      <c r="BN2686" s="4">
        <v>43283.576053240744</v>
      </c>
      <c r="BO2686" s="4">
        <v>43283.576053240744</v>
      </c>
      <c r="BP2686" t="s">
        <v>92</v>
      </c>
      <c r="BQ2686" t="s">
        <v>93</v>
      </c>
      <c r="BR2686" t="s">
        <v>94</v>
      </c>
    </row>
    <row r="2687" spans="1:70" x14ac:dyDescent="0.3">
      <c r="A2687" t="str">
        <f>"201857C0100"</f>
        <v>201857C0100</v>
      </c>
      <c r="B2687" t="s">
        <v>5576</v>
      </c>
      <c r="C2687">
        <v>20</v>
      </c>
      <c r="D2687" t="s">
        <v>88</v>
      </c>
      <c r="E2687">
        <v>416</v>
      </c>
      <c r="F2687" t="s">
        <v>5568</v>
      </c>
      <c r="G2687">
        <v>1857</v>
      </c>
      <c r="H2687">
        <v>1</v>
      </c>
      <c r="I2687" t="s">
        <v>98</v>
      </c>
      <c r="J2687">
        <v>0</v>
      </c>
      <c r="K2687">
        <v>2</v>
      </c>
      <c r="L2687">
        <v>5</v>
      </c>
      <c r="M2687">
        <v>158</v>
      </c>
      <c r="N2687">
        <v>284</v>
      </c>
      <c r="O2687">
        <v>0</v>
      </c>
      <c r="P2687">
        <v>284</v>
      </c>
      <c r="Q2687">
        <v>1</v>
      </c>
      <c r="R2687">
        <v>40</v>
      </c>
      <c r="S2687">
        <v>103</v>
      </c>
      <c r="T2687">
        <v>4</v>
      </c>
      <c r="U2687">
        <v>3</v>
      </c>
      <c r="V2687">
        <v>3</v>
      </c>
      <c r="W2687">
        <v>30</v>
      </c>
      <c r="X2687">
        <v>1</v>
      </c>
      <c r="Y2687">
        <v>78</v>
      </c>
      <c r="Z2687">
        <v>8</v>
      </c>
      <c r="AC2687" t="s">
        <v>105</v>
      </c>
      <c r="AD2687" t="s">
        <v>105</v>
      </c>
      <c r="AE2687" t="s">
        <v>105</v>
      </c>
      <c r="AF2687" t="s">
        <v>105</v>
      </c>
      <c r="AG2687" t="s">
        <v>105</v>
      </c>
      <c r="AH2687">
        <v>1</v>
      </c>
      <c r="AI2687" t="s">
        <v>105</v>
      </c>
      <c r="AJ2687" t="s">
        <v>105</v>
      </c>
      <c r="AK2687" t="s">
        <v>105</v>
      </c>
      <c r="AL2687">
        <v>1</v>
      </c>
      <c r="AM2687" t="s">
        <v>105</v>
      </c>
      <c r="AN2687" t="s">
        <v>105</v>
      </c>
      <c r="BC2687" t="s">
        <v>105</v>
      </c>
      <c r="BD2687">
        <v>11</v>
      </c>
      <c r="BE2687">
        <v>284</v>
      </c>
      <c r="BF2687">
        <v>284</v>
      </c>
      <c r="BG2687">
        <v>420</v>
      </c>
      <c r="BI2687" t="s">
        <v>106</v>
      </c>
      <c r="BJ2687">
        <v>1</v>
      </c>
      <c r="BL2687" t="s">
        <v>5577</v>
      </c>
      <c r="BM2687" s="4">
        <v>43283.538668981484</v>
      </c>
      <c r="BN2687" s="4">
        <v>43283.541863425926</v>
      </c>
      <c r="BO2687" s="4">
        <v>43283.541863425926</v>
      </c>
      <c r="BP2687" t="s">
        <v>92</v>
      </c>
      <c r="BQ2687" t="s">
        <v>93</v>
      </c>
      <c r="BR2687" t="s">
        <v>94</v>
      </c>
    </row>
    <row r="2688" spans="1:70" x14ac:dyDescent="0.3">
      <c r="A2688" t="str">
        <f>"201857E0100"</f>
        <v>201857E0100</v>
      </c>
      <c r="B2688" s="2" t="s">
        <v>5578</v>
      </c>
      <c r="C2688">
        <v>20</v>
      </c>
      <c r="D2688" t="s">
        <v>88</v>
      </c>
      <c r="E2688">
        <v>416</v>
      </c>
      <c r="F2688" t="s">
        <v>5568</v>
      </c>
      <c r="G2688">
        <v>1857</v>
      </c>
      <c r="H2688">
        <v>1</v>
      </c>
      <c r="I2688" t="s">
        <v>156</v>
      </c>
      <c r="J2688">
        <v>0</v>
      </c>
      <c r="K2688">
        <v>2</v>
      </c>
      <c r="L2688">
        <v>5</v>
      </c>
      <c r="M2688">
        <v>37</v>
      </c>
      <c r="N2688">
        <v>79</v>
      </c>
      <c r="O2688">
        <v>7</v>
      </c>
      <c r="P2688">
        <v>79</v>
      </c>
      <c r="Q2688">
        <v>0</v>
      </c>
      <c r="R2688">
        <v>24</v>
      </c>
      <c r="S2688">
        <v>31</v>
      </c>
      <c r="T2688">
        <v>0</v>
      </c>
      <c r="U2688">
        <v>0</v>
      </c>
      <c r="V2688">
        <v>0</v>
      </c>
      <c r="W2688">
        <v>12</v>
      </c>
      <c r="X2688">
        <v>0</v>
      </c>
      <c r="Y2688">
        <v>2</v>
      </c>
      <c r="Z2688">
        <v>0</v>
      </c>
      <c r="AC2688">
        <v>0</v>
      </c>
      <c r="AD2688">
        <v>1</v>
      </c>
      <c r="AE2688">
        <v>0</v>
      </c>
      <c r="AF2688">
        <v>0</v>
      </c>
      <c r="AG2688">
        <v>2</v>
      </c>
      <c r="AH2688">
        <v>1</v>
      </c>
      <c r="AI2688">
        <v>0</v>
      </c>
      <c r="AJ2688">
        <v>0</v>
      </c>
      <c r="AK2688">
        <v>0</v>
      </c>
      <c r="AL2688">
        <v>0</v>
      </c>
      <c r="AM2688">
        <v>0</v>
      </c>
      <c r="AN2688">
        <v>0</v>
      </c>
      <c r="BC2688">
        <v>0</v>
      </c>
      <c r="BD2688">
        <v>6</v>
      </c>
      <c r="BE2688">
        <v>79</v>
      </c>
      <c r="BF2688">
        <v>79</v>
      </c>
      <c r="BG2688">
        <v>94</v>
      </c>
      <c r="BJ2688">
        <v>1</v>
      </c>
      <c r="BL2688" t="s">
        <v>5579</v>
      </c>
      <c r="BM2688" s="4">
        <v>43283.534432870372</v>
      </c>
      <c r="BN2688" s="4">
        <v>43283.537349537037</v>
      </c>
      <c r="BO2688" s="4">
        <v>43283.537349537037</v>
      </c>
      <c r="BP2688" t="s">
        <v>92</v>
      </c>
      <c r="BQ2688" t="s">
        <v>93</v>
      </c>
      <c r="BR2688" t="s">
        <v>94</v>
      </c>
    </row>
    <row r="2689" spans="1:70" x14ac:dyDescent="0.3">
      <c r="A2689" t="str">
        <f>"201858B0100"</f>
        <v>201858B0100</v>
      </c>
      <c r="B2689" t="s">
        <v>5580</v>
      </c>
      <c r="C2689">
        <v>20</v>
      </c>
      <c r="D2689" t="s">
        <v>88</v>
      </c>
      <c r="E2689">
        <v>416</v>
      </c>
      <c r="F2689" t="s">
        <v>5568</v>
      </c>
      <c r="G2689">
        <v>1858</v>
      </c>
      <c r="H2689">
        <v>1</v>
      </c>
      <c r="I2689" t="s">
        <v>90</v>
      </c>
      <c r="J2689">
        <v>0</v>
      </c>
      <c r="K2689">
        <v>2</v>
      </c>
      <c r="L2689">
        <v>5</v>
      </c>
      <c r="M2689">
        <v>185</v>
      </c>
      <c r="N2689">
        <v>346</v>
      </c>
      <c r="O2689">
        <v>0</v>
      </c>
      <c r="P2689">
        <v>346</v>
      </c>
      <c r="Q2689">
        <v>1</v>
      </c>
      <c r="R2689">
        <v>74</v>
      </c>
      <c r="S2689">
        <v>146</v>
      </c>
      <c r="T2689">
        <v>0</v>
      </c>
      <c r="U2689">
        <v>4</v>
      </c>
      <c r="V2689">
        <v>3</v>
      </c>
      <c r="W2689">
        <v>43</v>
      </c>
      <c r="X2689">
        <v>1</v>
      </c>
      <c r="Y2689">
        <v>51</v>
      </c>
      <c r="Z2689">
        <v>0</v>
      </c>
      <c r="AC2689">
        <v>3</v>
      </c>
      <c r="AD2689">
        <v>3</v>
      </c>
      <c r="AE2689">
        <v>1</v>
      </c>
      <c r="AF2689">
        <v>1</v>
      </c>
      <c r="AG2689">
        <v>1</v>
      </c>
      <c r="AH2689">
        <v>0</v>
      </c>
      <c r="AI2689">
        <v>1</v>
      </c>
      <c r="AJ2689">
        <v>0</v>
      </c>
      <c r="AK2689">
        <v>0</v>
      </c>
      <c r="AL2689">
        <v>1</v>
      </c>
      <c r="AM2689">
        <v>0</v>
      </c>
      <c r="AN2689">
        <v>0</v>
      </c>
      <c r="BC2689">
        <v>0</v>
      </c>
      <c r="BD2689">
        <v>13</v>
      </c>
      <c r="BE2689">
        <v>346</v>
      </c>
      <c r="BF2689">
        <v>347</v>
      </c>
      <c r="BG2689">
        <v>509</v>
      </c>
      <c r="BJ2689">
        <v>1</v>
      </c>
      <c r="BL2689" t="s">
        <v>5581</v>
      </c>
      <c r="BM2689" s="4">
        <v>43283.536087962966</v>
      </c>
      <c r="BN2689" s="4">
        <v>43283.541516203702</v>
      </c>
      <c r="BO2689" s="4">
        <v>43283.541516203702</v>
      </c>
      <c r="BP2689" t="s">
        <v>92</v>
      </c>
      <c r="BQ2689" t="s">
        <v>93</v>
      </c>
      <c r="BR2689" t="s">
        <v>94</v>
      </c>
    </row>
    <row r="2690" spans="1:70" x14ac:dyDescent="0.3">
      <c r="A2690" t="str">
        <f>"201858C0100"</f>
        <v>201858C0100</v>
      </c>
      <c r="B2690" t="s">
        <v>5582</v>
      </c>
      <c r="C2690">
        <v>20</v>
      </c>
      <c r="D2690" t="s">
        <v>88</v>
      </c>
      <c r="E2690">
        <v>416</v>
      </c>
      <c r="F2690" t="s">
        <v>5568</v>
      </c>
      <c r="G2690">
        <v>1858</v>
      </c>
      <c r="H2690">
        <v>1</v>
      </c>
      <c r="I2690" t="s">
        <v>98</v>
      </c>
      <c r="J2690">
        <v>0</v>
      </c>
      <c r="K2690">
        <v>2</v>
      </c>
      <c r="L2690">
        <v>5</v>
      </c>
      <c r="M2690">
        <v>173</v>
      </c>
      <c r="N2690">
        <v>357</v>
      </c>
      <c r="O2690">
        <v>8</v>
      </c>
      <c r="P2690">
        <v>357</v>
      </c>
      <c r="Q2690">
        <v>2</v>
      </c>
      <c r="R2690">
        <v>89</v>
      </c>
      <c r="S2690">
        <v>132</v>
      </c>
      <c r="T2690">
        <v>4</v>
      </c>
      <c r="U2690">
        <v>6</v>
      </c>
      <c r="V2690">
        <v>1</v>
      </c>
      <c r="W2690">
        <v>47</v>
      </c>
      <c r="X2690">
        <v>0</v>
      </c>
      <c r="Y2690">
        <v>50</v>
      </c>
      <c r="Z2690">
        <v>3</v>
      </c>
      <c r="AC2690">
        <v>1</v>
      </c>
      <c r="AD2690">
        <v>1</v>
      </c>
      <c r="AE2690">
        <v>0</v>
      </c>
      <c r="AF2690">
        <v>1</v>
      </c>
      <c r="AG2690">
        <v>1</v>
      </c>
      <c r="AH2690">
        <v>2</v>
      </c>
      <c r="AI2690">
        <v>0</v>
      </c>
      <c r="AJ2690">
        <v>0</v>
      </c>
      <c r="AK2690">
        <v>0</v>
      </c>
      <c r="AL2690">
        <v>0</v>
      </c>
      <c r="AM2690">
        <v>0</v>
      </c>
      <c r="AN2690">
        <v>1</v>
      </c>
      <c r="BC2690">
        <v>0</v>
      </c>
      <c r="BD2690">
        <v>16</v>
      </c>
      <c r="BE2690">
        <v>357</v>
      </c>
      <c r="BF2690">
        <v>357</v>
      </c>
      <c r="BG2690">
        <v>508</v>
      </c>
      <c r="BJ2690">
        <v>1</v>
      </c>
      <c r="BL2690" t="s">
        <v>5583</v>
      </c>
      <c r="BM2690" s="4">
        <v>43283.540451388886</v>
      </c>
      <c r="BN2690" s="4">
        <v>43283.547893518517</v>
      </c>
      <c r="BO2690" s="4">
        <v>43283.547893518517</v>
      </c>
      <c r="BP2690" t="s">
        <v>92</v>
      </c>
      <c r="BQ2690" t="s">
        <v>93</v>
      </c>
      <c r="BR2690" t="s">
        <v>94</v>
      </c>
    </row>
    <row r="2691" spans="1:70" x14ac:dyDescent="0.3">
      <c r="A2691" t="str">
        <f>"201860B0100"</f>
        <v>201860B0100</v>
      </c>
      <c r="B2691" t="s">
        <v>5584</v>
      </c>
      <c r="C2691">
        <v>20</v>
      </c>
      <c r="D2691" t="s">
        <v>88</v>
      </c>
      <c r="E2691">
        <v>418</v>
      </c>
      <c r="F2691" t="s">
        <v>5585</v>
      </c>
      <c r="G2691">
        <v>1860</v>
      </c>
      <c r="H2691">
        <v>1</v>
      </c>
      <c r="I2691" t="s">
        <v>90</v>
      </c>
      <c r="J2691">
        <v>0</v>
      </c>
      <c r="K2691">
        <v>2</v>
      </c>
      <c r="L2691">
        <v>5</v>
      </c>
      <c r="M2691">
        <v>122</v>
      </c>
      <c r="N2691">
        <v>547</v>
      </c>
      <c r="O2691">
        <v>2</v>
      </c>
      <c r="P2691">
        <v>547</v>
      </c>
      <c r="Q2691">
        <v>10</v>
      </c>
      <c r="R2691">
        <v>129</v>
      </c>
      <c r="S2691">
        <v>132</v>
      </c>
      <c r="U2691">
        <v>0</v>
      </c>
      <c r="V2691">
        <v>11</v>
      </c>
      <c r="W2691">
        <v>0</v>
      </c>
      <c r="X2691">
        <v>0</v>
      </c>
      <c r="Y2691">
        <v>0</v>
      </c>
      <c r="Z2691">
        <v>0</v>
      </c>
      <c r="AB2691">
        <v>209</v>
      </c>
      <c r="AC2691">
        <v>4</v>
      </c>
      <c r="AD2691">
        <v>1</v>
      </c>
      <c r="AE2691">
        <v>0</v>
      </c>
      <c r="AF2691">
        <v>2</v>
      </c>
      <c r="AK2691">
        <v>0</v>
      </c>
      <c r="AL2691">
        <v>0</v>
      </c>
      <c r="AM2691">
        <v>0</v>
      </c>
      <c r="AN2691">
        <v>0</v>
      </c>
      <c r="BC2691">
        <v>1</v>
      </c>
      <c r="BD2691">
        <v>48</v>
      </c>
      <c r="BE2691">
        <v>547</v>
      </c>
      <c r="BF2691">
        <v>547</v>
      </c>
      <c r="BG2691">
        <v>647</v>
      </c>
      <c r="BJ2691">
        <v>1</v>
      </c>
      <c r="BL2691" t="s">
        <v>5586</v>
      </c>
      <c r="BM2691" s="4">
        <v>43283.219386574077</v>
      </c>
      <c r="BN2691" s="4">
        <v>43283.241493055553</v>
      </c>
      <c r="BO2691" s="4">
        <v>43283.241493055553</v>
      </c>
      <c r="BP2691" t="s">
        <v>92</v>
      </c>
      <c r="BQ2691" t="s">
        <v>93</v>
      </c>
      <c r="BR2691" t="s">
        <v>94</v>
      </c>
    </row>
    <row r="2692" spans="1:70" x14ac:dyDescent="0.3">
      <c r="A2692" t="str">
        <f>"201860C0100"</f>
        <v>201860C0100</v>
      </c>
      <c r="B2692" t="s">
        <v>5587</v>
      </c>
      <c r="C2692">
        <v>20</v>
      </c>
      <c r="D2692" t="s">
        <v>88</v>
      </c>
      <c r="E2692">
        <v>418</v>
      </c>
      <c r="F2692" t="s">
        <v>5585</v>
      </c>
      <c r="G2692">
        <v>1860</v>
      </c>
      <c r="H2692">
        <v>1</v>
      </c>
      <c r="I2692" t="s">
        <v>98</v>
      </c>
      <c r="J2692">
        <v>0</v>
      </c>
      <c r="K2692">
        <v>2</v>
      </c>
      <c r="L2692">
        <v>5</v>
      </c>
      <c r="M2692">
        <v>150</v>
      </c>
      <c r="N2692">
        <v>519</v>
      </c>
      <c r="O2692">
        <v>0</v>
      </c>
      <c r="P2692">
        <v>519</v>
      </c>
      <c r="Q2692">
        <v>12</v>
      </c>
      <c r="R2692">
        <v>109</v>
      </c>
      <c r="S2692">
        <v>137</v>
      </c>
      <c r="U2692">
        <v>4</v>
      </c>
      <c r="V2692">
        <v>14</v>
      </c>
      <c r="W2692">
        <v>1</v>
      </c>
      <c r="X2692">
        <v>0</v>
      </c>
      <c r="Y2692">
        <v>9</v>
      </c>
      <c r="Z2692">
        <v>5</v>
      </c>
      <c r="AB2692">
        <v>192</v>
      </c>
      <c r="AC2692">
        <v>4</v>
      </c>
      <c r="AD2692">
        <v>1</v>
      </c>
      <c r="AE2692">
        <v>0</v>
      </c>
      <c r="AF2692">
        <v>0</v>
      </c>
      <c r="AK2692">
        <v>0</v>
      </c>
      <c r="AL2692">
        <v>0</v>
      </c>
      <c r="AM2692">
        <v>0</v>
      </c>
      <c r="AN2692">
        <v>0</v>
      </c>
      <c r="BC2692">
        <v>0</v>
      </c>
      <c r="BD2692">
        <v>31</v>
      </c>
      <c r="BE2692">
        <v>519</v>
      </c>
      <c r="BF2692">
        <v>519</v>
      </c>
      <c r="BG2692">
        <v>647</v>
      </c>
      <c r="BJ2692">
        <v>1</v>
      </c>
      <c r="BL2692" t="s">
        <v>5588</v>
      </c>
      <c r="BM2692" s="4">
        <v>43283.216168981482</v>
      </c>
      <c r="BN2692" s="4">
        <v>43283.237210648149</v>
      </c>
      <c r="BO2692" s="4">
        <v>43283.237210648149</v>
      </c>
      <c r="BP2692" t="s">
        <v>92</v>
      </c>
      <c r="BQ2692" t="s">
        <v>93</v>
      </c>
      <c r="BR2692" t="s">
        <v>94</v>
      </c>
    </row>
    <row r="2693" spans="1:70" x14ac:dyDescent="0.3">
      <c r="A2693" t="str">
        <f>"201860C0200"</f>
        <v>201860C0200</v>
      </c>
      <c r="B2693" t="s">
        <v>5589</v>
      </c>
      <c r="C2693">
        <v>20</v>
      </c>
      <c r="D2693" t="s">
        <v>88</v>
      </c>
      <c r="E2693">
        <v>418</v>
      </c>
      <c r="F2693" t="s">
        <v>5585</v>
      </c>
      <c r="G2693">
        <v>1860</v>
      </c>
      <c r="H2693">
        <v>2</v>
      </c>
      <c r="I2693" t="s">
        <v>98</v>
      </c>
      <c r="J2693">
        <v>0</v>
      </c>
      <c r="K2693">
        <v>2</v>
      </c>
      <c r="L2693">
        <v>5</v>
      </c>
      <c r="M2693">
        <v>129</v>
      </c>
      <c r="N2693">
        <v>539</v>
      </c>
      <c r="O2693">
        <v>0</v>
      </c>
      <c r="P2693">
        <v>539</v>
      </c>
      <c r="Q2693">
        <v>12</v>
      </c>
      <c r="R2693">
        <v>111</v>
      </c>
      <c r="S2693">
        <v>171</v>
      </c>
      <c r="U2693">
        <v>1</v>
      </c>
      <c r="V2693">
        <v>7</v>
      </c>
      <c r="W2693">
        <v>0</v>
      </c>
      <c r="X2693">
        <v>0</v>
      </c>
      <c r="Y2693">
        <v>6</v>
      </c>
      <c r="Z2693">
        <v>4</v>
      </c>
      <c r="AB2693">
        <v>180</v>
      </c>
      <c r="AC2693">
        <v>4</v>
      </c>
      <c r="AD2693">
        <v>7</v>
      </c>
      <c r="AE2693">
        <v>0</v>
      </c>
      <c r="AF2693">
        <v>0</v>
      </c>
      <c r="AK2693">
        <v>0</v>
      </c>
      <c r="AL2693">
        <v>0</v>
      </c>
      <c r="AM2693">
        <v>1</v>
      </c>
      <c r="AN2693">
        <v>0</v>
      </c>
      <c r="BC2693">
        <v>0</v>
      </c>
      <c r="BD2693">
        <v>35</v>
      </c>
      <c r="BE2693">
        <v>539</v>
      </c>
      <c r="BF2693">
        <v>539</v>
      </c>
      <c r="BG2693">
        <v>646</v>
      </c>
      <c r="BJ2693">
        <v>1</v>
      </c>
      <c r="BL2693" t="s">
        <v>5590</v>
      </c>
      <c r="BM2693" s="4">
        <v>43283.217395833337</v>
      </c>
      <c r="BN2693" s="4">
        <v>43283.237708333334</v>
      </c>
      <c r="BO2693" s="4">
        <v>43283.237708333334</v>
      </c>
      <c r="BP2693" t="s">
        <v>92</v>
      </c>
      <c r="BQ2693" t="s">
        <v>93</v>
      </c>
      <c r="BR2693" t="s">
        <v>94</v>
      </c>
    </row>
    <row r="2694" spans="1:70" x14ac:dyDescent="0.3">
      <c r="A2694" t="str">
        <f>"201860E0100"</f>
        <v>201860E0100</v>
      </c>
      <c r="B2694" s="2" t="s">
        <v>5591</v>
      </c>
      <c r="C2694">
        <v>20</v>
      </c>
      <c r="D2694" t="s">
        <v>88</v>
      </c>
      <c r="E2694">
        <v>418</v>
      </c>
      <c r="F2694" t="s">
        <v>5585</v>
      </c>
      <c r="G2694">
        <v>1860</v>
      </c>
      <c r="H2694">
        <v>1</v>
      </c>
      <c r="I2694" t="s">
        <v>156</v>
      </c>
      <c r="J2694">
        <v>0</v>
      </c>
      <c r="K2694">
        <v>2</v>
      </c>
      <c r="L2694">
        <v>5</v>
      </c>
      <c r="M2694">
        <v>148</v>
      </c>
      <c r="N2694">
        <v>560</v>
      </c>
      <c r="O2694">
        <v>0</v>
      </c>
      <c r="P2694">
        <v>560</v>
      </c>
      <c r="Q2694">
        <v>10</v>
      </c>
      <c r="R2694">
        <v>146</v>
      </c>
      <c r="S2694">
        <v>217</v>
      </c>
      <c r="U2694">
        <v>3</v>
      </c>
      <c r="V2694">
        <v>1</v>
      </c>
      <c r="W2694">
        <v>0</v>
      </c>
      <c r="X2694">
        <v>1</v>
      </c>
      <c r="Y2694">
        <v>21</v>
      </c>
      <c r="Z2694">
        <v>1</v>
      </c>
      <c r="AB2694">
        <v>114</v>
      </c>
      <c r="AC2694">
        <v>6</v>
      </c>
      <c r="AD2694">
        <v>0</v>
      </c>
      <c r="AE2694">
        <v>0</v>
      </c>
      <c r="AF2694">
        <v>0</v>
      </c>
      <c r="AK2694">
        <v>1</v>
      </c>
      <c r="AL2694">
        <v>0</v>
      </c>
      <c r="AM2694">
        <v>0</v>
      </c>
      <c r="AN2694">
        <v>0</v>
      </c>
      <c r="BC2694">
        <v>0</v>
      </c>
      <c r="BD2694">
        <v>39</v>
      </c>
      <c r="BE2694">
        <v>560</v>
      </c>
      <c r="BF2694">
        <v>560</v>
      </c>
      <c r="BG2694">
        <v>686</v>
      </c>
      <c r="BJ2694">
        <v>1</v>
      </c>
      <c r="BL2694" t="s">
        <v>5592</v>
      </c>
      <c r="BM2694" s="4">
        <v>43283.223912037036</v>
      </c>
      <c r="BN2694" s="4">
        <v>43283.248611111114</v>
      </c>
      <c r="BO2694" s="4">
        <v>43283.248611111114</v>
      </c>
      <c r="BP2694" t="s">
        <v>92</v>
      </c>
      <c r="BQ2694" t="s">
        <v>93</v>
      </c>
      <c r="BR2694" t="s">
        <v>94</v>
      </c>
    </row>
    <row r="2695" spans="1:70" x14ac:dyDescent="0.3">
      <c r="A2695" t="str">
        <f>"201861B0100"</f>
        <v>201861B0100</v>
      </c>
      <c r="B2695" t="s">
        <v>5593</v>
      </c>
      <c r="C2695">
        <v>20</v>
      </c>
      <c r="D2695" t="s">
        <v>88</v>
      </c>
      <c r="E2695">
        <v>418</v>
      </c>
      <c r="F2695" t="s">
        <v>5585</v>
      </c>
      <c r="G2695">
        <v>1861</v>
      </c>
      <c r="H2695">
        <v>1</v>
      </c>
      <c r="I2695" t="s">
        <v>90</v>
      </c>
      <c r="J2695">
        <v>0</v>
      </c>
      <c r="K2695">
        <v>2</v>
      </c>
      <c r="L2695">
        <v>5</v>
      </c>
      <c r="M2695">
        <v>132</v>
      </c>
      <c r="N2695">
        <v>446</v>
      </c>
      <c r="O2695">
        <v>8</v>
      </c>
      <c r="P2695">
        <v>446</v>
      </c>
      <c r="Q2695">
        <v>10</v>
      </c>
      <c r="R2695">
        <v>48</v>
      </c>
      <c r="S2695">
        <v>74</v>
      </c>
      <c r="U2695">
        <v>9</v>
      </c>
      <c r="V2695">
        <v>26</v>
      </c>
      <c r="W2695">
        <v>1</v>
      </c>
      <c r="X2695">
        <v>0</v>
      </c>
      <c r="Y2695">
        <v>18</v>
      </c>
      <c r="Z2695">
        <v>4</v>
      </c>
      <c r="AB2695">
        <v>236</v>
      </c>
      <c r="AC2695">
        <v>0</v>
      </c>
      <c r="AD2695">
        <v>0</v>
      </c>
      <c r="AE2695">
        <v>0</v>
      </c>
      <c r="AF2695">
        <v>0</v>
      </c>
      <c r="AK2695">
        <v>0</v>
      </c>
      <c r="AL2695">
        <v>0</v>
      </c>
      <c r="AM2695">
        <v>0</v>
      </c>
      <c r="AN2695">
        <v>0</v>
      </c>
      <c r="BC2695">
        <v>0</v>
      </c>
      <c r="BD2695">
        <v>20</v>
      </c>
      <c r="BE2695">
        <v>446</v>
      </c>
      <c r="BF2695">
        <v>446</v>
      </c>
      <c r="BG2695">
        <v>556</v>
      </c>
      <c r="BJ2695">
        <v>1</v>
      </c>
      <c r="BL2695" t="s">
        <v>5594</v>
      </c>
      <c r="BM2695" s="4">
        <v>43283.222418981481</v>
      </c>
      <c r="BN2695" s="4">
        <v>43283.244756944441</v>
      </c>
      <c r="BO2695" s="4">
        <v>43283.244756944441</v>
      </c>
      <c r="BP2695" t="s">
        <v>92</v>
      </c>
      <c r="BQ2695" t="s">
        <v>93</v>
      </c>
      <c r="BR2695" t="s">
        <v>94</v>
      </c>
    </row>
    <row r="2696" spans="1:70" x14ac:dyDescent="0.3">
      <c r="A2696" t="str">
        <f>"201861E0100"</f>
        <v>201861E0100</v>
      </c>
      <c r="B2696" s="2" t="s">
        <v>5595</v>
      </c>
      <c r="C2696">
        <v>20</v>
      </c>
      <c r="D2696" t="s">
        <v>88</v>
      </c>
      <c r="E2696">
        <v>418</v>
      </c>
      <c r="F2696" t="s">
        <v>5585</v>
      </c>
      <c r="G2696">
        <v>1861</v>
      </c>
      <c r="H2696">
        <v>1</v>
      </c>
      <c r="I2696" t="s">
        <v>156</v>
      </c>
      <c r="J2696">
        <v>0</v>
      </c>
      <c r="K2696">
        <v>2</v>
      </c>
      <c r="L2696">
        <v>5</v>
      </c>
      <c r="M2696">
        <v>113</v>
      </c>
      <c r="N2696">
        <v>414</v>
      </c>
      <c r="O2696">
        <v>1</v>
      </c>
      <c r="P2696">
        <v>414</v>
      </c>
      <c r="Q2696">
        <v>11</v>
      </c>
      <c r="R2696">
        <v>84</v>
      </c>
      <c r="S2696">
        <v>173</v>
      </c>
      <c r="U2696">
        <v>0</v>
      </c>
      <c r="V2696">
        <v>3</v>
      </c>
      <c r="W2696">
        <v>0</v>
      </c>
      <c r="X2696">
        <v>0</v>
      </c>
      <c r="Y2696">
        <v>0</v>
      </c>
      <c r="Z2696">
        <v>0</v>
      </c>
      <c r="AB2696">
        <v>111</v>
      </c>
      <c r="AC2696">
        <v>4</v>
      </c>
      <c r="AD2696">
        <v>5</v>
      </c>
      <c r="AE2696">
        <v>0</v>
      </c>
      <c r="AF2696">
        <v>0</v>
      </c>
      <c r="AK2696">
        <v>0</v>
      </c>
      <c r="AL2696">
        <v>0</v>
      </c>
      <c r="AM2696">
        <v>0</v>
      </c>
      <c r="AN2696">
        <v>0</v>
      </c>
      <c r="BC2696">
        <v>0</v>
      </c>
      <c r="BD2696">
        <v>23</v>
      </c>
      <c r="BE2696">
        <v>414</v>
      </c>
      <c r="BF2696">
        <v>414</v>
      </c>
      <c r="BG2696">
        <v>505</v>
      </c>
      <c r="BJ2696">
        <v>1</v>
      </c>
      <c r="BL2696" t="s">
        <v>5596</v>
      </c>
      <c r="BM2696" s="4">
        <v>43283.221168981479</v>
      </c>
      <c r="BN2696" s="4">
        <v>43283.242025462961</v>
      </c>
      <c r="BO2696" s="4">
        <v>43283.242025462961</v>
      </c>
      <c r="BP2696" t="s">
        <v>92</v>
      </c>
      <c r="BQ2696" t="s">
        <v>93</v>
      </c>
      <c r="BR2696" t="s">
        <v>94</v>
      </c>
    </row>
    <row r="2697" spans="1:70" x14ac:dyDescent="0.3">
      <c r="A2697" t="str">
        <f>"201862B0100"</f>
        <v>201862B0100</v>
      </c>
      <c r="B2697" t="s">
        <v>5597</v>
      </c>
      <c r="C2697">
        <v>20</v>
      </c>
      <c r="D2697" t="s">
        <v>88</v>
      </c>
      <c r="E2697">
        <v>418</v>
      </c>
      <c r="F2697" t="s">
        <v>5585</v>
      </c>
      <c r="G2697">
        <v>1862</v>
      </c>
      <c r="H2697">
        <v>1</v>
      </c>
      <c r="I2697" t="s">
        <v>90</v>
      </c>
      <c r="J2697">
        <v>0</v>
      </c>
      <c r="K2697">
        <v>2</v>
      </c>
      <c r="L2697">
        <v>5</v>
      </c>
      <c r="M2697">
        <v>158</v>
      </c>
      <c r="N2697">
        <v>449</v>
      </c>
      <c r="O2697">
        <v>0</v>
      </c>
      <c r="P2697">
        <v>449</v>
      </c>
      <c r="Q2697">
        <v>14</v>
      </c>
      <c r="R2697">
        <v>136</v>
      </c>
      <c r="S2697">
        <v>148</v>
      </c>
      <c r="U2697">
        <v>4</v>
      </c>
      <c r="V2697">
        <v>7</v>
      </c>
      <c r="W2697">
        <v>1</v>
      </c>
      <c r="X2697">
        <v>1</v>
      </c>
      <c r="Y2697">
        <v>11</v>
      </c>
      <c r="Z2697">
        <v>8</v>
      </c>
      <c r="AB2697">
        <v>98</v>
      </c>
      <c r="AC2697">
        <v>0</v>
      </c>
      <c r="AD2697">
        <v>1</v>
      </c>
      <c r="AE2697">
        <v>0</v>
      </c>
      <c r="AF2697">
        <v>0</v>
      </c>
      <c r="AK2697">
        <v>0</v>
      </c>
      <c r="AL2697">
        <v>0</v>
      </c>
      <c r="AM2697">
        <v>0</v>
      </c>
      <c r="AN2697">
        <v>0</v>
      </c>
      <c r="BC2697">
        <v>0</v>
      </c>
      <c r="BD2697">
        <v>20</v>
      </c>
      <c r="BE2697">
        <v>449</v>
      </c>
      <c r="BF2697">
        <v>449</v>
      </c>
      <c r="BG2697">
        <v>585</v>
      </c>
      <c r="BJ2697">
        <v>1</v>
      </c>
      <c r="BL2697" t="s">
        <v>5598</v>
      </c>
      <c r="BM2697" s="4">
        <v>43283.263680555552</v>
      </c>
      <c r="BN2697" s="4">
        <v>43283.300787037035</v>
      </c>
      <c r="BO2697" s="4">
        <v>43283.300787037035</v>
      </c>
      <c r="BP2697" t="s">
        <v>92</v>
      </c>
      <c r="BQ2697" t="s">
        <v>93</v>
      </c>
      <c r="BR2697" t="s">
        <v>94</v>
      </c>
    </row>
    <row r="2698" spans="1:70" x14ac:dyDescent="0.3">
      <c r="A2698" t="str">
        <f>"201862C0100"</f>
        <v>201862C0100</v>
      </c>
      <c r="B2698" t="s">
        <v>5599</v>
      </c>
      <c r="C2698">
        <v>20</v>
      </c>
      <c r="D2698" t="s">
        <v>88</v>
      </c>
      <c r="E2698">
        <v>418</v>
      </c>
      <c r="F2698" t="s">
        <v>5585</v>
      </c>
      <c r="G2698">
        <v>1862</v>
      </c>
      <c r="H2698">
        <v>1</v>
      </c>
      <c r="I2698" t="s">
        <v>98</v>
      </c>
      <c r="J2698">
        <v>0</v>
      </c>
      <c r="K2698">
        <v>2</v>
      </c>
      <c r="L2698">
        <v>5</v>
      </c>
      <c r="M2698">
        <v>133</v>
      </c>
      <c r="N2698">
        <v>474</v>
      </c>
      <c r="O2698">
        <v>0</v>
      </c>
      <c r="P2698">
        <v>474</v>
      </c>
      <c r="Q2698">
        <v>13</v>
      </c>
      <c r="R2698">
        <v>101</v>
      </c>
      <c r="S2698">
        <v>137</v>
      </c>
      <c r="U2698">
        <v>7</v>
      </c>
      <c r="V2698">
        <v>18</v>
      </c>
      <c r="W2698">
        <v>0</v>
      </c>
      <c r="X2698">
        <v>0</v>
      </c>
      <c r="Y2698">
        <v>22</v>
      </c>
      <c r="Z2698">
        <v>6</v>
      </c>
      <c r="AB2698">
        <v>130</v>
      </c>
      <c r="AC2698">
        <v>2</v>
      </c>
      <c r="AD2698">
        <v>2</v>
      </c>
      <c r="AE2698">
        <v>1</v>
      </c>
      <c r="AF2698">
        <v>0</v>
      </c>
      <c r="AK2698">
        <v>0</v>
      </c>
      <c r="AL2698">
        <v>0</v>
      </c>
      <c r="AM2698">
        <v>0</v>
      </c>
      <c r="AN2698">
        <v>0</v>
      </c>
      <c r="BC2698">
        <v>0</v>
      </c>
      <c r="BD2698">
        <v>35</v>
      </c>
      <c r="BE2698">
        <v>474</v>
      </c>
      <c r="BF2698">
        <v>474</v>
      </c>
      <c r="BG2698">
        <v>585</v>
      </c>
      <c r="BJ2698">
        <v>1</v>
      </c>
      <c r="BL2698" t="s">
        <v>5600</v>
      </c>
      <c r="BM2698" s="4">
        <v>43283.260347222225</v>
      </c>
      <c r="BN2698" s="4">
        <v>43283.28528935185</v>
      </c>
      <c r="BO2698" s="4">
        <v>43283.28528935185</v>
      </c>
      <c r="BP2698" t="s">
        <v>92</v>
      </c>
      <c r="BQ2698" t="s">
        <v>93</v>
      </c>
      <c r="BR2698" t="s">
        <v>94</v>
      </c>
    </row>
    <row r="2699" spans="1:70" x14ac:dyDescent="0.3">
      <c r="A2699" t="str">
        <f>"201863B0100"</f>
        <v>201863B0100</v>
      </c>
      <c r="B2699" t="s">
        <v>5601</v>
      </c>
      <c r="C2699">
        <v>20</v>
      </c>
      <c r="D2699" t="s">
        <v>88</v>
      </c>
      <c r="E2699">
        <v>418</v>
      </c>
      <c r="F2699" t="s">
        <v>5585</v>
      </c>
      <c r="G2699">
        <v>1863</v>
      </c>
      <c r="H2699">
        <v>1</v>
      </c>
      <c r="I2699" t="s">
        <v>90</v>
      </c>
      <c r="J2699">
        <v>0</v>
      </c>
      <c r="K2699">
        <v>2</v>
      </c>
      <c r="L2699">
        <v>5</v>
      </c>
      <c r="M2699">
        <v>65</v>
      </c>
      <c r="N2699">
        <v>303</v>
      </c>
      <c r="O2699">
        <v>0</v>
      </c>
      <c r="P2699">
        <v>303</v>
      </c>
      <c r="Q2699">
        <v>14</v>
      </c>
      <c r="R2699">
        <v>31</v>
      </c>
      <c r="S2699">
        <v>72</v>
      </c>
      <c r="U2699">
        <v>0</v>
      </c>
      <c r="V2699">
        <v>5</v>
      </c>
      <c r="W2699">
        <v>0</v>
      </c>
      <c r="X2699">
        <v>0</v>
      </c>
      <c r="Y2699">
        <v>0</v>
      </c>
      <c r="Z2699">
        <v>0</v>
      </c>
      <c r="AB2699">
        <v>146</v>
      </c>
      <c r="AC2699">
        <v>3</v>
      </c>
      <c r="AD2699">
        <v>0</v>
      </c>
      <c r="AE2699">
        <v>1</v>
      </c>
      <c r="AF2699">
        <v>1</v>
      </c>
      <c r="AK2699">
        <v>0</v>
      </c>
      <c r="AL2699">
        <v>0</v>
      </c>
      <c r="AM2699">
        <v>0</v>
      </c>
      <c r="AN2699">
        <v>0</v>
      </c>
      <c r="BC2699">
        <v>0</v>
      </c>
      <c r="BD2699">
        <v>30</v>
      </c>
      <c r="BE2699">
        <v>303</v>
      </c>
      <c r="BF2699">
        <v>303</v>
      </c>
      <c r="BG2699">
        <v>346</v>
      </c>
      <c r="BJ2699">
        <v>1</v>
      </c>
      <c r="BL2699" t="s">
        <v>5602</v>
      </c>
      <c r="BM2699" s="4">
        <v>43283.100393518522</v>
      </c>
      <c r="BN2699" s="4">
        <v>43283.10365740741</v>
      </c>
      <c r="BO2699" s="4">
        <v>43283.10365740741</v>
      </c>
      <c r="BP2699" t="s">
        <v>92</v>
      </c>
      <c r="BQ2699" t="s">
        <v>93</v>
      </c>
      <c r="BR2699" t="s">
        <v>94</v>
      </c>
    </row>
    <row r="2700" spans="1:70" x14ac:dyDescent="0.3">
      <c r="A2700" t="str">
        <f>"201864B0100"</f>
        <v>201864B0100</v>
      </c>
      <c r="B2700" t="s">
        <v>5603</v>
      </c>
      <c r="C2700">
        <v>20</v>
      </c>
      <c r="D2700" t="s">
        <v>88</v>
      </c>
      <c r="E2700">
        <v>418</v>
      </c>
      <c r="F2700" t="s">
        <v>5585</v>
      </c>
      <c r="G2700">
        <v>1864</v>
      </c>
      <c r="H2700">
        <v>1</v>
      </c>
      <c r="I2700" t="s">
        <v>90</v>
      </c>
      <c r="J2700">
        <v>0</v>
      </c>
      <c r="K2700">
        <v>2</v>
      </c>
      <c r="L2700">
        <v>5</v>
      </c>
      <c r="M2700">
        <v>113</v>
      </c>
      <c r="N2700">
        <v>462</v>
      </c>
      <c r="O2700">
        <v>0</v>
      </c>
      <c r="P2700">
        <v>462</v>
      </c>
      <c r="Q2700">
        <v>10</v>
      </c>
      <c r="R2700">
        <v>80</v>
      </c>
      <c r="S2700">
        <v>127</v>
      </c>
      <c r="U2700">
        <v>2</v>
      </c>
      <c r="V2700">
        <v>9</v>
      </c>
      <c r="W2700">
        <v>0</v>
      </c>
      <c r="X2700">
        <v>0</v>
      </c>
      <c r="Y2700">
        <v>10</v>
      </c>
      <c r="Z2700">
        <v>2</v>
      </c>
      <c r="AB2700">
        <v>190</v>
      </c>
      <c r="AC2700">
        <v>8</v>
      </c>
      <c r="AD2700">
        <v>3</v>
      </c>
      <c r="AE2700">
        <v>0</v>
      </c>
      <c r="AF2700">
        <v>0</v>
      </c>
      <c r="AK2700">
        <v>0</v>
      </c>
      <c r="AL2700">
        <v>0</v>
      </c>
      <c r="AM2700">
        <v>0</v>
      </c>
      <c r="AN2700">
        <v>0</v>
      </c>
      <c r="BC2700">
        <v>0</v>
      </c>
      <c r="BD2700">
        <v>21</v>
      </c>
      <c r="BE2700">
        <v>462</v>
      </c>
      <c r="BF2700">
        <v>462</v>
      </c>
      <c r="BG2700">
        <v>553</v>
      </c>
      <c r="BJ2700">
        <v>1</v>
      </c>
      <c r="BL2700" t="s">
        <v>5604</v>
      </c>
      <c r="BM2700" s="4">
        <v>43283.098171296297</v>
      </c>
      <c r="BN2700" s="4">
        <v>43283.102222222224</v>
      </c>
      <c r="BO2700" s="4">
        <v>43283.102222222224</v>
      </c>
      <c r="BP2700" t="s">
        <v>92</v>
      </c>
      <c r="BQ2700" t="s">
        <v>93</v>
      </c>
      <c r="BR2700" t="s">
        <v>94</v>
      </c>
    </row>
    <row r="2701" spans="1:70" x14ac:dyDescent="0.3">
      <c r="A2701" t="str">
        <f>"201864C0100"</f>
        <v>201864C0100</v>
      </c>
      <c r="B2701" t="s">
        <v>5605</v>
      </c>
      <c r="C2701">
        <v>20</v>
      </c>
      <c r="D2701" t="s">
        <v>88</v>
      </c>
      <c r="E2701">
        <v>418</v>
      </c>
      <c r="F2701" t="s">
        <v>5585</v>
      </c>
      <c r="G2701">
        <v>1864</v>
      </c>
      <c r="H2701">
        <v>1</v>
      </c>
      <c r="I2701" t="s">
        <v>98</v>
      </c>
      <c r="J2701">
        <v>0</v>
      </c>
      <c r="K2701">
        <v>2</v>
      </c>
      <c r="L2701">
        <v>5</v>
      </c>
      <c r="M2701">
        <v>11</v>
      </c>
      <c r="N2701">
        <v>464</v>
      </c>
      <c r="O2701">
        <v>0</v>
      </c>
      <c r="P2701">
        <v>464</v>
      </c>
      <c r="Q2701">
        <v>9</v>
      </c>
      <c r="R2701">
        <v>86</v>
      </c>
      <c r="S2701">
        <v>145</v>
      </c>
      <c r="U2701">
        <v>3</v>
      </c>
      <c r="V2701">
        <v>9</v>
      </c>
      <c r="W2701">
        <v>0</v>
      </c>
      <c r="X2701">
        <v>1</v>
      </c>
      <c r="Y2701">
        <v>14</v>
      </c>
      <c r="Z2701">
        <v>0</v>
      </c>
      <c r="AB2701">
        <v>163</v>
      </c>
      <c r="AC2701">
        <v>6</v>
      </c>
      <c r="AD2701">
        <v>3</v>
      </c>
      <c r="AE2701">
        <v>0</v>
      </c>
      <c r="AF2701">
        <v>0</v>
      </c>
      <c r="AK2701">
        <v>0</v>
      </c>
      <c r="AL2701">
        <v>0</v>
      </c>
      <c r="AM2701">
        <v>0</v>
      </c>
      <c r="AN2701">
        <v>0</v>
      </c>
      <c r="BC2701">
        <v>0</v>
      </c>
      <c r="BD2701">
        <v>25</v>
      </c>
      <c r="BE2701">
        <v>464</v>
      </c>
      <c r="BF2701">
        <v>464</v>
      </c>
      <c r="BG2701">
        <v>553</v>
      </c>
      <c r="BJ2701">
        <v>1</v>
      </c>
      <c r="BL2701" t="s">
        <v>5606</v>
      </c>
      <c r="BM2701" s="4">
        <v>43283.096898148149</v>
      </c>
      <c r="BN2701" s="4">
        <v>43283.100937499999</v>
      </c>
      <c r="BO2701" s="4">
        <v>43283.100937499999</v>
      </c>
      <c r="BP2701" t="s">
        <v>92</v>
      </c>
      <c r="BQ2701" t="s">
        <v>93</v>
      </c>
      <c r="BR2701" t="s">
        <v>94</v>
      </c>
    </row>
    <row r="2702" spans="1:70" x14ac:dyDescent="0.3">
      <c r="A2702" t="str">
        <f>"201865B0100"</f>
        <v>201865B0100</v>
      </c>
      <c r="B2702" t="s">
        <v>5607</v>
      </c>
      <c r="C2702">
        <v>20</v>
      </c>
      <c r="D2702" t="s">
        <v>88</v>
      </c>
      <c r="E2702">
        <v>418</v>
      </c>
      <c r="F2702" t="s">
        <v>5585</v>
      </c>
      <c r="G2702">
        <v>1865</v>
      </c>
      <c r="H2702">
        <v>1</v>
      </c>
      <c r="I2702" t="s">
        <v>90</v>
      </c>
      <c r="J2702">
        <v>0</v>
      </c>
      <c r="K2702">
        <v>2</v>
      </c>
      <c r="L2702">
        <v>5</v>
      </c>
      <c r="M2702">
        <v>94</v>
      </c>
      <c r="N2702">
        <v>316</v>
      </c>
      <c r="O2702">
        <v>0</v>
      </c>
      <c r="P2702">
        <v>316</v>
      </c>
      <c r="Q2702">
        <v>8</v>
      </c>
      <c r="R2702">
        <v>51</v>
      </c>
      <c r="S2702">
        <v>91</v>
      </c>
      <c r="U2702">
        <v>0</v>
      </c>
      <c r="V2702">
        <v>1</v>
      </c>
      <c r="W2702">
        <v>0</v>
      </c>
      <c r="X2702">
        <v>1</v>
      </c>
      <c r="Y2702">
        <v>0</v>
      </c>
      <c r="Z2702">
        <v>0</v>
      </c>
      <c r="AB2702">
        <v>122</v>
      </c>
      <c r="AC2702">
        <v>5</v>
      </c>
      <c r="AD2702">
        <v>1</v>
      </c>
      <c r="AE2702">
        <v>0</v>
      </c>
      <c r="AF2702">
        <v>0</v>
      </c>
      <c r="AK2702">
        <v>0</v>
      </c>
      <c r="AL2702">
        <v>0</v>
      </c>
      <c r="AM2702">
        <v>0</v>
      </c>
      <c r="AN2702">
        <v>0</v>
      </c>
      <c r="BC2702">
        <v>1</v>
      </c>
      <c r="BD2702">
        <v>35</v>
      </c>
      <c r="BE2702">
        <v>316</v>
      </c>
      <c r="BF2702">
        <v>316</v>
      </c>
      <c r="BG2702">
        <v>389</v>
      </c>
      <c r="BJ2702">
        <v>1</v>
      </c>
      <c r="BL2702" t="s">
        <v>5608</v>
      </c>
      <c r="BM2702" s="4">
        <v>43283.261608796296</v>
      </c>
      <c r="BN2702" s="4">
        <v>43283.285509259258</v>
      </c>
      <c r="BO2702" s="4">
        <v>43283.285509259258</v>
      </c>
      <c r="BP2702" t="s">
        <v>92</v>
      </c>
      <c r="BQ2702" t="s">
        <v>93</v>
      </c>
      <c r="BR2702" t="s">
        <v>94</v>
      </c>
    </row>
    <row r="2703" spans="1:70" x14ac:dyDescent="0.3">
      <c r="A2703" t="str">
        <f>"201865C0100"</f>
        <v>201865C0100</v>
      </c>
      <c r="B2703" t="s">
        <v>5609</v>
      </c>
      <c r="C2703">
        <v>20</v>
      </c>
      <c r="D2703" t="s">
        <v>88</v>
      </c>
      <c r="E2703">
        <v>418</v>
      </c>
      <c r="F2703" t="s">
        <v>5585</v>
      </c>
      <c r="G2703">
        <v>1865</v>
      </c>
      <c r="H2703">
        <v>1</v>
      </c>
      <c r="I2703" t="s">
        <v>98</v>
      </c>
      <c r="J2703">
        <v>0</v>
      </c>
      <c r="K2703">
        <v>2</v>
      </c>
      <c r="L2703">
        <v>5</v>
      </c>
      <c r="M2703">
        <v>108</v>
      </c>
      <c r="N2703">
        <v>302</v>
      </c>
      <c r="O2703">
        <v>0</v>
      </c>
      <c r="P2703">
        <v>302</v>
      </c>
      <c r="Q2703">
        <v>8</v>
      </c>
      <c r="R2703">
        <v>56</v>
      </c>
      <c r="S2703">
        <v>96</v>
      </c>
      <c r="U2703">
        <v>1</v>
      </c>
      <c r="V2703">
        <v>4</v>
      </c>
      <c r="W2703">
        <v>0</v>
      </c>
      <c r="X2703">
        <v>1</v>
      </c>
      <c r="Y2703">
        <v>7</v>
      </c>
      <c r="Z2703">
        <v>3</v>
      </c>
      <c r="AB2703">
        <v>105</v>
      </c>
      <c r="AC2703">
        <v>3</v>
      </c>
      <c r="AD2703">
        <v>0</v>
      </c>
      <c r="AE2703">
        <v>0</v>
      </c>
      <c r="AF2703">
        <v>1</v>
      </c>
      <c r="AK2703">
        <v>0</v>
      </c>
      <c r="AL2703">
        <v>0</v>
      </c>
      <c r="AM2703">
        <v>0</v>
      </c>
      <c r="AN2703">
        <v>0</v>
      </c>
      <c r="BC2703">
        <v>0</v>
      </c>
      <c r="BD2703">
        <v>17</v>
      </c>
      <c r="BE2703">
        <v>302</v>
      </c>
      <c r="BF2703">
        <v>302</v>
      </c>
      <c r="BG2703">
        <v>388</v>
      </c>
      <c r="BJ2703">
        <v>1</v>
      </c>
      <c r="BL2703" t="s">
        <v>5610</v>
      </c>
      <c r="BM2703" s="4">
        <v>43283.265763888892</v>
      </c>
      <c r="BN2703" s="4">
        <v>43283.290694444448</v>
      </c>
      <c r="BO2703" s="4">
        <v>43283.290694444448</v>
      </c>
      <c r="BP2703" t="s">
        <v>92</v>
      </c>
      <c r="BQ2703" t="s">
        <v>93</v>
      </c>
      <c r="BR2703" t="s">
        <v>94</v>
      </c>
    </row>
    <row r="2704" spans="1:70" x14ac:dyDescent="0.3">
      <c r="A2704" t="str">
        <f>"201866B0100"</f>
        <v>201866B0100</v>
      </c>
      <c r="B2704" t="s">
        <v>5611</v>
      </c>
      <c r="C2704">
        <v>20</v>
      </c>
      <c r="D2704" t="s">
        <v>88</v>
      </c>
      <c r="E2704">
        <v>419</v>
      </c>
      <c r="F2704" t="s">
        <v>5612</v>
      </c>
      <c r="G2704">
        <v>1866</v>
      </c>
      <c r="H2704">
        <v>1</v>
      </c>
      <c r="I2704" t="s">
        <v>90</v>
      </c>
      <c r="J2704">
        <v>0</v>
      </c>
      <c r="K2704">
        <v>1</v>
      </c>
      <c r="L2704">
        <v>5</v>
      </c>
      <c r="M2704">
        <v>177</v>
      </c>
      <c r="N2704">
        <v>589</v>
      </c>
      <c r="O2704">
        <v>3</v>
      </c>
      <c r="P2704">
        <v>590</v>
      </c>
      <c r="Q2704">
        <v>0</v>
      </c>
      <c r="R2704">
        <v>161</v>
      </c>
      <c r="S2704">
        <v>0</v>
      </c>
      <c r="T2704">
        <v>140</v>
      </c>
      <c r="U2704">
        <v>10</v>
      </c>
      <c r="V2704">
        <v>1</v>
      </c>
      <c r="W2704">
        <v>36</v>
      </c>
      <c r="X2704">
        <v>0</v>
      </c>
      <c r="Y2704">
        <v>168</v>
      </c>
      <c r="Z2704">
        <v>0</v>
      </c>
      <c r="AA2704">
        <v>44</v>
      </c>
      <c r="AC2704">
        <v>0</v>
      </c>
      <c r="AD2704">
        <v>0</v>
      </c>
      <c r="AE2704">
        <v>0</v>
      </c>
      <c r="AF2704">
        <v>0</v>
      </c>
      <c r="AK2704">
        <v>4</v>
      </c>
      <c r="AL2704">
        <v>1</v>
      </c>
      <c r="AM2704">
        <v>0</v>
      </c>
      <c r="AN2704">
        <v>3</v>
      </c>
      <c r="AU2704">
        <v>0</v>
      </c>
      <c r="BC2704">
        <v>0</v>
      </c>
      <c r="BD2704">
        <v>22</v>
      </c>
      <c r="BE2704">
        <v>591</v>
      </c>
      <c r="BF2704">
        <v>590</v>
      </c>
      <c r="BG2704">
        <v>744</v>
      </c>
      <c r="BJ2704">
        <v>1</v>
      </c>
      <c r="BL2704" t="s">
        <v>5613</v>
      </c>
      <c r="BM2704" s="4">
        <v>43283.136111111111</v>
      </c>
      <c r="BN2704" s="4">
        <v>43283.143750000003</v>
      </c>
      <c r="BO2704" s="4">
        <v>43283.143750000003</v>
      </c>
      <c r="BP2704" t="s">
        <v>92</v>
      </c>
      <c r="BQ2704" t="s">
        <v>93</v>
      </c>
      <c r="BR2704" t="s">
        <v>94</v>
      </c>
    </row>
    <row r="2705" spans="1:70" x14ac:dyDescent="0.3">
      <c r="A2705" t="str">
        <f>"201866C0100"</f>
        <v>201866C0100</v>
      </c>
      <c r="B2705" t="s">
        <v>5614</v>
      </c>
      <c r="C2705">
        <v>20</v>
      </c>
      <c r="D2705" t="s">
        <v>88</v>
      </c>
      <c r="E2705">
        <v>419</v>
      </c>
      <c r="F2705" t="s">
        <v>5612</v>
      </c>
      <c r="G2705">
        <v>1866</v>
      </c>
      <c r="H2705">
        <v>1</v>
      </c>
      <c r="I2705" t="s">
        <v>98</v>
      </c>
      <c r="J2705">
        <v>0</v>
      </c>
      <c r="K2705">
        <v>1</v>
      </c>
      <c r="L2705">
        <v>5</v>
      </c>
      <c r="M2705">
        <v>190</v>
      </c>
      <c r="N2705">
        <v>575</v>
      </c>
      <c r="O2705">
        <v>0</v>
      </c>
      <c r="P2705">
        <v>571</v>
      </c>
      <c r="Q2705">
        <v>1</v>
      </c>
      <c r="R2705">
        <v>154</v>
      </c>
      <c r="S2705">
        <v>2</v>
      </c>
      <c r="T2705">
        <v>123</v>
      </c>
      <c r="U2705">
        <v>8</v>
      </c>
      <c r="V2705">
        <v>0</v>
      </c>
      <c r="W2705">
        <v>42</v>
      </c>
      <c r="X2705">
        <v>1</v>
      </c>
      <c r="Y2705">
        <v>170</v>
      </c>
      <c r="Z2705">
        <v>1</v>
      </c>
      <c r="AA2705">
        <v>50</v>
      </c>
      <c r="AC2705">
        <v>0</v>
      </c>
      <c r="AD2705">
        <v>0</v>
      </c>
      <c r="AE2705">
        <v>0</v>
      </c>
      <c r="AF2705">
        <v>0</v>
      </c>
      <c r="AK2705">
        <v>1</v>
      </c>
      <c r="AL2705">
        <v>2</v>
      </c>
      <c r="AM2705">
        <v>0</v>
      </c>
      <c r="AN2705">
        <v>1</v>
      </c>
      <c r="AU2705">
        <v>0</v>
      </c>
      <c r="BC2705">
        <v>0</v>
      </c>
      <c r="BD2705">
        <v>14</v>
      </c>
      <c r="BE2705">
        <v>571</v>
      </c>
      <c r="BF2705">
        <v>570</v>
      </c>
      <c r="BG2705">
        <v>743</v>
      </c>
      <c r="BJ2705">
        <v>1</v>
      </c>
      <c r="BL2705" t="s">
        <v>5615</v>
      </c>
      <c r="BM2705" s="4">
        <v>43283.131249999999</v>
      </c>
      <c r="BN2705" s="4">
        <v>43283.136469907404</v>
      </c>
      <c r="BO2705" s="4">
        <v>43283.136469907404</v>
      </c>
      <c r="BP2705" t="s">
        <v>92</v>
      </c>
      <c r="BQ2705" t="s">
        <v>93</v>
      </c>
      <c r="BR2705" t="s">
        <v>94</v>
      </c>
    </row>
    <row r="2706" spans="1:70" x14ac:dyDescent="0.3">
      <c r="A2706" t="str">
        <f>"201867B0100"</f>
        <v>201867B0100</v>
      </c>
      <c r="B2706" t="s">
        <v>5616</v>
      </c>
      <c r="C2706">
        <v>20</v>
      </c>
      <c r="D2706" t="s">
        <v>88</v>
      </c>
      <c r="E2706">
        <v>419</v>
      </c>
      <c r="F2706" t="s">
        <v>5612</v>
      </c>
      <c r="G2706">
        <v>1867</v>
      </c>
      <c r="H2706">
        <v>1</v>
      </c>
      <c r="I2706" t="s">
        <v>90</v>
      </c>
      <c r="J2706">
        <v>0</v>
      </c>
      <c r="K2706">
        <v>1</v>
      </c>
      <c r="L2706">
        <v>5</v>
      </c>
      <c r="M2706" t="s">
        <v>127</v>
      </c>
      <c r="N2706">
        <v>446</v>
      </c>
      <c r="O2706">
        <v>10</v>
      </c>
      <c r="P2706">
        <v>446</v>
      </c>
      <c r="Q2706">
        <v>0</v>
      </c>
      <c r="R2706">
        <v>93</v>
      </c>
      <c r="S2706">
        <v>3</v>
      </c>
      <c r="T2706">
        <v>145</v>
      </c>
      <c r="U2706">
        <v>6</v>
      </c>
      <c r="V2706">
        <v>0</v>
      </c>
      <c r="W2706">
        <v>31</v>
      </c>
      <c r="X2706">
        <v>0</v>
      </c>
      <c r="Y2706">
        <v>131</v>
      </c>
      <c r="Z2706">
        <v>3</v>
      </c>
      <c r="AA2706">
        <v>15</v>
      </c>
      <c r="AC2706">
        <v>0</v>
      </c>
      <c r="AD2706">
        <v>0</v>
      </c>
      <c r="AE2706">
        <v>0</v>
      </c>
      <c r="AF2706">
        <v>0</v>
      </c>
      <c r="AK2706">
        <v>3</v>
      </c>
      <c r="AL2706">
        <v>0</v>
      </c>
      <c r="AM2706">
        <v>0</v>
      </c>
      <c r="AN2706">
        <v>0</v>
      </c>
      <c r="AU2706">
        <v>0</v>
      </c>
      <c r="BC2706">
        <v>0</v>
      </c>
      <c r="BD2706">
        <v>16</v>
      </c>
      <c r="BE2706">
        <v>446</v>
      </c>
      <c r="BF2706">
        <v>446</v>
      </c>
      <c r="BG2706">
        <v>576</v>
      </c>
      <c r="BJ2706">
        <v>1</v>
      </c>
      <c r="BL2706" t="s">
        <v>5617</v>
      </c>
      <c r="BM2706" s="4">
        <v>43283.179861111108</v>
      </c>
      <c r="BN2706" s="4">
        <v>43283.197939814818</v>
      </c>
      <c r="BO2706" s="4">
        <v>43283.197939814818</v>
      </c>
      <c r="BP2706" t="s">
        <v>92</v>
      </c>
      <c r="BQ2706" t="s">
        <v>93</v>
      </c>
      <c r="BR2706" t="s">
        <v>94</v>
      </c>
    </row>
    <row r="2707" spans="1:70" x14ac:dyDescent="0.3">
      <c r="A2707" t="str">
        <f>"201867C0100"</f>
        <v>201867C0100</v>
      </c>
      <c r="B2707" t="s">
        <v>5618</v>
      </c>
      <c r="C2707">
        <v>20</v>
      </c>
      <c r="D2707" t="s">
        <v>88</v>
      </c>
      <c r="E2707">
        <v>419</v>
      </c>
      <c r="F2707" t="s">
        <v>5612</v>
      </c>
      <c r="G2707">
        <v>1867</v>
      </c>
      <c r="H2707">
        <v>1</v>
      </c>
      <c r="I2707" t="s">
        <v>98</v>
      </c>
      <c r="J2707">
        <v>0</v>
      </c>
      <c r="K2707">
        <v>1</v>
      </c>
      <c r="L2707">
        <v>5</v>
      </c>
      <c r="M2707">
        <v>141</v>
      </c>
      <c r="N2707">
        <v>456</v>
      </c>
      <c r="O2707">
        <v>8</v>
      </c>
      <c r="P2707">
        <v>456</v>
      </c>
      <c r="Q2707" t="s">
        <v>105</v>
      </c>
      <c r="R2707">
        <v>100</v>
      </c>
      <c r="S2707">
        <v>5</v>
      </c>
      <c r="T2707">
        <v>136</v>
      </c>
      <c r="U2707">
        <v>4</v>
      </c>
      <c r="V2707">
        <v>1</v>
      </c>
      <c r="W2707">
        <v>47</v>
      </c>
      <c r="X2707" t="s">
        <v>105</v>
      </c>
      <c r="Y2707">
        <v>132</v>
      </c>
      <c r="Z2707">
        <v>1</v>
      </c>
      <c r="AA2707">
        <v>20</v>
      </c>
      <c r="AC2707" t="s">
        <v>105</v>
      </c>
      <c r="AD2707" t="s">
        <v>105</v>
      </c>
      <c r="AE2707" t="s">
        <v>105</v>
      </c>
      <c r="AF2707" t="s">
        <v>105</v>
      </c>
      <c r="AK2707" t="s">
        <v>105</v>
      </c>
      <c r="AL2707" t="s">
        <v>105</v>
      </c>
      <c r="AM2707">
        <v>2</v>
      </c>
      <c r="AN2707" t="s">
        <v>105</v>
      </c>
      <c r="AU2707" t="s">
        <v>105</v>
      </c>
      <c r="BC2707" t="s">
        <v>105</v>
      </c>
      <c r="BD2707">
        <v>8</v>
      </c>
      <c r="BE2707" t="s">
        <v>105</v>
      </c>
      <c r="BF2707">
        <v>456</v>
      </c>
      <c r="BG2707">
        <v>576</v>
      </c>
      <c r="BI2707" t="s">
        <v>106</v>
      </c>
      <c r="BJ2707">
        <v>1</v>
      </c>
      <c r="BL2707" t="s">
        <v>5619</v>
      </c>
      <c r="BM2707" s="4">
        <v>43283.183333333334</v>
      </c>
      <c r="BN2707" s="4">
        <v>43283.20590277778</v>
      </c>
      <c r="BO2707" s="4">
        <v>43283.20590277778</v>
      </c>
      <c r="BP2707" t="s">
        <v>92</v>
      </c>
      <c r="BQ2707" t="s">
        <v>93</v>
      </c>
      <c r="BR2707" t="s">
        <v>94</v>
      </c>
    </row>
    <row r="2708" spans="1:70" x14ac:dyDescent="0.3">
      <c r="A2708" t="str">
        <f>"201868B0100"</f>
        <v>201868B0100</v>
      </c>
      <c r="B2708" t="s">
        <v>5620</v>
      </c>
      <c r="C2708">
        <v>20</v>
      </c>
      <c r="D2708" t="s">
        <v>88</v>
      </c>
      <c r="E2708">
        <v>419</v>
      </c>
      <c r="F2708" t="s">
        <v>5612</v>
      </c>
      <c r="G2708">
        <v>1868</v>
      </c>
      <c r="H2708">
        <v>1</v>
      </c>
      <c r="I2708" t="s">
        <v>90</v>
      </c>
      <c r="J2708">
        <v>0</v>
      </c>
      <c r="K2708">
        <v>2</v>
      </c>
      <c r="L2708">
        <v>5</v>
      </c>
      <c r="M2708">
        <v>159</v>
      </c>
      <c r="N2708">
        <v>402</v>
      </c>
      <c r="O2708">
        <v>5</v>
      </c>
      <c r="P2708">
        <v>406</v>
      </c>
      <c r="Q2708">
        <v>1</v>
      </c>
      <c r="R2708">
        <v>111</v>
      </c>
      <c r="S2708">
        <v>13</v>
      </c>
      <c r="T2708">
        <v>130</v>
      </c>
      <c r="U2708">
        <v>6</v>
      </c>
      <c r="V2708">
        <v>2</v>
      </c>
      <c r="W2708">
        <v>10</v>
      </c>
      <c r="X2708">
        <v>3</v>
      </c>
      <c r="Y2708">
        <v>108</v>
      </c>
      <c r="Z2708">
        <v>2</v>
      </c>
      <c r="AA2708">
        <v>6</v>
      </c>
      <c r="AC2708">
        <v>0</v>
      </c>
      <c r="AD2708">
        <v>0</v>
      </c>
      <c r="AE2708">
        <v>0</v>
      </c>
      <c r="AF2708">
        <v>0</v>
      </c>
      <c r="AK2708">
        <v>0</v>
      </c>
      <c r="AL2708">
        <v>0</v>
      </c>
      <c r="AM2708">
        <v>0</v>
      </c>
      <c r="AN2708">
        <v>0</v>
      </c>
      <c r="AU2708">
        <v>0</v>
      </c>
      <c r="BC2708">
        <v>0</v>
      </c>
      <c r="BD2708">
        <v>14</v>
      </c>
      <c r="BE2708">
        <v>406</v>
      </c>
      <c r="BF2708">
        <v>406</v>
      </c>
      <c r="BG2708">
        <v>539</v>
      </c>
      <c r="BJ2708">
        <v>1</v>
      </c>
      <c r="BL2708" t="s">
        <v>5621</v>
      </c>
      <c r="BM2708" s="4">
        <v>43283.07916666667</v>
      </c>
      <c r="BN2708" s="4">
        <v>43283.085428240738</v>
      </c>
      <c r="BO2708" s="4">
        <v>43283.085428240738</v>
      </c>
      <c r="BP2708" t="s">
        <v>92</v>
      </c>
      <c r="BQ2708" t="s">
        <v>93</v>
      </c>
      <c r="BR2708" t="s">
        <v>94</v>
      </c>
    </row>
    <row r="2709" spans="1:70" x14ac:dyDescent="0.3">
      <c r="A2709" t="str">
        <f>"201868C0100"</f>
        <v>201868C0100</v>
      </c>
      <c r="B2709" t="s">
        <v>5622</v>
      </c>
      <c r="C2709">
        <v>20</v>
      </c>
      <c r="D2709" t="s">
        <v>88</v>
      </c>
      <c r="E2709">
        <v>419</v>
      </c>
      <c r="F2709" t="s">
        <v>5612</v>
      </c>
      <c r="G2709">
        <v>1868</v>
      </c>
      <c r="H2709">
        <v>1</v>
      </c>
      <c r="I2709" t="s">
        <v>98</v>
      </c>
      <c r="J2709">
        <v>0</v>
      </c>
      <c r="K2709">
        <v>2</v>
      </c>
      <c r="L2709">
        <v>5</v>
      </c>
      <c r="M2709">
        <v>157</v>
      </c>
      <c r="N2709" t="s">
        <v>105</v>
      </c>
      <c r="O2709" t="s">
        <v>105</v>
      </c>
      <c r="P2709">
        <v>401</v>
      </c>
      <c r="Q2709">
        <v>1</v>
      </c>
      <c r="R2709">
        <v>112</v>
      </c>
      <c r="S2709">
        <v>8</v>
      </c>
      <c r="T2709">
        <v>121</v>
      </c>
      <c r="U2709">
        <v>1</v>
      </c>
      <c r="V2709">
        <v>1</v>
      </c>
      <c r="W2709">
        <v>13</v>
      </c>
      <c r="X2709">
        <v>0</v>
      </c>
      <c r="Y2709">
        <v>118</v>
      </c>
      <c r="Z2709">
        <v>3</v>
      </c>
      <c r="AA2709">
        <v>7</v>
      </c>
      <c r="AC2709">
        <v>0</v>
      </c>
      <c r="AD2709">
        <v>0</v>
      </c>
      <c r="AE2709">
        <v>0</v>
      </c>
      <c r="AF2709">
        <v>0</v>
      </c>
      <c r="AK2709">
        <v>2</v>
      </c>
      <c r="AL2709">
        <v>3</v>
      </c>
      <c r="AM2709">
        <v>0</v>
      </c>
      <c r="AN2709">
        <v>1</v>
      </c>
      <c r="AU2709">
        <v>0</v>
      </c>
      <c r="BC2709">
        <v>0</v>
      </c>
      <c r="BD2709">
        <v>8</v>
      </c>
      <c r="BE2709">
        <v>399</v>
      </c>
      <c r="BF2709">
        <v>399</v>
      </c>
      <c r="BG2709">
        <v>539</v>
      </c>
      <c r="BJ2709">
        <v>1</v>
      </c>
      <c r="BL2709" t="s">
        <v>5623</v>
      </c>
      <c r="BM2709" s="4">
        <v>43283.085416666669</v>
      </c>
      <c r="BN2709" s="4">
        <v>43283.091574074075</v>
      </c>
      <c r="BO2709" s="4">
        <v>43283.091574074075</v>
      </c>
      <c r="BP2709" t="s">
        <v>92</v>
      </c>
      <c r="BQ2709" t="s">
        <v>93</v>
      </c>
      <c r="BR2709" t="s">
        <v>94</v>
      </c>
    </row>
    <row r="2710" spans="1:70" x14ac:dyDescent="0.3">
      <c r="A2710" t="str">
        <f>"201868C0200"</f>
        <v>201868C0200</v>
      </c>
      <c r="B2710" t="s">
        <v>5624</v>
      </c>
      <c r="C2710">
        <v>20</v>
      </c>
      <c r="D2710" t="s">
        <v>88</v>
      </c>
      <c r="E2710">
        <v>419</v>
      </c>
      <c r="F2710" t="s">
        <v>5612</v>
      </c>
      <c r="G2710">
        <v>1868</v>
      </c>
      <c r="H2710">
        <v>2</v>
      </c>
      <c r="I2710" t="s">
        <v>98</v>
      </c>
      <c r="J2710">
        <v>0</v>
      </c>
      <c r="K2710">
        <v>2</v>
      </c>
      <c r="L2710">
        <v>5</v>
      </c>
      <c r="M2710">
        <v>140</v>
      </c>
      <c r="N2710" t="s">
        <v>105</v>
      </c>
      <c r="O2710" t="s">
        <v>105</v>
      </c>
      <c r="P2710" t="s">
        <v>105</v>
      </c>
      <c r="Q2710" t="s">
        <v>105</v>
      </c>
      <c r="R2710">
        <v>136</v>
      </c>
      <c r="S2710">
        <v>4</v>
      </c>
      <c r="T2710">
        <v>133</v>
      </c>
      <c r="U2710" t="s">
        <v>105</v>
      </c>
      <c r="V2710">
        <v>1</v>
      </c>
      <c r="W2710">
        <v>6</v>
      </c>
      <c r="X2710" t="s">
        <v>105</v>
      </c>
      <c r="Y2710">
        <v>105</v>
      </c>
      <c r="Z2710">
        <v>1</v>
      </c>
      <c r="AA2710">
        <v>9</v>
      </c>
      <c r="AC2710" t="s">
        <v>105</v>
      </c>
      <c r="AD2710" t="s">
        <v>105</v>
      </c>
      <c r="AE2710" t="s">
        <v>105</v>
      </c>
      <c r="AF2710" t="s">
        <v>105</v>
      </c>
      <c r="AK2710" t="s">
        <v>105</v>
      </c>
      <c r="AL2710">
        <v>3</v>
      </c>
      <c r="AM2710" t="s">
        <v>105</v>
      </c>
      <c r="AN2710" t="s">
        <v>105</v>
      </c>
      <c r="AU2710">
        <v>3</v>
      </c>
      <c r="BC2710" t="s">
        <v>105</v>
      </c>
      <c r="BD2710">
        <v>15</v>
      </c>
      <c r="BE2710" t="s">
        <v>105</v>
      </c>
      <c r="BF2710">
        <v>416</v>
      </c>
      <c r="BG2710">
        <v>539</v>
      </c>
      <c r="BI2710" t="s">
        <v>106</v>
      </c>
      <c r="BJ2710">
        <v>1</v>
      </c>
      <c r="BL2710" t="s">
        <v>5625</v>
      </c>
      <c r="BM2710" s="4">
        <v>43283.081250000003</v>
      </c>
      <c r="BN2710" s="4">
        <v>43283.109895833331</v>
      </c>
      <c r="BO2710" s="4">
        <v>43283.109895833331</v>
      </c>
      <c r="BP2710" t="s">
        <v>92</v>
      </c>
      <c r="BQ2710" t="s">
        <v>93</v>
      </c>
      <c r="BR2710" t="s">
        <v>94</v>
      </c>
    </row>
    <row r="2711" spans="1:70" x14ac:dyDescent="0.3">
      <c r="A2711" t="str">
        <f>"201869B0100"</f>
        <v>201869B0100</v>
      </c>
      <c r="B2711" t="s">
        <v>5626</v>
      </c>
      <c r="C2711">
        <v>20</v>
      </c>
      <c r="D2711" t="s">
        <v>88</v>
      </c>
      <c r="E2711">
        <v>419</v>
      </c>
      <c r="F2711" t="s">
        <v>5612</v>
      </c>
      <c r="G2711">
        <v>1869</v>
      </c>
      <c r="H2711">
        <v>1</v>
      </c>
      <c r="I2711" t="s">
        <v>90</v>
      </c>
      <c r="J2711">
        <v>0</v>
      </c>
      <c r="K2711">
        <v>2</v>
      </c>
      <c r="L2711">
        <v>5</v>
      </c>
      <c r="M2711">
        <v>215</v>
      </c>
      <c r="N2711">
        <v>532</v>
      </c>
      <c r="O2711">
        <v>10</v>
      </c>
      <c r="P2711">
        <v>526</v>
      </c>
      <c r="Q2711">
        <v>2</v>
      </c>
      <c r="R2711">
        <v>165</v>
      </c>
      <c r="S2711">
        <v>7</v>
      </c>
      <c r="T2711">
        <v>168</v>
      </c>
      <c r="U2711">
        <v>4</v>
      </c>
      <c r="V2711">
        <v>0</v>
      </c>
      <c r="W2711">
        <v>6</v>
      </c>
      <c r="X2711">
        <v>0</v>
      </c>
      <c r="Y2711">
        <v>125</v>
      </c>
      <c r="Z2711">
        <v>4</v>
      </c>
      <c r="AA2711">
        <v>17</v>
      </c>
      <c r="AC2711" t="s">
        <v>105</v>
      </c>
      <c r="AD2711" t="s">
        <v>105</v>
      </c>
      <c r="AE2711" t="s">
        <v>105</v>
      </c>
      <c r="AF2711" t="s">
        <v>105</v>
      </c>
      <c r="AK2711" t="s">
        <v>105</v>
      </c>
      <c r="AL2711">
        <v>1</v>
      </c>
      <c r="AM2711" t="s">
        <v>105</v>
      </c>
      <c r="AN2711" t="s">
        <v>105</v>
      </c>
      <c r="AU2711" t="s">
        <v>105</v>
      </c>
      <c r="BC2711" t="s">
        <v>105</v>
      </c>
      <c r="BD2711">
        <v>27</v>
      </c>
      <c r="BE2711">
        <v>526</v>
      </c>
      <c r="BF2711">
        <v>526</v>
      </c>
      <c r="BG2711">
        <v>724</v>
      </c>
      <c r="BI2711" t="s">
        <v>106</v>
      </c>
      <c r="BJ2711">
        <v>1</v>
      </c>
      <c r="BL2711" t="s">
        <v>5627</v>
      </c>
      <c r="BM2711" s="4">
        <v>43283.077777777777</v>
      </c>
      <c r="BN2711" s="4">
        <v>43283.082546296297</v>
      </c>
      <c r="BO2711" s="4">
        <v>43283.082546296297</v>
      </c>
      <c r="BP2711" t="s">
        <v>92</v>
      </c>
      <c r="BQ2711" t="s">
        <v>93</v>
      </c>
      <c r="BR2711" t="s">
        <v>254</v>
      </c>
    </row>
    <row r="2712" spans="1:70" x14ac:dyDescent="0.3">
      <c r="A2712" t="str">
        <f>"201869C0100"</f>
        <v>201869C0100</v>
      </c>
      <c r="B2712" t="s">
        <v>5628</v>
      </c>
      <c r="C2712">
        <v>20</v>
      </c>
      <c r="D2712" t="s">
        <v>88</v>
      </c>
      <c r="E2712">
        <v>419</v>
      </c>
      <c r="F2712" t="s">
        <v>5612</v>
      </c>
      <c r="G2712">
        <v>1869</v>
      </c>
      <c r="H2712">
        <v>1</v>
      </c>
      <c r="I2712" t="s">
        <v>98</v>
      </c>
      <c r="J2712">
        <v>0</v>
      </c>
      <c r="K2712">
        <v>2</v>
      </c>
      <c r="L2712">
        <v>5</v>
      </c>
      <c r="M2712">
        <v>202</v>
      </c>
      <c r="N2712">
        <v>544</v>
      </c>
      <c r="O2712">
        <v>2</v>
      </c>
      <c r="P2712">
        <v>539</v>
      </c>
      <c r="Q2712">
        <v>2</v>
      </c>
      <c r="R2712">
        <v>147</v>
      </c>
      <c r="S2712">
        <v>6</v>
      </c>
      <c r="T2712">
        <v>156</v>
      </c>
      <c r="U2712">
        <v>4</v>
      </c>
      <c r="V2712">
        <v>2</v>
      </c>
      <c r="W2712">
        <v>15</v>
      </c>
      <c r="X2712">
        <v>0</v>
      </c>
      <c r="Y2712">
        <v>168</v>
      </c>
      <c r="Z2712">
        <v>2</v>
      </c>
      <c r="AA2712">
        <v>20</v>
      </c>
      <c r="AC2712">
        <v>0</v>
      </c>
      <c r="AD2712">
        <v>0</v>
      </c>
      <c r="AE2712">
        <v>0</v>
      </c>
      <c r="AF2712">
        <v>0</v>
      </c>
      <c r="AK2712">
        <v>0</v>
      </c>
      <c r="AL2712">
        <v>0</v>
      </c>
      <c r="AM2712">
        <v>0</v>
      </c>
      <c r="AN2712">
        <v>0</v>
      </c>
      <c r="AU2712">
        <v>0</v>
      </c>
      <c r="BC2712">
        <v>0</v>
      </c>
      <c r="BD2712">
        <v>17</v>
      </c>
      <c r="BE2712">
        <v>539</v>
      </c>
      <c r="BF2712">
        <v>539</v>
      </c>
      <c r="BG2712">
        <v>724</v>
      </c>
      <c r="BJ2712">
        <v>1</v>
      </c>
      <c r="BL2712" t="s">
        <v>5629</v>
      </c>
      <c r="BM2712" s="4">
        <v>43283.005555555559</v>
      </c>
      <c r="BN2712" s="4">
        <v>43283.013541666667</v>
      </c>
      <c r="BO2712" s="4">
        <v>43283.013541666667</v>
      </c>
      <c r="BP2712" t="s">
        <v>92</v>
      </c>
      <c r="BQ2712" t="s">
        <v>93</v>
      </c>
      <c r="BR2712" t="s">
        <v>94</v>
      </c>
    </row>
    <row r="2713" spans="1:70" x14ac:dyDescent="0.3">
      <c r="A2713" t="str">
        <f>"201870B0100"</f>
        <v>201870B0100</v>
      </c>
      <c r="B2713" t="s">
        <v>5630</v>
      </c>
      <c r="C2713">
        <v>20</v>
      </c>
      <c r="D2713" t="s">
        <v>88</v>
      </c>
      <c r="E2713">
        <v>419</v>
      </c>
      <c r="F2713" t="s">
        <v>5612</v>
      </c>
      <c r="G2713">
        <v>1870</v>
      </c>
      <c r="H2713">
        <v>1</v>
      </c>
      <c r="I2713" t="s">
        <v>90</v>
      </c>
      <c r="J2713">
        <v>0</v>
      </c>
      <c r="K2713">
        <v>1</v>
      </c>
      <c r="L2713">
        <v>5</v>
      </c>
      <c r="M2713">
        <v>159</v>
      </c>
      <c r="N2713" t="s">
        <v>105</v>
      </c>
      <c r="O2713" t="s">
        <v>105</v>
      </c>
      <c r="P2713" t="s">
        <v>105</v>
      </c>
      <c r="Q2713">
        <v>0</v>
      </c>
      <c r="R2713">
        <v>174</v>
      </c>
      <c r="S2713">
        <v>3</v>
      </c>
      <c r="T2713">
        <v>115</v>
      </c>
      <c r="U2713">
        <v>5</v>
      </c>
      <c r="V2713">
        <v>3</v>
      </c>
      <c r="W2713">
        <v>7</v>
      </c>
      <c r="X2713">
        <v>4</v>
      </c>
      <c r="Y2713">
        <v>112</v>
      </c>
      <c r="Z2713">
        <v>0</v>
      </c>
      <c r="AA2713">
        <v>8</v>
      </c>
      <c r="AC2713">
        <v>0</v>
      </c>
      <c r="AD2713">
        <v>0</v>
      </c>
      <c r="AE2713">
        <v>0</v>
      </c>
      <c r="AF2713">
        <v>0</v>
      </c>
      <c r="AK2713">
        <v>2</v>
      </c>
      <c r="AL2713">
        <v>0</v>
      </c>
      <c r="AM2713">
        <v>0</v>
      </c>
      <c r="AN2713">
        <v>0</v>
      </c>
      <c r="AU2713">
        <v>1</v>
      </c>
      <c r="BC2713">
        <v>0</v>
      </c>
      <c r="BD2713">
        <v>7</v>
      </c>
      <c r="BE2713">
        <v>441</v>
      </c>
      <c r="BF2713">
        <v>441</v>
      </c>
      <c r="BG2713">
        <v>578</v>
      </c>
      <c r="BJ2713">
        <v>1</v>
      </c>
      <c r="BL2713" t="s">
        <v>5631</v>
      </c>
      <c r="BM2713" s="4">
        <v>43283.186111111114</v>
      </c>
      <c r="BN2713" s="4">
        <v>43283.206006944441</v>
      </c>
      <c r="BO2713" s="4">
        <v>43283.206006944441</v>
      </c>
      <c r="BP2713" t="s">
        <v>92</v>
      </c>
      <c r="BQ2713" t="s">
        <v>93</v>
      </c>
      <c r="BR2713" t="s">
        <v>94</v>
      </c>
    </row>
    <row r="2714" spans="1:70" x14ac:dyDescent="0.3">
      <c r="A2714" t="str">
        <f>"201870C0100"</f>
        <v>201870C0100</v>
      </c>
      <c r="B2714" t="s">
        <v>5632</v>
      </c>
      <c r="C2714">
        <v>20</v>
      </c>
      <c r="D2714" t="s">
        <v>88</v>
      </c>
      <c r="E2714">
        <v>419</v>
      </c>
      <c r="F2714" t="s">
        <v>5612</v>
      </c>
      <c r="G2714">
        <v>1870</v>
      </c>
      <c r="H2714">
        <v>1</v>
      </c>
      <c r="I2714" t="s">
        <v>98</v>
      </c>
      <c r="J2714">
        <v>0</v>
      </c>
      <c r="K2714">
        <v>1</v>
      </c>
      <c r="L2714">
        <v>5</v>
      </c>
      <c r="M2714">
        <v>169</v>
      </c>
      <c r="N2714">
        <v>428</v>
      </c>
      <c r="O2714">
        <v>8</v>
      </c>
      <c r="P2714">
        <v>432</v>
      </c>
      <c r="Q2714">
        <v>0</v>
      </c>
      <c r="R2714">
        <v>146</v>
      </c>
      <c r="S2714">
        <v>4</v>
      </c>
      <c r="T2714">
        <v>112</v>
      </c>
      <c r="U2714">
        <v>1</v>
      </c>
      <c r="V2714">
        <v>0</v>
      </c>
      <c r="W2714">
        <v>7</v>
      </c>
      <c r="X2714">
        <v>0</v>
      </c>
      <c r="Y2714">
        <v>130</v>
      </c>
      <c r="Z2714">
        <v>2</v>
      </c>
      <c r="AA2714">
        <v>8</v>
      </c>
      <c r="AC2714">
        <v>0</v>
      </c>
      <c r="AD2714">
        <v>0</v>
      </c>
      <c r="AE2714">
        <v>0</v>
      </c>
      <c r="AF2714">
        <v>0</v>
      </c>
      <c r="AK2714">
        <v>0</v>
      </c>
      <c r="AL2714">
        <v>0</v>
      </c>
      <c r="AM2714">
        <v>0</v>
      </c>
      <c r="AN2714">
        <v>1</v>
      </c>
      <c r="AU2714">
        <v>0</v>
      </c>
      <c r="BC2714">
        <v>0</v>
      </c>
      <c r="BD2714">
        <v>21</v>
      </c>
      <c r="BE2714" t="s">
        <v>105</v>
      </c>
      <c r="BF2714">
        <v>432</v>
      </c>
      <c r="BG2714">
        <v>578</v>
      </c>
      <c r="BJ2714">
        <v>1</v>
      </c>
      <c r="BL2714" t="s">
        <v>5633</v>
      </c>
      <c r="BM2714" s="4">
        <v>43283.19027777778</v>
      </c>
      <c r="BN2714" s="4">
        <v>43283.208622685182</v>
      </c>
      <c r="BO2714" s="4">
        <v>43283.208622685182</v>
      </c>
      <c r="BP2714" t="s">
        <v>92</v>
      </c>
      <c r="BQ2714" t="s">
        <v>93</v>
      </c>
      <c r="BR2714" t="s">
        <v>254</v>
      </c>
    </row>
    <row r="2715" spans="1:70" x14ac:dyDescent="0.3">
      <c r="A2715" t="str">
        <f>"201870C0200"</f>
        <v>201870C0200</v>
      </c>
      <c r="B2715" t="s">
        <v>5634</v>
      </c>
      <c r="C2715">
        <v>20</v>
      </c>
      <c r="D2715" t="s">
        <v>88</v>
      </c>
      <c r="E2715">
        <v>419</v>
      </c>
      <c r="F2715" t="s">
        <v>5612</v>
      </c>
      <c r="G2715">
        <v>1870</v>
      </c>
      <c r="H2715">
        <v>2</v>
      </c>
      <c r="I2715" t="s">
        <v>98</v>
      </c>
      <c r="J2715">
        <v>0</v>
      </c>
      <c r="K2715">
        <v>1</v>
      </c>
      <c r="L2715">
        <v>5</v>
      </c>
      <c r="M2715">
        <v>147</v>
      </c>
      <c r="N2715">
        <v>452</v>
      </c>
      <c r="O2715">
        <v>10</v>
      </c>
      <c r="P2715">
        <v>452</v>
      </c>
      <c r="Q2715">
        <v>2</v>
      </c>
      <c r="R2715">
        <v>158</v>
      </c>
      <c r="S2715">
        <v>5</v>
      </c>
      <c r="T2715">
        <v>136</v>
      </c>
      <c r="U2715">
        <v>3</v>
      </c>
      <c r="V2715" t="s">
        <v>105</v>
      </c>
      <c r="W2715">
        <v>3</v>
      </c>
      <c r="X2715" t="s">
        <v>105</v>
      </c>
      <c r="Y2715">
        <v>113</v>
      </c>
      <c r="Z2715">
        <v>1</v>
      </c>
      <c r="AA2715">
        <v>11</v>
      </c>
      <c r="AC2715" t="s">
        <v>105</v>
      </c>
      <c r="AD2715" t="s">
        <v>105</v>
      </c>
      <c r="AE2715" t="s">
        <v>105</v>
      </c>
      <c r="AF2715" t="s">
        <v>105</v>
      </c>
      <c r="AK2715">
        <v>3</v>
      </c>
      <c r="AL2715">
        <v>2</v>
      </c>
      <c r="AM2715" t="s">
        <v>105</v>
      </c>
      <c r="AN2715" t="s">
        <v>105</v>
      </c>
      <c r="AU2715" t="s">
        <v>105</v>
      </c>
      <c r="BC2715" t="s">
        <v>105</v>
      </c>
      <c r="BD2715">
        <v>15</v>
      </c>
      <c r="BE2715">
        <v>452</v>
      </c>
      <c r="BF2715">
        <v>452</v>
      </c>
      <c r="BG2715">
        <v>577</v>
      </c>
      <c r="BI2715" t="s">
        <v>106</v>
      </c>
      <c r="BJ2715">
        <v>1</v>
      </c>
      <c r="BL2715" t="s">
        <v>5635</v>
      </c>
      <c r="BM2715" s="4">
        <v>43283.192361111112</v>
      </c>
      <c r="BN2715" s="4">
        <v>43283.210104166668</v>
      </c>
      <c r="BO2715" s="4">
        <v>43283.210104166668</v>
      </c>
      <c r="BP2715" t="s">
        <v>92</v>
      </c>
      <c r="BQ2715" t="s">
        <v>93</v>
      </c>
      <c r="BR2715" t="s">
        <v>254</v>
      </c>
    </row>
    <row r="2716" spans="1:70" x14ac:dyDescent="0.3">
      <c r="A2716" t="str">
        <f>"201871B0100"</f>
        <v>201871B0100</v>
      </c>
      <c r="B2716" t="s">
        <v>5636</v>
      </c>
      <c r="C2716">
        <v>20</v>
      </c>
      <c r="D2716" t="s">
        <v>88</v>
      </c>
      <c r="E2716">
        <v>419</v>
      </c>
      <c r="F2716" t="s">
        <v>5612</v>
      </c>
      <c r="G2716">
        <v>1871</v>
      </c>
      <c r="H2716">
        <v>1</v>
      </c>
      <c r="I2716" t="s">
        <v>90</v>
      </c>
      <c r="J2716">
        <v>0</v>
      </c>
      <c r="K2716">
        <v>2</v>
      </c>
      <c r="L2716">
        <v>5</v>
      </c>
      <c r="M2716">
        <v>49</v>
      </c>
      <c r="N2716">
        <v>104</v>
      </c>
      <c r="O2716">
        <v>0</v>
      </c>
      <c r="P2716">
        <v>104</v>
      </c>
      <c r="Q2716">
        <v>2</v>
      </c>
      <c r="R2716">
        <v>10</v>
      </c>
      <c r="S2716">
        <v>4</v>
      </c>
      <c r="T2716">
        <v>32</v>
      </c>
      <c r="U2716">
        <v>3</v>
      </c>
      <c r="V2716">
        <v>3</v>
      </c>
      <c r="W2716">
        <v>1</v>
      </c>
      <c r="X2716">
        <v>0</v>
      </c>
      <c r="Y2716">
        <v>15</v>
      </c>
      <c r="Z2716">
        <v>4</v>
      </c>
      <c r="AA2716">
        <v>3</v>
      </c>
      <c r="AC2716">
        <v>0</v>
      </c>
      <c r="AD2716">
        <v>0</v>
      </c>
      <c r="AE2716">
        <v>0</v>
      </c>
      <c r="AF2716">
        <v>0</v>
      </c>
      <c r="AK2716">
        <v>0</v>
      </c>
      <c r="AL2716">
        <v>0</v>
      </c>
      <c r="AM2716">
        <v>0</v>
      </c>
      <c r="AN2716">
        <v>0</v>
      </c>
      <c r="AU2716">
        <v>0</v>
      </c>
      <c r="BC2716">
        <v>0</v>
      </c>
      <c r="BD2716">
        <v>27</v>
      </c>
      <c r="BE2716">
        <v>104</v>
      </c>
      <c r="BF2716">
        <v>104</v>
      </c>
      <c r="BG2716">
        <v>131</v>
      </c>
      <c r="BJ2716">
        <v>1</v>
      </c>
      <c r="BL2716" t="s">
        <v>5637</v>
      </c>
      <c r="BM2716" s="4">
        <v>43283.234722222223</v>
      </c>
      <c r="BN2716" s="4">
        <v>43283.259108796294</v>
      </c>
      <c r="BO2716" s="4">
        <v>43283.259108796294</v>
      </c>
      <c r="BP2716" t="s">
        <v>92</v>
      </c>
      <c r="BQ2716" t="s">
        <v>93</v>
      </c>
      <c r="BR2716" t="s">
        <v>254</v>
      </c>
    </row>
    <row r="2717" spans="1:70" x14ac:dyDescent="0.3">
      <c r="A2717" t="str">
        <f>"201871E0100"</f>
        <v>201871E0100</v>
      </c>
      <c r="B2717" s="2" t="s">
        <v>5638</v>
      </c>
      <c r="C2717">
        <v>20</v>
      </c>
      <c r="D2717" t="s">
        <v>88</v>
      </c>
      <c r="E2717">
        <v>419</v>
      </c>
      <c r="F2717" t="s">
        <v>5612</v>
      </c>
      <c r="G2717">
        <v>1871</v>
      </c>
      <c r="H2717">
        <v>1</v>
      </c>
      <c r="I2717" t="s">
        <v>156</v>
      </c>
      <c r="J2717">
        <v>0</v>
      </c>
      <c r="K2717">
        <v>2</v>
      </c>
      <c r="L2717">
        <v>5</v>
      </c>
      <c r="M2717">
        <v>140</v>
      </c>
      <c r="N2717">
        <v>423</v>
      </c>
      <c r="O2717">
        <v>1</v>
      </c>
      <c r="P2717">
        <v>423</v>
      </c>
      <c r="Q2717">
        <v>0</v>
      </c>
      <c r="R2717">
        <v>166</v>
      </c>
      <c r="S2717">
        <v>2</v>
      </c>
      <c r="T2717">
        <v>67</v>
      </c>
      <c r="U2717">
        <v>2</v>
      </c>
      <c r="V2717">
        <v>0</v>
      </c>
      <c r="W2717">
        <v>2</v>
      </c>
      <c r="X2717">
        <v>1</v>
      </c>
      <c r="Y2717">
        <v>151</v>
      </c>
      <c r="Z2717">
        <v>6</v>
      </c>
      <c r="AA2717">
        <v>9</v>
      </c>
      <c r="AC2717">
        <v>0</v>
      </c>
      <c r="AD2717">
        <v>0</v>
      </c>
      <c r="AE2717">
        <v>0</v>
      </c>
      <c r="AF2717">
        <v>0</v>
      </c>
      <c r="AK2717">
        <v>0</v>
      </c>
      <c r="AL2717">
        <v>1</v>
      </c>
      <c r="AM2717">
        <v>0</v>
      </c>
      <c r="AN2717">
        <v>2</v>
      </c>
      <c r="AU2717">
        <v>0</v>
      </c>
      <c r="BC2717">
        <v>0</v>
      </c>
      <c r="BD2717">
        <v>14</v>
      </c>
      <c r="BE2717">
        <v>423</v>
      </c>
      <c r="BF2717">
        <v>423</v>
      </c>
      <c r="BG2717">
        <v>541</v>
      </c>
      <c r="BJ2717">
        <v>1</v>
      </c>
      <c r="BL2717" t="s">
        <v>5639</v>
      </c>
      <c r="BM2717" s="4">
        <v>43283.236111111109</v>
      </c>
      <c r="BN2717" s="4">
        <v>43283.261828703704</v>
      </c>
      <c r="BO2717" s="4">
        <v>43283.261828703704</v>
      </c>
      <c r="BP2717" t="s">
        <v>92</v>
      </c>
      <c r="BQ2717" t="s">
        <v>93</v>
      </c>
      <c r="BR2717" t="s">
        <v>94</v>
      </c>
    </row>
    <row r="2718" spans="1:70" x14ac:dyDescent="0.3">
      <c r="A2718" t="str">
        <f>"201872B0100"</f>
        <v>201872B0100</v>
      </c>
      <c r="B2718" t="s">
        <v>5640</v>
      </c>
      <c r="C2718">
        <v>20</v>
      </c>
      <c r="D2718" t="s">
        <v>88</v>
      </c>
      <c r="E2718">
        <v>419</v>
      </c>
      <c r="F2718" t="s">
        <v>5612</v>
      </c>
      <c r="G2718">
        <v>1872</v>
      </c>
      <c r="H2718">
        <v>1</v>
      </c>
      <c r="I2718" t="s">
        <v>90</v>
      </c>
      <c r="J2718">
        <v>0</v>
      </c>
      <c r="K2718">
        <v>2</v>
      </c>
      <c r="L2718">
        <v>5</v>
      </c>
      <c r="M2718">
        <v>142</v>
      </c>
      <c r="N2718">
        <v>505</v>
      </c>
      <c r="O2718">
        <v>2</v>
      </c>
      <c r="P2718">
        <v>505</v>
      </c>
      <c r="Q2718">
        <v>0</v>
      </c>
      <c r="R2718">
        <v>344</v>
      </c>
      <c r="S2718">
        <v>0</v>
      </c>
      <c r="T2718">
        <v>50</v>
      </c>
      <c r="U2718">
        <v>2</v>
      </c>
      <c r="V2718">
        <v>2</v>
      </c>
      <c r="W2718">
        <v>3</v>
      </c>
      <c r="X2718">
        <v>1</v>
      </c>
      <c r="Y2718">
        <v>85</v>
      </c>
      <c r="Z2718">
        <v>0</v>
      </c>
      <c r="AA2718">
        <v>5</v>
      </c>
      <c r="AC2718">
        <v>0</v>
      </c>
      <c r="AD2718">
        <v>0</v>
      </c>
      <c r="AE2718">
        <v>0</v>
      </c>
      <c r="AF2718">
        <v>0</v>
      </c>
      <c r="AK2718">
        <v>0</v>
      </c>
      <c r="AL2718">
        <v>1</v>
      </c>
      <c r="AM2718">
        <v>0</v>
      </c>
      <c r="AN2718">
        <v>0</v>
      </c>
      <c r="AU2718">
        <v>0</v>
      </c>
      <c r="BC2718" t="s">
        <v>105</v>
      </c>
      <c r="BD2718">
        <v>12</v>
      </c>
      <c r="BE2718" t="s">
        <v>105</v>
      </c>
      <c r="BF2718">
        <v>505</v>
      </c>
      <c r="BG2718">
        <v>625</v>
      </c>
      <c r="BI2718" t="s">
        <v>106</v>
      </c>
      <c r="BJ2718">
        <v>1</v>
      </c>
      <c r="BL2718" t="s">
        <v>5641</v>
      </c>
      <c r="BM2718" s="4">
        <v>43283.117361111108</v>
      </c>
      <c r="BN2718" s="4">
        <v>43283.123865740738</v>
      </c>
      <c r="BO2718" s="4">
        <v>43283.123865740738</v>
      </c>
      <c r="BP2718" t="s">
        <v>92</v>
      </c>
      <c r="BQ2718" t="s">
        <v>93</v>
      </c>
      <c r="BR2718" t="s">
        <v>94</v>
      </c>
    </row>
    <row r="2719" spans="1:70" x14ac:dyDescent="0.3">
      <c r="A2719" t="str">
        <f>"201872E0100"</f>
        <v>201872E0100</v>
      </c>
      <c r="B2719" s="2" t="s">
        <v>5642</v>
      </c>
      <c r="C2719">
        <v>20</v>
      </c>
      <c r="D2719" t="s">
        <v>88</v>
      </c>
      <c r="E2719">
        <v>419</v>
      </c>
      <c r="F2719" t="s">
        <v>5612</v>
      </c>
      <c r="G2719">
        <v>1872</v>
      </c>
      <c r="H2719">
        <v>1</v>
      </c>
      <c r="I2719" t="s">
        <v>156</v>
      </c>
      <c r="J2719">
        <v>0</v>
      </c>
      <c r="K2719">
        <v>2</v>
      </c>
      <c r="L2719">
        <v>5</v>
      </c>
      <c r="M2719">
        <v>144</v>
      </c>
      <c r="N2719">
        <v>287</v>
      </c>
      <c r="O2719">
        <v>4</v>
      </c>
      <c r="P2719">
        <v>287</v>
      </c>
      <c r="Q2719">
        <v>0</v>
      </c>
      <c r="R2719">
        <v>40</v>
      </c>
      <c r="S2719">
        <v>5</v>
      </c>
      <c r="T2719">
        <v>14</v>
      </c>
      <c r="U2719">
        <v>9</v>
      </c>
      <c r="V2719">
        <v>1</v>
      </c>
      <c r="W2719">
        <v>8</v>
      </c>
      <c r="X2719">
        <v>2</v>
      </c>
      <c r="Y2719">
        <v>160</v>
      </c>
      <c r="Z2719">
        <v>5</v>
      </c>
      <c r="AA2719">
        <v>32</v>
      </c>
      <c r="AC2719">
        <v>0</v>
      </c>
      <c r="AD2719">
        <v>0</v>
      </c>
      <c r="AE2719">
        <v>0</v>
      </c>
      <c r="AF2719">
        <v>0</v>
      </c>
      <c r="AK2719">
        <v>2</v>
      </c>
      <c r="AL2719">
        <v>0</v>
      </c>
      <c r="AM2719">
        <v>0</v>
      </c>
      <c r="AN2719">
        <v>1</v>
      </c>
      <c r="AU2719">
        <v>1</v>
      </c>
      <c r="BC2719">
        <v>0</v>
      </c>
      <c r="BD2719">
        <v>7</v>
      </c>
      <c r="BE2719">
        <v>287</v>
      </c>
      <c r="BF2719">
        <v>287</v>
      </c>
      <c r="BG2719">
        <v>409</v>
      </c>
      <c r="BJ2719">
        <v>1</v>
      </c>
      <c r="BL2719" t="s">
        <v>5643</v>
      </c>
      <c r="BM2719" s="4">
        <v>43283.11041666667</v>
      </c>
      <c r="BN2719" s="4">
        <v>43283.131643518522</v>
      </c>
      <c r="BO2719" s="4">
        <v>43283.131643518522</v>
      </c>
      <c r="BP2719" t="s">
        <v>92</v>
      </c>
      <c r="BQ2719" t="s">
        <v>93</v>
      </c>
      <c r="BR2719" t="s">
        <v>94</v>
      </c>
    </row>
    <row r="2720" spans="1:70" x14ac:dyDescent="0.3">
      <c r="A2720" t="str">
        <f>"201875B0100"</f>
        <v>201875B0100</v>
      </c>
      <c r="B2720" t="s">
        <v>5644</v>
      </c>
      <c r="C2720">
        <v>20</v>
      </c>
      <c r="D2720" t="s">
        <v>88</v>
      </c>
      <c r="E2720">
        <v>422</v>
      </c>
      <c r="F2720" t="s">
        <v>5645</v>
      </c>
      <c r="G2720">
        <v>1875</v>
      </c>
      <c r="H2720">
        <v>1</v>
      </c>
      <c r="I2720" t="s">
        <v>90</v>
      </c>
      <c r="J2720">
        <v>0</v>
      </c>
      <c r="K2720">
        <v>2</v>
      </c>
      <c r="L2720">
        <v>5</v>
      </c>
      <c r="M2720">
        <v>115</v>
      </c>
      <c r="N2720">
        <v>398</v>
      </c>
      <c r="O2720">
        <v>0</v>
      </c>
      <c r="P2720">
        <v>398</v>
      </c>
      <c r="Q2720">
        <v>1</v>
      </c>
      <c r="R2720">
        <v>41</v>
      </c>
      <c r="S2720">
        <v>141</v>
      </c>
      <c r="T2720">
        <v>22</v>
      </c>
      <c r="U2720">
        <v>62</v>
      </c>
      <c r="V2720">
        <v>1</v>
      </c>
      <c r="W2720">
        <v>53</v>
      </c>
      <c r="X2720">
        <v>1</v>
      </c>
      <c r="Y2720">
        <v>54</v>
      </c>
      <c r="Z2720">
        <v>1</v>
      </c>
      <c r="AC2720">
        <v>1</v>
      </c>
      <c r="AD2720">
        <v>1</v>
      </c>
      <c r="AE2720">
        <v>0</v>
      </c>
      <c r="AF2720">
        <v>0</v>
      </c>
      <c r="AK2720">
        <v>2</v>
      </c>
      <c r="AL2720">
        <v>1</v>
      </c>
      <c r="AM2720">
        <v>0</v>
      </c>
      <c r="AN2720">
        <v>0</v>
      </c>
      <c r="AU2720">
        <v>0</v>
      </c>
      <c r="BC2720">
        <v>0</v>
      </c>
      <c r="BD2720">
        <v>16</v>
      </c>
      <c r="BE2720">
        <v>398</v>
      </c>
      <c r="BF2720">
        <v>398</v>
      </c>
      <c r="BG2720">
        <v>491</v>
      </c>
      <c r="BJ2720">
        <v>1</v>
      </c>
      <c r="BL2720" t="s">
        <v>5646</v>
      </c>
      <c r="BM2720" s="4">
        <v>43283.52847222222</v>
      </c>
      <c r="BN2720" s="4">
        <v>43283.535231481481</v>
      </c>
      <c r="BO2720" s="4">
        <v>43283.535231481481</v>
      </c>
      <c r="BP2720" t="s">
        <v>92</v>
      </c>
      <c r="BQ2720" t="s">
        <v>93</v>
      </c>
      <c r="BR2720" t="s">
        <v>94</v>
      </c>
    </row>
    <row r="2721" spans="1:70" x14ac:dyDescent="0.3">
      <c r="A2721" t="str">
        <f>"201875C0100"</f>
        <v>201875C0100</v>
      </c>
      <c r="B2721" t="s">
        <v>5647</v>
      </c>
      <c r="C2721">
        <v>20</v>
      </c>
      <c r="D2721" t="s">
        <v>88</v>
      </c>
      <c r="E2721">
        <v>422</v>
      </c>
      <c r="F2721" t="s">
        <v>5645</v>
      </c>
      <c r="G2721">
        <v>1875</v>
      </c>
      <c r="H2721">
        <v>1</v>
      </c>
      <c r="I2721" t="s">
        <v>98</v>
      </c>
      <c r="J2721">
        <v>0</v>
      </c>
      <c r="K2721">
        <v>2</v>
      </c>
      <c r="L2721">
        <v>5</v>
      </c>
      <c r="M2721">
        <v>123</v>
      </c>
      <c r="N2721">
        <v>388</v>
      </c>
      <c r="O2721">
        <v>1</v>
      </c>
      <c r="P2721">
        <v>388</v>
      </c>
      <c r="Q2721">
        <v>1</v>
      </c>
      <c r="R2721">
        <v>35</v>
      </c>
      <c r="S2721">
        <v>131</v>
      </c>
      <c r="T2721">
        <v>24</v>
      </c>
      <c r="U2721">
        <v>61</v>
      </c>
      <c r="V2721">
        <v>1</v>
      </c>
      <c r="W2721">
        <v>51</v>
      </c>
      <c r="X2721">
        <v>0</v>
      </c>
      <c r="Y2721">
        <v>61</v>
      </c>
      <c r="Z2721">
        <v>1</v>
      </c>
      <c r="AC2721">
        <v>1</v>
      </c>
      <c r="AD2721">
        <v>1</v>
      </c>
      <c r="AE2721">
        <v>0</v>
      </c>
      <c r="AF2721">
        <v>1</v>
      </c>
      <c r="AK2721">
        <v>4</v>
      </c>
      <c r="AL2721">
        <v>4</v>
      </c>
      <c r="AM2721">
        <v>0</v>
      </c>
      <c r="AN2721">
        <v>0</v>
      </c>
      <c r="AU2721">
        <v>0</v>
      </c>
      <c r="BC2721">
        <v>0</v>
      </c>
      <c r="BD2721">
        <v>11</v>
      </c>
      <c r="BE2721">
        <v>389</v>
      </c>
      <c r="BF2721">
        <v>388</v>
      </c>
      <c r="BG2721">
        <v>490</v>
      </c>
      <c r="BJ2721">
        <v>1</v>
      </c>
      <c r="BL2721" t="s">
        <v>5648</v>
      </c>
      <c r="BM2721" s="4">
        <v>43283.530555555553</v>
      </c>
      <c r="BN2721" s="4">
        <v>43283.535717592589</v>
      </c>
      <c r="BO2721" s="4">
        <v>43283.535717592589</v>
      </c>
      <c r="BP2721" t="s">
        <v>92</v>
      </c>
      <c r="BQ2721" t="s">
        <v>93</v>
      </c>
      <c r="BR2721" t="s">
        <v>94</v>
      </c>
    </row>
    <row r="2722" spans="1:70" x14ac:dyDescent="0.3">
      <c r="A2722" t="str">
        <f>"201876B0100"</f>
        <v>201876B0100</v>
      </c>
      <c r="B2722" t="s">
        <v>5649</v>
      </c>
      <c r="C2722">
        <v>20</v>
      </c>
      <c r="D2722" t="s">
        <v>88</v>
      </c>
      <c r="E2722">
        <v>422</v>
      </c>
      <c r="F2722" t="s">
        <v>5645</v>
      </c>
      <c r="G2722">
        <v>1876</v>
      </c>
      <c r="H2722">
        <v>1</v>
      </c>
      <c r="I2722" t="s">
        <v>90</v>
      </c>
      <c r="J2722">
        <v>0</v>
      </c>
      <c r="K2722">
        <v>1</v>
      </c>
      <c r="L2722">
        <v>5</v>
      </c>
      <c r="M2722">
        <v>152</v>
      </c>
      <c r="N2722">
        <v>551</v>
      </c>
      <c r="O2722">
        <v>1</v>
      </c>
      <c r="P2722">
        <v>551</v>
      </c>
      <c r="Q2722">
        <v>7</v>
      </c>
      <c r="R2722">
        <v>56</v>
      </c>
      <c r="S2722">
        <v>202</v>
      </c>
      <c r="T2722">
        <v>18</v>
      </c>
      <c r="U2722">
        <v>87</v>
      </c>
      <c r="V2722">
        <v>3</v>
      </c>
      <c r="W2722">
        <v>77</v>
      </c>
      <c r="X2722">
        <v>1</v>
      </c>
      <c r="Y2722">
        <v>65</v>
      </c>
      <c r="Z2722">
        <v>3</v>
      </c>
      <c r="AC2722">
        <v>1</v>
      </c>
      <c r="AD2722">
        <v>3</v>
      </c>
      <c r="AE2722">
        <v>0</v>
      </c>
      <c r="AF2722">
        <v>0</v>
      </c>
      <c r="AK2722">
        <v>5</v>
      </c>
      <c r="AL2722">
        <v>2</v>
      </c>
      <c r="AM2722">
        <v>1</v>
      </c>
      <c r="AN2722">
        <v>1</v>
      </c>
      <c r="AU2722">
        <v>0</v>
      </c>
      <c r="BC2722" t="s">
        <v>105</v>
      </c>
      <c r="BD2722">
        <v>20</v>
      </c>
      <c r="BE2722">
        <v>551</v>
      </c>
      <c r="BF2722">
        <v>552</v>
      </c>
      <c r="BG2722">
        <v>682</v>
      </c>
      <c r="BI2722" t="s">
        <v>106</v>
      </c>
      <c r="BJ2722">
        <v>1</v>
      </c>
      <c r="BL2722" t="s">
        <v>5650</v>
      </c>
      <c r="BM2722" s="4">
        <v>43283.529166666667</v>
      </c>
      <c r="BN2722" s="4">
        <v>43283.534884259258</v>
      </c>
      <c r="BO2722" s="4">
        <v>43283.534884259258</v>
      </c>
      <c r="BP2722" t="s">
        <v>92</v>
      </c>
      <c r="BQ2722" t="s">
        <v>93</v>
      </c>
      <c r="BR2722" t="s">
        <v>94</v>
      </c>
    </row>
    <row r="2723" spans="1:70" x14ac:dyDescent="0.3">
      <c r="A2723" t="str">
        <f>"201876C0100"</f>
        <v>201876C0100</v>
      </c>
      <c r="B2723" t="s">
        <v>5651</v>
      </c>
      <c r="C2723">
        <v>20</v>
      </c>
      <c r="D2723" t="s">
        <v>88</v>
      </c>
      <c r="E2723">
        <v>422</v>
      </c>
      <c r="F2723" t="s">
        <v>5645</v>
      </c>
      <c r="G2723">
        <v>1876</v>
      </c>
      <c r="H2723">
        <v>1</v>
      </c>
      <c r="I2723" t="s">
        <v>98</v>
      </c>
      <c r="J2723">
        <v>0</v>
      </c>
      <c r="K2723">
        <v>1</v>
      </c>
      <c r="L2723">
        <v>5</v>
      </c>
      <c r="M2723">
        <v>151</v>
      </c>
      <c r="N2723">
        <v>553</v>
      </c>
      <c r="O2723">
        <v>0</v>
      </c>
      <c r="P2723">
        <v>553</v>
      </c>
      <c r="Q2723">
        <v>5</v>
      </c>
      <c r="R2723">
        <v>69</v>
      </c>
      <c r="S2723">
        <v>171</v>
      </c>
      <c r="T2723">
        <v>39</v>
      </c>
      <c r="U2723">
        <v>72</v>
      </c>
      <c r="V2723">
        <v>2</v>
      </c>
      <c r="W2723">
        <v>82</v>
      </c>
      <c r="X2723">
        <v>1</v>
      </c>
      <c r="Y2723">
        <v>77</v>
      </c>
      <c r="Z2723">
        <v>4</v>
      </c>
      <c r="AC2723">
        <v>2</v>
      </c>
      <c r="AD2723">
        <v>1</v>
      </c>
      <c r="AE2723">
        <v>0</v>
      </c>
      <c r="AF2723">
        <v>0</v>
      </c>
      <c r="AK2723">
        <v>6</v>
      </c>
      <c r="AL2723">
        <v>6</v>
      </c>
      <c r="AM2723">
        <v>0</v>
      </c>
      <c r="AN2723">
        <v>1</v>
      </c>
      <c r="AU2723">
        <v>0</v>
      </c>
      <c r="BC2723">
        <v>0</v>
      </c>
      <c r="BD2723">
        <v>15</v>
      </c>
      <c r="BE2723">
        <v>553</v>
      </c>
      <c r="BF2723">
        <v>553</v>
      </c>
      <c r="BG2723">
        <v>682</v>
      </c>
      <c r="BJ2723">
        <v>1</v>
      </c>
      <c r="BL2723" t="s">
        <v>5652</v>
      </c>
      <c r="BM2723" s="4">
        <v>43283.529861111114</v>
      </c>
      <c r="BN2723" s="4">
        <v>43283.535162037035</v>
      </c>
      <c r="BO2723" s="4">
        <v>43283.535162037035</v>
      </c>
      <c r="BP2723" t="s">
        <v>92</v>
      </c>
      <c r="BQ2723" t="s">
        <v>93</v>
      </c>
      <c r="BR2723" t="s">
        <v>94</v>
      </c>
    </row>
    <row r="2724" spans="1:70" x14ac:dyDescent="0.3">
      <c r="A2724" t="str">
        <f>"201877B0100"</f>
        <v>201877B0100</v>
      </c>
      <c r="B2724" t="s">
        <v>5653</v>
      </c>
      <c r="C2724">
        <v>20</v>
      </c>
      <c r="D2724" t="s">
        <v>88</v>
      </c>
      <c r="E2724">
        <v>422</v>
      </c>
      <c r="F2724" t="s">
        <v>5645</v>
      </c>
      <c r="G2724">
        <v>1877</v>
      </c>
      <c r="H2724">
        <v>1</v>
      </c>
      <c r="I2724" t="s">
        <v>90</v>
      </c>
      <c r="J2724">
        <v>0</v>
      </c>
      <c r="K2724">
        <v>2</v>
      </c>
      <c r="L2724">
        <v>5</v>
      </c>
      <c r="M2724">
        <v>130</v>
      </c>
      <c r="N2724">
        <v>446</v>
      </c>
      <c r="O2724">
        <v>3</v>
      </c>
      <c r="P2724">
        <v>446</v>
      </c>
      <c r="Q2724">
        <v>4</v>
      </c>
      <c r="R2724">
        <v>53</v>
      </c>
      <c r="S2724">
        <v>111</v>
      </c>
      <c r="T2724">
        <v>32</v>
      </c>
      <c r="U2724">
        <v>92</v>
      </c>
      <c r="V2724">
        <v>1</v>
      </c>
      <c r="W2724">
        <v>89</v>
      </c>
      <c r="X2724">
        <v>0</v>
      </c>
      <c r="Y2724">
        <v>49</v>
      </c>
      <c r="Z2724">
        <v>0</v>
      </c>
      <c r="AC2724">
        <v>0</v>
      </c>
      <c r="AD2724">
        <v>0</v>
      </c>
      <c r="AE2724">
        <v>0</v>
      </c>
      <c r="AF2724">
        <v>3</v>
      </c>
      <c r="AK2724">
        <v>1</v>
      </c>
      <c r="AL2724">
        <v>3</v>
      </c>
      <c r="AM2724">
        <v>0</v>
      </c>
      <c r="AN2724">
        <v>1</v>
      </c>
      <c r="AU2724">
        <v>0</v>
      </c>
      <c r="BC2724">
        <v>0</v>
      </c>
      <c r="BD2724">
        <v>7</v>
      </c>
      <c r="BE2724">
        <v>446</v>
      </c>
      <c r="BF2724">
        <v>446</v>
      </c>
      <c r="BG2724">
        <v>554</v>
      </c>
      <c r="BJ2724">
        <v>1</v>
      </c>
      <c r="BL2724" t="s">
        <v>5654</v>
      </c>
      <c r="BM2724" s="4">
        <v>43283.52847222222</v>
      </c>
      <c r="BN2724" s="4">
        <v>43283.539652777778</v>
      </c>
      <c r="BO2724" s="4">
        <v>43283.539652777778</v>
      </c>
      <c r="BP2724" t="s">
        <v>92</v>
      </c>
      <c r="BQ2724" t="s">
        <v>93</v>
      </c>
      <c r="BR2724" t="s">
        <v>94</v>
      </c>
    </row>
    <row r="2725" spans="1:70" x14ac:dyDescent="0.3">
      <c r="A2725" t="str">
        <f>"201877C0100"</f>
        <v>201877C0100</v>
      </c>
      <c r="B2725" t="s">
        <v>5655</v>
      </c>
      <c r="C2725">
        <v>20</v>
      </c>
      <c r="D2725" t="s">
        <v>88</v>
      </c>
      <c r="E2725">
        <v>422</v>
      </c>
      <c r="F2725" t="s">
        <v>5645</v>
      </c>
      <c r="G2725">
        <v>1877</v>
      </c>
      <c r="H2725">
        <v>1</v>
      </c>
      <c r="I2725" t="s">
        <v>98</v>
      </c>
      <c r="J2725">
        <v>0</v>
      </c>
      <c r="K2725">
        <v>2</v>
      </c>
      <c r="L2725">
        <v>5</v>
      </c>
      <c r="M2725">
        <v>115</v>
      </c>
      <c r="N2725">
        <v>461</v>
      </c>
      <c r="O2725">
        <v>0</v>
      </c>
      <c r="P2725">
        <v>9</v>
      </c>
      <c r="Q2725">
        <v>6</v>
      </c>
      <c r="R2725">
        <v>73</v>
      </c>
      <c r="S2725">
        <v>152</v>
      </c>
      <c r="T2725">
        <v>18</v>
      </c>
      <c r="U2725">
        <v>67</v>
      </c>
      <c r="V2725">
        <v>2</v>
      </c>
      <c r="W2725">
        <v>66</v>
      </c>
      <c r="X2725">
        <v>0</v>
      </c>
      <c r="Y2725">
        <v>51</v>
      </c>
      <c r="Z2725">
        <v>2</v>
      </c>
      <c r="AC2725">
        <v>2</v>
      </c>
      <c r="AD2725">
        <v>0</v>
      </c>
      <c r="AE2725">
        <v>0</v>
      </c>
      <c r="AF2725">
        <v>1</v>
      </c>
      <c r="AK2725">
        <v>0</v>
      </c>
      <c r="AL2725">
        <v>2</v>
      </c>
      <c r="AM2725">
        <v>0</v>
      </c>
      <c r="AN2725">
        <v>0</v>
      </c>
      <c r="AU2725">
        <v>0</v>
      </c>
      <c r="BC2725">
        <v>0</v>
      </c>
      <c r="BD2725">
        <v>19</v>
      </c>
      <c r="BE2725">
        <v>461</v>
      </c>
      <c r="BF2725">
        <v>461</v>
      </c>
      <c r="BG2725">
        <v>554</v>
      </c>
      <c r="BJ2725">
        <v>1</v>
      </c>
      <c r="BL2725" t="s">
        <v>5656</v>
      </c>
      <c r="BM2725" s="4">
        <v>43283.527777777781</v>
      </c>
      <c r="BN2725" s="4">
        <v>43283.535243055558</v>
      </c>
      <c r="BO2725" s="4">
        <v>43283.535243055558</v>
      </c>
      <c r="BP2725" t="s">
        <v>92</v>
      </c>
      <c r="BQ2725" t="s">
        <v>93</v>
      </c>
      <c r="BR2725" t="s">
        <v>94</v>
      </c>
    </row>
    <row r="2726" spans="1:70" x14ac:dyDescent="0.3">
      <c r="A2726" t="str">
        <f>"201888B0100"</f>
        <v>201888B0100</v>
      </c>
      <c r="B2726" t="s">
        <v>5657</v>
      </c>
      <c r="C2726">
        <v>20</v>
      </c>
      <c r="D2726" t="s">
        <v>88</v>
      </c>
      <c r="E2726">
        <v>427</v>
      </c>
      <c r="F2726" t="s">
        <v>5658</v>
      </c>
      <c r="G2726">
        <v>1888</v>
      </c>
      <c r="H2726">
        <v>1</v>
      </c>
      <c r="I2726" t="s">
        <v>90</v>
      </c>
      <c r="J2726">
        <v>0</v>
      </c>
      <c r="K2726">
        <v>1</v>
      </c>
      <c r="L2726">
        <v>5</v>
      </c>
      <c r="M2726">
        <v>167</v>
      </c>
      <c r="N2726">
        <v>572</v>
      </c>
      <c r="O2726">
        <v>0</v>
      </c>
      <c r="P2726">
        <v>572</v>
      </c>
      <c r="Q2726">
        <v>2</v>
      </c>
      <c r="R2726">
        <v>137</v>
      </c>
      <c r="S2726">
        <v>17</v>
      </c>
      <c r="T2726">
        <v>105</v>
      </c>
      <c r="U2726">
        <v>40</v>
      </c>
      <c r="V2726">
        <v>3</v>
      </c>
      <c r="W2726">
        <v>0</v>
      </c>
      <c r="X2726">
        <v>1</v>
      </c>
      <c r="Y2726">
        <v>237</v>
      </c>
      <c r="Z2726">
        <v>4</v>
      </c>
      <c r="AC2726">
        <v>0</v>
      </c>
      <c r="AD2726">
        <v>0</v>
      </c>
      <c r="AE2726">
        <v>0</v>
      </c>
      <c r="AF2726">
        <v>0</v>
      </c>
      <c r="AK2726">
        <v>4</v>
      </c>
      <c r="AL2726">
        <v>1</v>
      </c>
      <c r="AM2726">
        <v>0</v>
      </c>
      <c r="AN2726">
        <v>0</v>
      </c>
      <c r="AV2726">
        <v>0</v>
      </c>
      <c r="BC2726">
        <v>0</v>
      </c>
      <c r="BD2726">
        <v>18</v>
      </c>
      <c r="BE2726">
        <v>551</v>
      </c>
      <c r="BF2726">
        <v>569</v>
      </c>
      <c r="BG2726">
        <v>717</v>
      </c>
      <c r="BJ2726">
        <v>1</v>
      </c>
      <c r="BL2726" t="s">
        <v>5659</v>
      </c>
      <c r="BM2726" s="4">
        <v>43283.232638888891</v>
      </c>
      <c r="BN2726" s="4">
        <v>43283.255659722221</v>
      </c>
      <c r="BO2726" s="4">
        <v>43283.255659722221</v>
      </c>
      <c r="BP2726" t="s">
        <v>92</v>
      </c>
      <c r="BQ2726" t="s">
        <v>93</v>
      </c>
      <c r="BR2726" t="s">
        <v>254</v>
      </c>
    </row>
    <row r="2727" spans="1:70" x14ac:dyDescent="0.3">
      <c r="A2727" t="str">
        <f>"201889B0100"</f>
        <v>201889B0100</v>
      </c>
      <c r="B2727" t="s">
        <v>5660</v>
      </c>
      <c r="C2727">
        <v>20</v>
      </c>
      <c r="D2727" t="s">
        <v>88</v>
      </c>
      <c r="E2727">
        <v>427</v>
      </c>
      <c r="F2727" t="s">
        <v>5658</v>
      </c>
      <c r="G2727">
        <v>1889</v>
      </c>
      <c r="H2727">
        <v>1</v>
      </c>
      <c r="I2727" t="s">
        <v>90</v>
      </c>
      <c r="J2727">
        <v>0</v>
      </c>
      <c r="K2727">
        <v>1</v>
      </c>
      <c r="L2727">
        <v>5</v>
      </c>
      <c r="BG2727">
        <v>516</v>
      </c>
      <c r="BI2727" t="s">
        <v>407</v>
      </c>
      <c r="BJ2727">
        <v>0</v>
      </c>
      <c r="BL2727" s="2" t="s">
        <v>5661</v>
      </c>
      <c r="BM2727" s="4">
        <v>43283.171527777777</v>
      </c>
      <c r="BN2727" s="4">
        <v>43283.185057870367</v>
      </c>
      <c r="BO2727" s="4">
        <v>43283.185057870367</v>
      </c>
      <c r="BP2727" t="s">
        <v>92</v>
      </c>
      <c r="BQ2727" t="s">
        <v>93</v>
      </c>
      <c r="BR2727" t="s">
        <v>94</v>
      </c>
    </row>
    <row r="2728" spans="1:70" x14ac:dyDescent="0.3">
      <c r="A2728" t="str">
        <f>"201889C0100"</f>
        <v>201889C0100</v>
      </c>
      <c r="B2728" t="s">
        <v>5662</v>
      </c>
      <c r="C2728">
        <v>20</v>
      </c>
      <c r="D2728" t="s">
        <v>88</v>
      </c>
      <c r="E2728">
        <v>427</v>
      </c>
      <c r="F2728" t="s">
        <v>5658</v>
      </c>
      <c r="G2728">
        <v>1889</v>
      </c>
      <c r="H2728">
        <v>1</v>
      </c>
      <c r="I2728" t="s">
        <v>98</v>
      </c>
      <c r="J2728">
        <v>0</v>
      </c>
      <c r="K2728">
        <v>2</v>
      </c>
      <c r="L2728">
        <v>5</v>
      </c>
      <c r="BG2728">
        <v>516</v>
      </c>
      <c r="BI2728" t="s">
        <v>407</v>
      </c>
      <c r="BJ2728">
        <v>0</v>
      </c>
      <c r="BL2728" t="s">
        <v>5663</v>
      </c>
      <c r="BM2728" s="4">
        <v>43283.138888888891</v>
      </c>
      <c r="BN2728" s="4">
        <v>43283.158310185187</v>
      </c>
      <c r="BO2728" s="4">
        <v>43283.158310185187</v>
      </c>
      <c r="BP2728" t="s">
        <v>92</v>
      </c>
      <c r="BQ2728" t="s">
        <v>93</v>
      </c>
      <c r="BR2728" t="s">
        <v>94</v>
      </c>
    </row>
    <row r="2729" spans="1:70" x14ac:dyDescent="0.3">
      <c r="A2729" t="str">
        <f>"201890B0100"</f>
        <v>201890B0100</v>
      </c>
      <c r="B2729" t="s">
        <v>5664</v>
      </c>
      <c r="C2729">
        <v>20</v>
      </c>
      <c r="D2729" t="s">
        <v>88</v>
      </c>
      <c r="E2729">
        <v>427</v>
      </c>
      <c r="F2729" t="s">
        <v>5658</v>
      </c>
      <c r="G2729">
        <v>1890</v>
      </c>
      <c r="H2729">
        <v>1</v>
      </c>
      <c r="I2729" t="s">
        <v>90</v>
      </c>
      <c r="J2729">
        <v>0</v>
      </c>
      <c r="K2729">
        <v>1</v>
      </c>
      <c r="L2729">
        <v>5</v>
      </c>
      <c r="M2729">
        <v>219</v>
      </c>
      <c r="N2729">
        <v>303</v>
      </c>
      <c r="O2729">
        <v>3</v>
      </c>
      <c r="P2729">
        <v>303</v>
      </c>
      <c r="Q2729">
        <v>7</v>
      </c>
      <c r="R2729">
        <v>76</v>
      </c>
      <c r="S2729">
        <v>8</v>
      </c>
      <c r="T2729">
        <v>8</v>
      </c>
      <c r="U2729">
        <v>11</v>
      </c>
      <c r="V2729">
        <v>2</v>
      </c>
      <c r="W2729">
        <v>2</v>
      </c>
      <c r="X2729">
        <v>0</v>
      </c>
      <c r="Y2729">
        <v>161</v>
      </c>
      <c r="Z2729">
        <v>2</v>
      </c>
      <c r="AC2729">
        <v>0</v>
      </c>
      <c r="AD2729">
        <v>1</v>
      </c>
      <c r="AE2729">
        <v>0</v>
      </c>
      <c r="AF2729">
        <v>0</v>
      </c>
      <c r="AK2729">
        <v>2</v>
      </c>
      <c r="AL2729">
        <v>2</v>
      </c>
      <c r="AM2729">
        <v>0</v>
      </c>
      <c r="AN2729">
        <v>3</v>
      </c>
      <c r="AV2729">
        <v>0</v>
      </c>
      <c r="BC2729">
        <v>0</v>
      </c>
      <c r="BD2729">
        <v>15</v>
      </c>
      <c r="BE2729">
        <v>300</v>
      </c>
      <c r="BF2729">
        <v>300</v>
      </c>
      <c r="BG2729">
        <v>502</v>
      </c>
      <c r="BJ2729">
        <v>1</v>
      </c>
      <c r="BL2729" t="s">
        <v>5665</v>
      </c>
      <c r="BM2729" s="4">
        <v>43283.179166666669</v>
      </c>
      <c r="BN2729" s="4">
        <v>43283.198171296295</v>
      </c>
      <c r="BO2729" s="4">
        <v>43283.198171296295</v>
      </c>
      <c r="BP2729" t="s">
        <v>92</v>
      </c>
      <c r="BQ2729" t="s">
        <v>93</v>
      </c>
      <c r="BR2729" t="s">
        <v>94</v>
      </c>
    </row>
    <row r="2730" spans="1:70" x14ac:dyDescent="0.3">
      <c r="A2730" t="str">
        <f>"201890C0100"</f>
        <v>201890C0100</v>
      </c>
      <c r="B2730" t="s">
        <v>5666</v>
      </c>
      <c r="C2730">
        <v>20</v>
      </c>
      <c r="D2730" t="s">
        <v>88</v>
      </c>
      <c r="E2730">
        <v>427</v>
      </c>
      <c r="F2730" t="s">
        <v>5658</v>
      </c>
      <c r="G2730">
        <v>1890</v>
      </c>
      <c r="H2730">
        <v>1</v>
      </c>
      <c r="I2730" t="s">
        <v>98</v>
      </c>
      <c r="J2730">
        <v>0</v>
      </c>
      <c r="K2730">
        <v>1</v>
      </c>
      <c r="L2730">
        <v>5</v>
      </c>
      <c r="M2730">
        <v>187</v>
      </c>
      <c r="N2730">
        <v>342</v>
      </c>
      <c r="O2730">
        <v>5</v>
      </c>
      <c r="P2730">
        <v>331</v>
      </c>
      <c r="Q2730">
        <v>3</v>
      </c>
      <c r="R2730">
        <v>97</v>
      </c>
      <c r="S2730">
        <v>15</v>
      </c>
      <c r="T2730">
        <v>16</v>
      </c>
      <c r="U2730">
        <v>14</v>
      </c>
      <c r="V2730">
        <v>5</v>
      </c>
      <c r="W2730">
        <v>1</v>
      </c>
      <c r="X2730">
        <v>3</v>
      </c>
      <c r="Y2730">
        <v>164</v>
      </c>
      <c r="Z2730">
        <v>3</v>
      </c>
      <c r="AC2730">
        <v>0</v>
      </c>
      <c r="AD2730">
        <v>0</v>
      </c>
      <c r="AE2730">
        <v>0</v>
      </c>
      <c r="AF2730">
        <v>0</v>
      </c>
      <c r="AK2730">
        <v>1</v>
      </c>
      <c r="AL2730">
        <v>1</v>
      </c>
      <c r="AM2730">
        <v>0</v>
      </c>
      <c r="AN2730">
        <v>0</v>
      </c>
      <c r="AV2730">
        <v>0</v>
      </c>
      <c r="BC2730">
        <v>0</v>
      </c>
      <c r="BD2730">
        <v>8</v>
      </c>
      <c r="BE2730">
        <v>331</v>
      </c>
      <c r="BF2730">
        <v>331</v>
      </c>
      <c r="BG2730">
        <v>502</v>
      </c>
      <c r="BJ2730">
        <v>1</v>
      </c>
      <c r="BL2730" t="s">
        <v>5667</v>
      </c>
      <c r="BM2730" s="4">
        <v>43283.177083333336</v>
      </c>
      <c r="BN2730" s="4">
        <v>43283.193171296298</v>
      </c>
      <c r="BO2730" s="4">
        <v>43283.193171296298</v>
      </c>
      <c r="BP2730" t="s">
        <v>92</v>
      </c>
      <c r="BQ2730" t="s">
        <v>93</v>
      </c>
      <c r="BR2730" t="s">
        <v>94</v>
      </c>
    </row>
    <row r="2731" spans="1:70" x14ac:dyDescent="0.3">
      <c r="A2731" t="str">
        <f>"201890C0200"</f>
        <v>201890C0200</v>
      </c>
      <c r="B2731" t="s">
        <v>5668</v>
      </c>
      <c r="C2731">
        <v>20</v>
      </c>
      <c r="D2731" t="s">
        <v>88</v>
      </c>
      <c r="E2731">
        <v>427</v>
      </c>
      <c r="F2731" t="s">
        <v>5658</v>
      </c>
      <c r="G2731">
        <v>1890</v>
      </c>
      <c r="H2731">
        <v>2</v>
      </c>
      <c r="I2731" t="s">
        <v>98</v>
      </c>
      <c r="J2731">
        <v>0</v>
      </c>
      <c r="K2731">
        <v>1</v>
      </c>
      <c r="L2731">
        <v>5</v>
      </c>
      <c r="M2731">
        <v>213</v>
      </c>
      <c r="N2731">
        <v>309</v>
      </c>
      <c r="O2731">
        <v>4</v>
      </c>
      <c r="P2731">
        <v>309</v>
      </c>
      <c r="Q2731">
        <v>5</v>
      </c>
      <c r="R2731">
        <v>82</v>
      </c>
      <c r="S2731">
        <v>9</v>
      </c>
      <c r="T2731">
        <v>16</v>
      </c>
      <c r="U2731">
        <v>12</v>
      </c>
      <c r="V2731">
        <v>3</v>
      </c>
      <c r="W2731">
        <v>1</v>
      </c>
      <c r="X2731">
        <v>2</v>
      </c>
      <c r="Y2731">
        <v>161</v>
      </c>
      <c r="Z2731">
        <v>5</v>
      </c>
      <c r="AC2731">
        <v>1</v>
      </c>
      <c r="AD2731">
        <v>0</v>
      </c>
      <c r="AE2731">
        <v>1</v>
      </c>
      <c r="AF2731">
        <v>0</v>
      </c>
      <c r="AK2731">
        <v>2</v>
      </c>
      <c r="AL2731">
        <v>1</v>
      </c>
      <c r="AM2731">
        <v>0</v>
      </c>
      <c r="AN2731">
        <v>1</v>
      </c>
      <c r="AV2731">
        <v>0</v>
      </c>
      <c r="BC2731">
        <v>0</v>
      </c>
      <c r="BD2731">
        <v>12</v>
      </c>
      <c r="BE2731">
        <v>314</v>
      </c>
      <c r="BF2731">
        <v>314</v>
      </c>
      <c r="BG2731">
        <v>501</v>
      </c>
      <c r="BJ2731">
        <v>1</v>
      </c>
      <c r="BL2731" t="s">
        <v>5669</v>
      </c>
      <c r="BM2731" s="4">
        <v>43283.173611111109</v>
      </c>
      <c r="BN2731" s="4">
        <v>43283.190636574072</v>
      </c>
      <c r="BO2731" s="4">
        <v>43283.190636574072</v>
      </c>
      <c r="BP2731" t="s">
        <v>92</v>
      </c>
      <c r="BQ2731" t="s">
        <v>93</v>
      </c>
      <c r="BR2731" t="s">
        <v>94</v>
      </c>
    </row>
    <row r="2732" spans="1:70" x14ac:dyDescent="0.3">
      <c r="A2732" t="str">
        <f>"201891B0100"</f>
        <v>201891B0100</v>
      </c>
      <c r="B2732" t="s">
        <v>5670</v>
      </c>
      <c r="C2732">
        <v>20</v>
      </c>
      <c r="D2732" t="s">
        <v>88</v>
      </c>
      <c r="E2732">
        <v>427</v>
      </c>
      <c r="F2732" t="s">
        <v>5658</v>
      </c>
      <c r="G2732">
        <v>1891</v>
      </c>
      <c r="H2732">
        <v>1</v>
      </c>
      <c r="I2732" t="s">
        <v>90</v>
      </c>
      <c r="J2732">
        <v>0</v>
      </c>
      <c r="K2732">
        <v>1</v>
      </c>
      <c r="L2732">
        <v>5</v>
      </c>
      <c r="M2732">
        <v>275</v>
      </c>
      <c r="N2732">
        <v>410</v>
      </c>
      <c r="O2732" t="s">
        <v>105</v>
      </c>
      <c r="P2732">
        <v>413</v>
      </c>
      <c r="Q2732">
        <v>5</v>
      </c>
      <c r="R2732">
        <v>92</v>
      </c>
      <c r="S2732">
        <v>10</v>
      </c>
      <c r="T2732">
        <v>16</v>
      </c>
      <c r="U2732">
        <v>21</v>
      </c>
      <c r="V2732">
        <v>3</v>
      </c>
      <c r="W2732">
        <v>2</v>
      </c>
      <c r="X2732">
        <v>1</v>
      </c>
      <c r="Y2732">
        <v>240</v>
      </c>
      <c r="Z2732">
        <v>5</v>
      </c>
      <c r="AC2732">
        <v>0</v>
      </c>
      <c r="AD2732">
        <v>0</v>
      </c>
      <c r="AE2732">
        <v>0</v>
      </c>
      <c r="AF2732">
        <v>0</v>
      </c>
      <c r="AK2732">
        <v>6</v>
      </c>
      <c r="AL2732">
        <v>2</v>
      </c>
      <c r="AM2732">
        <v>0</v>
      </c>
      <c r="AN2732">
        <v>0</v>
      </c>
      <c r="AV2732" t="s">
        <v>105</v>
      </c>
      <c r="BC2732" t="s">
        <v>105</v>
      </c>
      <c r="BD2732">
        <v>10</v>
      </c>
      <c r="BE2732">
        <v>413</v>
      </c>
      <c r="BF2732">
        <v>413</v>
      </c>
      <c r="BG2732">
        <v>665</v>
      </c>
      <c r="BI2732" t="s">
        <v>106</v>
      </c>
      <c r="BJ2732">
        <v>1</v>
      </c>
      <c r="BL2732" t="s">
        <v>5671</v>
      </c>
      <c r="BM2732" s="4">
        <v>43283.181944444441</v>
      </c>
      <c r="BN2732" s="4">
        <v>43283.200752314813</v>
      </c>
      <c r="BO2732" s="4">
        <v>43283.200752314813</v>
      </c>
      <c r="BP2732" t="s">
        <v>92</v>
      </c>
      <c r="BQ2732" t="s">
        <v>93</v>
      </c>
      <c r="BR2732" t="s">
        <v>94</v>
      </c>
    </row>
    <row r="2733" spans="1:70" x14ac:dyDescent="0.3">
      <c r="A2733" t="str">
        <f>"201891C0100"</f>
        <v>201891C0100</v>
      </c>
      <c r="B2733" t="s">
        <v>5672</v>
      </c>
      <c r="C2733">
        <v>20</v>
      </c>
      <c r="D2733" t="s">
        <v>88</v>
      </c>
      <c r="E2733">
        <v>427</v>
      </c>
      <c r="F2733" t="s">
        <v>5658</v>
      </c>
      <c r="G2733">
        <v>1891</v>
      </c>
      <c r="H2733">
        <v>1</v>
      </c>
      <c r="I2733" t="s">
        <v>98</v>
      </c>
      <c r="J2733">
        <v>0</v>
      </c>
      <c r="K2733">
        <v>1</v>
      </c>
      <c r="L2733">
        <v>5</v>
      </c>
      <c r="M2733" t="s">
        <v>105</v>
      </c>
      <c r="N2733" t="s">
        <v>105</v>
      </c>
      <c r="O2733" t="s">
        <v>105</v>
      </c>
      <c r="P2733" t="s">
        <v>105</v>
      </c>
      <c r="Q2733">
        <v>10</v>
      </c>
      <c r="R2733">
        <v>88</v>
      </c>
      <c r="S2733">
        <v>13</v>
      </c>
      <c r="T2733">
        <v>5</v>
      </c>
      <c r="U2733">
        <v>24</v>
      </c>
      <c r="V2733">
        <v>3</v>
      </c>
      <c r="W2733" t="s">
        <v>105</v>
      </c>
      <c r="X2733">
        <v>1</v>
      </c>
      <c r="Y2733">
        <v>281</v>
      </c>
      <c r="Z2733">
        <v>1</v>
      </c>
      <c r="AC2733" t="s">
        <v>105</v>
      </c>
      <c r="AD2733" t="s">
        <v>105</v>
      </c>
      <c r="AE2733" t="s">
        <v>105</v>
      </c>
      <c r="AF2733" t="s">
        <v>105</v>
      </c>
      <c r="AK2733" t="s">
        <v>105</v>
      </c>
      <c r="AL2733" t="s">
        <v>105</v>
      </c>
      <c r="AM2733" t="s">
        <v>105</v>
      </c>
      <c r="AN2733" t="s">
        <v>105</v>
      </c>
      <c r="AV2733" t="s">
        <v>105</v>
      </c>
      <c r="BC2733" t="s">
        <v>105</v>
      </c>
      <c r="BD2733">
        <v>12</v>
      </c>
      <c r="BE2733" t="s">
        <v>105</v>
      </c>
      <c r="BF2733">
        <v>438</v>
      </c>
      <c r="BG2733">
        <v>664</v>
      </c>
      <c r="BI2733" t="s">
        <v>106</v>
      </c>
      <c r="BJ2733">
        <v>1</v>
      </c>
      <c r="BL2733" t="s">
        <v>5673</v>
      </c>
      <c r="BM2733" s="4">
        <v>43283.184027777781</v>
      </c>
      <c r="BN2733" s="4">
        <v>43283.20108796296</v>
      </c>
      <c r="BO2733" s="4">
        <v>43283.20108796296</v>
      </c>
      <c r="BP2733" t="s">
        <v>92</v>
      </c>
      <c r="BQ2733" t="s">
        <v>93</v>
      </c>
      <c r="BR2733" t="s">
        <v>94</v>
      </c>
    </row>
    <row r="2734" spans="1:70" x14ac:dyDescent="0.3">
      <c r="A2734" t="str">
        <f>"201892B0100"</f>
        <v>201892B0100</v>
      </c>
      <c r="B2734" t="s">
        <v>5674</v>
      </c>
      <c r="C2734">
        <v>20</v>
      </c>
      <c r="D2734" t="s">
        <v>88</v>
      </c>
      <c r="E2734">
        <v>427</v>
      </c>
      <c r="F2734" t="s">
        <v>5658</v>
      </c>
      <c r="G2734">
        <v>1892</v>
      </c>
      <c r="H2734">
        <v>1</v>
      </c>
      <c r="I2734" t="s">
        <v>90</v>
      </c>
      <c r="J2734">
        <v>0</v>
      </c>
      <c r="K2734">
        <v>1</v>
      </c>
      <c r="L2734">
        <v>5</v>
      </c>
      <c r="M2734">
        <v>214</v>
      </c>
      <c r="N2734">
        <v>335</v>
      </c>
      <c r="O2734">
        <v>3</v>
      </c>
      <c r="P2734">
        <v>336</v>
      </c>
      <c r="Q2734">
        <v>5</v>
      </c>
      <c r="R2734">
        <v>57</v>
      </c>
      <c r="S2734">
        <v>8</v>
      </c>
      <c r="T2734">
        <v>23</v>
      </c>
      <c r="U2734">
        <v>13</v>
      </c>
      <c r="V2734">
        <v>0</v>
      </c>
      <c r="W2734">
        <v>1</v>
      </c>
      <c r="X2734">
        <v>3</v>
      </c>
      <c r="Y2734">
        <v>201</v>
      </c>
      <c r="Z2734">
        <v>6</v>
      </c>
      <c r="AC2734">
        <v>3</v>
      </c>
      <c r="AD2734">
        <v>0</v>
      </c>
      <c r="AE2734">
        <v>0</v>
      </c>
      <c r="AF2734">
        <v>1</v>
      </c>
      <c r="AK2734">
        <v>8</v>
      </c>
      <c r="AL2734">
        <v>0</v>
      </c>
      <c r="AM2734">
        <v>0</v>
      </c>
      <c r="AN2734">
        <v>0</v>
      </c>
      <c r="AV2734">
        <v>0</v>
      </c>
      <c r="BC2734">
        <v>0</v>
      </c>
      <c r="BD2734">
        <v>7</v>
      </c>
      <c r="BE2734">
        <v>336</v>
      </c>
      <c r="BF2734">
        <v>336</v>
      </c>
      <c r="BG2734">
        <v>527</v>
      </c>
      <c r="BJ2734">
        <v>1</v>
      </c>
      <c r="BL2734" t="s">
        <v>5675</v>
      </c>
      <c r="BM2734" s="4">
        <v>43283.158333333333</v>
      </c>
      <c r="BN2734" s="4">
        <v>43283.167303240742</v>
      </c>
      <c r="BO2734" s="4">
        <v>43283.167303240742</v>
      </c>
      <c r="BP2734" t="s">
        <v>92</v>
      </c>
      <c r="BQ2734" t="s">
        <v>93</v>
      </c>
      <c r="BR2734" t="s">
        <v>94</v>
      </c>
    </row>
    <row r="2735" spans="1:70" x14ac:dyDescent="0.3">
      <c r="A2735" t="str">
        <f>"201892C0100"</f>
        <v>201892C0100</v>
      </c>
      <c r="B2735" t="s">
        <v>5676</v>
      </c>
      <c r="C2735">
        <v>20</v>
      </c>
      <c r="D2735" t="s">
        <v>88</v>
      </c>
      <c r="E2735">
        <v>427</v>
      </c>
      <c r="F2735" t="s">
        <v>5658</v>
      </c>
      <c r="G2735">
        <v>1892</v>
      </c>
      <c r="H2735">
        <v>1</v>
      </c>
      <c r="I2735" t="s">
        <v>98</v>
      </c>
      <c r="J2735">
        <v>0</v>
      </c>
      <c r="K2735">
        <v>1</v>
      </c>
      <c r="L2735">
        <v>5</v>
      </c>
      <c r="M2735">
        <v>219</v>
      </c>
      <c r="N2735">
        <v>309</v>
      </c>
      <c r="O2735">
        <v>3</v>
      </c>
      <c r="P2735">
        <v>313</v>
      </c>
      <c r="Q2735">
        <v>14</v>
      </c>
      <c r="R2735">
        <v>57</v>
      </c>
      <c r="S2735">
        <v>11</v>
      </c>
      <c r="T2735">
        <v>15</v>
      </c>
      <c r="U2735">
        <v>13</v>
      </c>
      <c r="V2735">
        <v>5</v>
      </c>
      <c r="W2735">
        <v>0</v>
      </c>
      <c r="X2735">
        <v>3</v>
      </c>
      <c r="Y2735">
        <v>188</v>
      </c>
      <c r="Z2735">
        <v>4</v>
      </c>
      <c r="AC2735">
        <v>0</v>
      </c>
      <c r="AD2735">
        <v>0</v>
      </c>
      <c r="AE2735">
        <v>0</v>
      </c>
      <c r="AF2735">
        <v>0</v>
      </c>
      <c r="AK2735">
        <v>3</v>
      </c>
      <c r="AL2735">
        <v>3</v>
      </c>
      <c r="AM2735">
        <v>0</v>
      </c>
      <c r="AN2735">
        <v>0</v>
      </c>
      <c r="AV2735">
        <v>0</v>
      </c>
      <c r="BC2735">
        <v>0</v>
      </c>
      <c r="BD2735">
        <v>7</v>
      </c>
      <c r="BE2735">
        <v>323</v>
      </c>
      <c r="BF2735">
        <v>323</v>
      </c>
      <c r="BG2735">
        <v>526</v>
      </c>
      <c r="BJ2735">
        <v>1</v>
      </c>
      <c r="BL2735" t="s">
        <v>5677</v>
      </c>
      <c r="BM2735" s="4">
        <v>43283.152777777781</v>
      </c>
      <c r="BN2735" s="4">
        <v>43283.165914351855</v>
      </c>
      <c r="BO2735" s="4">
        <v>43283.165914351855</v>
      </c>
      <c r="BP2735" t="s">
        <v>92</v>
      </c>
      <c r="BQ2735" t="s">
        <v>93</v>
      </c>
      <c r="BR2735" t="s">
        <v>94</v>
      </c>
    </row>
    <row r="2736" spans="1:70" x14ac:dyDescent="0.3">
      <c r="A2736" t="str">
        <f>"201893B0100"</f>
        <v>201893B0100</v>
      </c>
      <c r="B2736" t="s">
        <v>5678</v>
      </c>
      <c r="C2736">
        <v>20</v>
      </c>
      <c r="D2736" t="s">
        <v>88</v>
      </c>
      <c r="E2736">
        <v>427</v>
      </c>
      <c r="F2736" t="s">
        <v>5658</v>
      </c>
      <c r="G2736">
        <v>1893</v>
      </c>
      <c r="H2736">
        <v>1</v>
      </c>
      <c r="I2736" t="s">
        <v>90</v>
      </c>
      <c r="J2736">
        <v>0</v>
      </c>
      <c r="K2736">
        <v>1</v>
      </c>
      <c r="L2736">
        <v>5</v>
      </c>
      <c r="M2736">
        <v>284</v>
      </c>
      <c r="N2736">
        <v>325</v>
      </c>
      <c r="O2736">
        <v>3</v>
      </c>
      <c r="P2736">
        <v>324</v>
      </c>
      <c r="Q2736">
        <v>7</v>
      </c>
      <c r="R2736">
        <v>61</v>
      </c>
      <c r="S2736">
        <v>6</v>
      </c>
      <c r="T2736">
        <v>22</v>
      </c>
      <c r="U2736">
        <v>20</v>
      </c>
      <c r="V2736">
        <v>4</v>
      </c>
      <c r="W2736">
        <v>2</v>
      </c>
      <c r="X2736">
        <v>2</v>
      </c>
      <c r="Y2736">
        <v>172</v>
      </c>
      <c r="Z2736">
        <v>7</v>
      </c>
      <c r="AC2736">
        <v>1</v>
      </c>
      <c r="AD2736">
        <v>0</v>
      </c>
      <c r="AE2736">
        <v>0</v>
      </c>
      <c r="AF2736">
        <v>0</v>
      </c>
      <c r="AK2736">
        <v>1</v>
      </c>
      <c r="AL2736">
        <v>1</v>
      </c>
      <c r="AM2736">
        <v>0</v>
      </c>
      <c r="AN2736">
        <v>1</v>
      </c>
      <c r="AV2736">
        <v>0</v>
      </c>
      <c r="BC2736">
        <v>0</v>
      </c>
      <c r="BD2736">
        <v>17</v>
      </c>
      <c r="BE2736">
        <v>324</v>
      </c>
      <c r="BF2736">
        <v>324</v>
      </c>
      <c r="BG2736">
        <v>587</v>
      </c>
      <c r="BJ2736">
        <v>1</v>
      </c>
      <c r="BL2736" t="s">
        <v>5679</v>
      </c>
      <c r="BM2736" s="4">
        <v>43283.25</v>
      </c>
      <c r="BN2736" s="4">
        <v>43283.284351851849</v>
      </c>
      <c r="BO2736" s="4">
        <v>43283.284351851849</v>
      </c>
      <c r="BP2736" t="s">
        <v>92</v>
      </c>
      <c r="BQ2736" t="s">
        <v>93</v>
      </c>
      <c r="BR2736" t="s">
        <v>94</v>
      </c>
    </row>
    <row r="2737" spans="1:70" x14ac:dyDescent="0.3">
      <c r="A2737" t="str">
        <f>"201893C0100"</f>
        <v>201893C0100</v>
      </c>
      <c r="B2737" t="s">
        <v>5680</v>
      </c>
      <c r="C2737">
        <v>20</v>
      </c>
      <c r="D2737" t="s">
        <v>88</v>
      </c>
      <c r="E2737">
        <v>427</v>
      </c>
      <c r="F2737" t="s">
        <v>5658</v>
      </c>
      <c r="G2737">
        <v>1893</v>
      </c>
      <c r="H2737">
        <v>1</v>
      </c>
      <c r="I2737" t="s">
        <v>98</v>
      </c>
      <c r="J2737">
        <v>0</v>
      </c>
      <c r="K2737">
        <v>1</v>
      </c>
      <c r="L2737">
        <v>5</v>
      </c>
      <c r="M2737">
        <v>277</v>
      </c>
      <c r="N2737">
        <v>333</v>
      </c>
      <c r="O2737">
        <v>0</v>
      </c>
      <c r="P2737">
        <v>333</v>
      </c>
      <c r="Q2737">
        <v>1</v>
      </c>
      <c r="R2737">
        <v>85</v>
      </c>
      <c r="S2737">
        <v>10</v>
      </c>
      <c r="T2737">
        <v>27</v>
      </c>
      <c r="U2737">
        <v>14</v>
      </c>
      <c r="V2737">
        <v>3</v>
      </c>
      <c r="W2737">
        <v>1</v>
      </c>
      <c r="X2737">
        <v>5</v>
      </c>
      <c r="Y2737">
        <v>164</v>
      </c>
      <c r="Z2737">
        <v>9</v>
      </c>
      <c r="AC2737">
        <v>1</v>
      </c>
      <c r="AD2737">
        <v>0</v>
      </c>
      <c r="AE2737">
        <v>0</v>
      </c>
      <c r="AF2737">
        <v>0</v>
      </c>
      <c r="AK2737">
        <v>0</v>
      </c>
      <c r="AL2737">
        <v>0</v>
      </c>
      <c r="AM2737">
        <v>0</v>
      </c>
      <c r="AN2737">
        <v>0</v>
      </c>
      <c r="AV2737">
        <v>0</v>
      </c>
      <c r="BC2737">
        <v>1</v>
      </c>
      <c r="BD2737">
        <v>8</v>
      </c>
      <c r="BE2737">
        <v>330</v>
      </c>
      <c r="BF2737">
        <v>329</v>
      </c>
      <c r="BG2737">
        <v>587</v>
      </c>
      <c r="BJ2737">
        <v>1</v>
      </c>
      <c r="BL2737" s="2" t="s">
        <v>5681</v>
      </c>
      <c r="BM2737" s="4">
        <v>43283.247916666667</v>
      </c>
      <c r="BN2737" s="4">
        <v>43283.27002314815</v>
      </c>
      <c r="BO2737" s="4">
        <v>43283.27002314815</v>
      </c>
      <c r="BP2737" t="s">
        <v>92</v>
      </c>
      <c r="BQ2737" t="s">
        <v>93</v>
      </c>
      <c r="BR2737" t="s">
        <v>94</v>
      </c>
    </row>
    <row r="2738" spans="1:70" x14ac:dyDescent="0.3">
      <c r="A2738" t="str">
        <f>"201893C0200"</f>
        <v>201893C0200</v>
      </c>
      <c r="B2738" t="s">
        <v>5682</v>
      </c>
      <c r="C2738">
        <v>20</v>
      </c>
      <c r="D2738" t="s">
        <v>88</v>
      </c>
      <c r="E2738">
        <v>427</v>
      </c>
      <c r="F2738" t="s">
        <v>5658</v>
      </c>
      <c r="G2738">
        <v>1893</v>
      </c>
      <c r="H2738">
        <v>2</v>
      </c>
      <c r="I2738" t="s">
        <v>98</v>
      </c>
      <c r="J2738">
        <v>0</v>
      </c>
      <c r="K2738">
        <v>1</v>
      </c>
      <c r="L2738">
        <v>5</v>
      </c>
      <c r="M2738">
        <v>264</v>
      </c>
      <c r="N2738">
        <v>344</v>
      </c>
      <c r="O2738">
        <v>4</v>
      </c>
      <c r="P2738">
        <v>348</v>
      </c>
      <c r="Q2738">
        <v>3</v>
      </c>
      <c r="R2738">
        <v>42</v>
      </c>
      <c r="S2738">
        <v>12</v>
      </c>
      <c r="T2738">
        <v>23</v>
      </c>
      <c r="U2738">
        <v>13</v>
      </c>
      <c r="V2738">
        <v>10</v>
      </c>
      <c r="W2738">
        <v>2</v>
      </c>
      <c r="X2738">
        <v>3</v>
      </c>
      <c r="Y2738">
        <v>207</v>
      </c>
      <c r="Z2738">
        <v>6</v>
      </c>
      <c r="AC2738">
        <v>0</v>
      </c>
      <c r="AD2738">
        <v>0</v>
      </c>
      <c r="AE2738">
        <v>0</v>
      </c>
      <c r="AF2738">
        <v>0</v>
      </c>
      <c r="AK2738">
        <v>2</v>
      </c>
      <c r="AL2738">
        <v>2</v>
      </c>
      <c r="AM2738">
        <v>0</v>
      </c>
      <c r="AN2738">
        <v>0</v>
      </c>
      <c r="AV2738">
        <v>1</v>
      </c>
      <c r="BC2738">
        <v>0</v>
      </c>
      <c r="BD2738">
        <v>21</v>
      </c>
      <c r="BE2738">
        <v>347</v>
      </c>
      <c r="BF2738">
        <v>347</v>
      </c>
      <c r="BG2738">
        <v>586</v>
      </c>
      <c r="BJ2738">
        <v>1</v>
      </c>
      <c r="BL2738" t="s">
        <v>5683</v>
      </c>
      <c r="BM2738" s="4">
        <v>43283.243750000001</v>
      </c>
      <c r="BN2738" s="4">
        <v>43283.267974537041</v>
      </c>
      <c r="BO2738" s="4">
        <v>43283.267974537041</v>
      </c>
      <c r="BP2738" t="s">
        <v>92</v>
      </c>
      <c r="BQ2738" t="s">
        <v>93</v>
      </c>
      <c r="BR2738" t="s">
        <v>94</v>
      </c>
    </row>
    <row r="2739" spans="1:70" x14ac:dyDescent="0.3">
      <c r="A2739" t="str">
        <f>"201894B0100"</f>
        <v>201894B0100</v>
      </c>
      <c r="B2739" t="s">
        <v>5684</v>
      </c>
      <c r="C2739">
        <v>20</v>
      </c>
      <c r="D2739" t="s">
        <v>88</v>
      </c>
      <c r="E2739">
        <v>427</v>
      </c>
      <c r="F2739" t="s">
        <v>5658</v>
      </c>
      <c r="G2739">
        <v>1894</v>
      </c>
      <c r="H2739">
        <v>1</v>
      </c>
      <c r="I2739" t="s">
        <v>90</v>
      </c>
      <c r="J2739">
        <v>0</v>
      </c>
      <c r="K2739">
        <v>1</v>
      </c>
      <c r="L2739">
        <v>5</v>
      </c>
      <c r="M2739">
        <v>172</v>
      </c>
      <c r="N2739">
        <v>388</v>
      </c>
      <c r="O2739">
        <v>1</v>
      </c>
      <c r="P2739">
        <v>388</v>
      </c>
      <c r="Q2739">
        <v>3</v>
      </c>
      <c r="R2739">
        <v>106</v>
      </c>
      <c r="S2739">
        <v>8</v>
      </c>
      <c r="T2739">
        <v>63</v>
      </c>
      <c r="U2739">
        <v>27</v>
      </c>
      <c r="V2739">
        <v>10</v>
      </c>
      <c r="W2739">
        <v>2</v>
      </c>
      <c r="X2739">
        <v>1</v>
      </c>
      <c r="Y2739">
        <v>145</v>
      </c>
      <c r="Z2739">
        <v>7</v>
      </c>
      <c r="AC2739">
        <v>2</v>
      </c>
      <c r="AD2739">
        <v>0</v>
      </c>
      <c r="AE2739">
        <v>0</v>
      </c>
      <c r="AF2739">
        <v>0</v>
      </c>
      <c r="AK2739">
        <v>3</v>
      </c>
      <c r="AL2739">
        <v>2</v>
      </c>
      <c r="AM2739">
        <v>2</v>
      </c>
      <c r="AN2739">
        <v>0</v>
      </c>
      <c r="AV2739">
        <v>0</v>
      </c>
      <c r="BC2739">
        <v>0</v>
      </c>
      <c r="BD2739">
        <v>7</v>
      </c>
      <c r="BE2739">
        <v>388</v>
      </c>
      <c r="BF2739">
        <v>388</v>
      </c>
      <c r="BG2739">
        <v>538</v>
      </c>
      <c r="BJ2739">
        <v>1</v>
      </c>
      <c r="BL2739" t="s">
        <v>5685</v>
      </c>
      <c r="BM2739" s="4">
        <v>43283.152083333334</v>
      </c>
      <c r="BN2739" s="4">
        <v>43283.16064814815</v>
      </c>
      <c r="BO2739" s="4">
        <v>43283.16064814815</v>
      </c>
      <c r="BP2739" t="s">
        <v>92</v>
      </c>
      <c r="BQ2739" t="s">
        <v>93</v>
      </c>
      <c r="BR2739" t="s">
        <v>94</v>
      </c>
    </row>
    <row r="2740" spans="1:70" x14ac:dyDescent="0.3">
      <c r="A2740" t="str">
        <f>"201894C0100"</f>
        <v>201894C0100</v>
      </c>
      <c r="B2740" t="s">
        <v>5686</v>
      </c>
      <c r="C2740">
        <v>20</v>
      </c>
      <c r="D2740" t="s">
        <v>88</v>
      </c>
      <c r="E2740">
        <v>427</v>
      </c>
      <c r="F2740" t="s">
        <v>5658</v>
      </c>
      <c r="G2740">
        <v>1894</v>
      </c>
      <c r="H2740">
        <v>1</v>
      </c>
      <c r="I2740" t="s">
        <v>98</v>
      </c>
      <c r="J2740">
        <v>0</v>
      </c>
      <c r="K2740">
        <v>1</v>
      </c>
      <c r="L2740">
        <v>5</v>
      </c>
      <c r="M2740">
        <v>180</v>
      </c>
      <c r="N2740">
        <v>380</v>
      </c>
      <c r="O2740">
        <v>1</v>
      </c>
      <c r="P2740">
        <v>380</v>
      </c>
      <c r="Q2740">
        <v>2</v>
      </c>
      <c r="R2740">
        <v>115</v>
      </c>
      <c r="S2740">
        <v>16</v>
      </c>
      <c r="T2740">
        <v>45</v>
      </c>
      <c r="U2740">
        <v>26</v>
      </c>
      <c r="V2740">
        <v>3</v>
      </c>
      <c r="W2740">
        <v>3</v>
      </c>
      <c r="X2740">
        <v>3</v>
      </c>
      <c r="Y2740">
        <v>138</v>
      </c>
      <c r="Z2740">
        <v>4</v>
      </c>
      <c r="AC2740">
        <v>3</v>
      </c>
      <c r="AD2740">
        <v>0</v>
      </c>
      <c r="AE2740">
        <v>0</v>
      </c>
      <c r="AF2740">
        <v>0</v>
      </c>
      <c r="AK2740">
        <v>5</v>
      </c>
      <c r="AL2740">
        <v>0</v>
      </c>
      <c r="AM2740">
        <v>1</v>
      </c>
      <c r="AN2740">
        <v>0</v>
      </c>
      <c r="AV2740">
        <v>0</v>
      </c>
      <c r="BC2740">
        <v>0</v>
      </c>
      <c r="BD2740">
        <v>16</v>
      </c>
      <c r="BE2740">
        <v>380</v>
      </c>
      <c r="BF2740">
        <v>380</v>
      </c>
      <c r="BG2740">
        <v>538</v>
      </c>
      <c r="BJ2740">
        <v>1</v>
      </c>
      <c r="BL2740" t="s">
        <v>5687</v>
      </c>
      <c r="BM2740" s="4">
        <v>43283.167361111111</v>
      </c>
      <c r="BN2740" s="4">
        <v>43283.18005787037</v>
      </c>
      <c r="BO2740" s="4">
        <v>43283.18005787037</v>
      </c>
      <c r="BP2740" t="s">
        <v>92</v>
      </c>
      <c r="BQ2740" t="s">
        <v>93</v>
      </c>
      <c r="BR2740" t="s">
        <v>94</v>
      </c>
    </row>
    <row r="2741" spans="1:70" x14ac:dyDescent="0.3">
      <c r="A2741" t="str">
        <f>"201894E0100"</f>
        <v>201894E0100</v>
      </c>
      <c r="B2741" s="2" t="s">
        <v>5688</v>
      </c>
      <c r="C2741">
        <v>20</v>
      </c>
      <c r="D2741" t="s">
        <v>88</v>
      </c>
      <c r="E2741">
        <v>427</v>
      </c>
      <c r="F2741" t="s">
        <v>5658</v>
      </c>
      <c r="G2741">
        <v>1894</v>
      </c>
      <c r="H2741">
        <v>1</v>
      </c>
      <c r="I2741" t="s">
        <v>156</v>
      </c>
      <c r="J2741">
        <v>0</v>
      </c>
      <c r="K2741">
        <v>2</v>
      </c>
      <c r="L2741">
        <v>5</v>
      </c>
      <c r="M2741">
        <v>84</v>
      </c>
      <c r="N2741">
        <v>285</v>
      </c>
      <c r="O2741">
        <v>1</v>
      </c>
      <c r="P2741">
        <v>285</v>
      </c>
      <c r="Q2741">
        <v>0</v>
      </c>
      <c r="R2741">
        <v>113</v>
      </c>
      <c r="S2741">
        <v>5</v>
      </c>
      <c r="T2741">
        <v>10</v>
      </c>
      <c r="U2741">
        <v>19</v>
      </c>
      <c r="V2741">
        <v>2</v>
      </c>
      <c r="W2741">
        <v>0</v>
      </c>
      <c r="X2741">
        <v>0</v>
      </c>
      <c r="Y2741">
        <v>128</v>
      </c>
      <c r="Z2741">
        <v>0</v>
      </c>
      <c r="AC2741">
        <v>0</v>
      </c>
      <c r="AD2741">
        <v>0</v>
      </c>
      <c r="AE2741">
        <v>0</v>
      </c>
      <c r="AF2741">
        <v>0</v>
      </c>
      <c r="AK2741">
        <v>2</v>
      </c>
      <c r="AL2741">
        <v>1</v>
      </c>
      <c r="AM2741">
        <v>0</v>
      </c>
      <c r="AN2741">
        <v>0</v>
      </c>
      <c r="AV2741" t="s">
        <v>105</v>
      </c>
      <c r="BC2741">
        <v>0</v>
      </c>
      <c r="BD2741">
        <v>5</v>
      </c>
      <c r="BE2741">
        <v>285</v>
      </c>
      <c r="BF2741">
        <v>285</v>
      </c>
      <c r="BG2741">
        <v>347</v>
      </c>
      <c r="BI2741" t="s">
        <v>106</v>
      </c>
      <c r="BJ2741">
        <v>1</v>
      </c>
      <c r="BL2741" t="s">
        <v>5689</v>
      </c>
      <c r="BM2741" s="4">
        <v>43283.166666666664</v>
      </c>
      <c r="BN2741" s="4">
        <v>43283.175104166665</v>
      </c>
      <c r="BO2741" s="4">
        <v>43283.175104166665</v>
      </c>
      <c r="BP2741" t="s">
        <v>92</v>
      </c>
      <c r="BQ2741" t="s">
        <v>93</v>
      </c>
      <c r="BR2741" t="s">
        <v>94</v>
      </c>
    </row>
    <row r="2742" spans="1:70" x14ac:dyDescent="0.3">
      <c r="A2742" t="str">
        <f>"201895B0100"</f>
        <v>201895B0100</v>
      </c>
      <c r="B2742" t="s">
        <v>5690</v>
      </c>
      <c r="C2742">
        <v>20</v>
      </c>
      <c r="D2742" t="s">
        <v>88</v>
      </c>
      <c r="E2742">
        <v>427</v>
      </c>
      <c r="F2742" t="s">
        <v>5658</v>
      </c>
      <c r="G2742">
        <v>1895</v>
      </c>
      <c r="H2742">
        <v>1</v>
      </c>
      <c r="I2742" t="s">
        <v>90</v>
      </c>
      <c r="J2742">
        <v>0</v>
      </c>
      <c r="K2742">
        <v>2</v>
      </c>
      <c r="L2742">
        <v>5</v>
      </c>
      <c r="M2742">
        <v>119</v>
      </c>
      <c r="N2742">
        <v>378</v>
      </c>
      <c r="O2742">
        <v>0</v>
      </c>
      <c r="P2742" t="s">
        <v>105</v>
      </c>
      <c r="Q2742">
        <v>2</v>
      </c>
      <c r="R2742">
        <v>149</v>
      </c>
      <c r="S2742">
        <v>3</v>
      </c>
      <c r="T2742">
        <v>19</v>
      </c>
      <c r="U2742">
        <v>23</v>
      </c>
      <c r="V2742">
        <v>0</v>
      </c>
      <c r="W2742">
        <v>0</v>
      </c>
      <c r="X2742">
        <v>0</v>
      </c>
      <c r="Y2742">
        <v>170</v>
      </c>
      <c r="Z2742">
        <v>1</v>
      </c>
      <c r="AC2742">
        <v>0</v>
      </c>
      <c r="AD2742">
        <v>0</v>
      </c>
      <c r="AE2742">
        <v>0</v>
      </c>
      <c r="AF2742">
        <v>0</v>
      </c>
      <c r="AK2742">
        <v>1</v>
      </c>
      <c r="AL2742">
        <v>0</v>
      </c>
      <c r="AM2742">
        <v>0</v>
      </c>
      <c r="AN2742">
        <v>2</v>
      </c>
      <c r="AV2742">
        <v>0</v>
      </c>
      <c r="BC2742">
        <v>0</v>
      </c>
      <c r="BD2742">
        <v>8</v>
      </c>
      <c r="BE2742">
        <v>378</v>
      </c>
      <c r="BF2742">
        <v>378</v>
      </c>
      <c r="BG2742">
        <v>474</v>
      </c>
      <c r="BJ2742">
        <v>1</v>
      </c>
      <c r="BL2742" t="s">
        <v>5691</v>
      </c>
      <c r="BM2742" s="4">
        <v>43283.243055555555</v>
      </c>
      <c r="BN2742" s="4">
        <v>43283.265694444446</v>
      </c>
      <c r="BO2742" s="4">
        <v>43283.265694444446</v>
      </c>
      <c r="BP2742" t="s">
        <v>92</v>
      </c>
      <c r="BQ2742" t="s">
        <v>93</v>
      </c>
      <c r="BR2742" t="s">
        <v>94</v>
      </c>
    </row>
    <row r="2743" spans="1:70" x14ac:dyDescent="0.3">
      <c r="A2743" t="str">
        <f>"201895C0100"</f>
        <v>201895C0100</v>
      </c>
      <c r="B2743" t="s">
        <v>5692</v>
      </c>
      <c r="C2743">
        <v>20</v>
      </c>
      <c r="D2743" t="s">
        <v>88</v>
      </c>
      <c r="E2743">
        <v>427</v>
      </c>
      <c r="F2743" t="s">
        <v>5658</v>
      </c>
      <c r="G2743">
        <v>1895</v>
      </c>
      <c r="H2743">
        <v>1</v>
      </c>
      <c r="I2743" t="s">
        <v>98</v>
      </c>
      <c r="J2743">
        <v>0</v>
      </c>
      <c r="K2743">
        <v>2</v>
      </c>
      <c r="L2743">
        <v>5</v>
      </c>
      <c r="M2743">
        <v>120</v>
      </c>
      <c r="N2743">
        <v>375</v>
      </c>
      <c r="O2743">
        <v>0</v>
      </c>
      <c r="P2743">
        <v>375</v>
      </c>
      <c r="Q2743">
        <v>2</v>
      </c>
      <c r="R2743">
        <v>135</v>
      </c>
      <c r="S2743">
        <v>6</v>
      </c>
      <c r="T2743">
        <v>23</v>
      </c>
      <c r="U2743">
        <v>31</v>
      </c>
      <c r="V2743">
        <v>1</v>
      </c>
      <c r="W2743">
        <v>0</v>
      </c>
      <c r="X2743">
        <v>1</v>
      </c>
      <c r="Y2743">
        <v>169</v>
      </c>
      <c r="Z2743">
        <v>1</v>
      </c>
      <c r="AC2743">
        <v>0</v>
      </c>
      <c r="AD2743">
        <v>0</v>
      </c>
      <c r="AE2743">
        <v>0</v>
      </c>
      <c r="AF2743">
        <v>0</v>
      </c>
      <c r="AK2743">
        <v>1</v>
      </c>
      <c r="AL2743">
        <v>0</v>
      </c>
      <c r="AM2743">
        <v>0</v>
      </c>
      <c r="AN2743">
        <v>0</v>
      </c>
      <c r="AV2743">
        <v>0</v>
      </c>
      <c r="BC2743">
        <v>0</v>
      </c>
      <c r="BD2743">
        <v>5</v>
      </c>
      <c r="BE2743">
        <v>375</v>
      </c>
      <c r="BF2743">
        <v>375</v>
      </c>
      <c r="BG2743">
        <v>474</v>
      </c>
      <c r="BJ2743">
        <v>1</v>
      </c>
      <c r="BL2743" t="s">
        <v>5693</v>
      </c>
      <c r="BM2743" s="4">
        <v>43283.240972222222</v>
      </c>
      <c r="BN2743" s="4">
        <v>43283.26462962963</v>
      </c>
      <c r="BO2743" s="4">
        <v>43283.26462962963</v>
      </c>
      <c r="BP2743" t="s">
        <v>92</v>
      </c>
      <c r="BQ2743" t="s">
        <v>93</v>
      </c>
      <c r="BR2743" t="s">
        <v>94</v>
      </c>
    </row>
    <row r="2744" spans="1:70" x14ac:dyDescent="0.3">
      <c r="A2744" t="str">
        <f>"201895E0100"</f>
        <v>201895E0100</v>
      </c>
      <c r="B2744" s="2" t="s">
        <v>5694</v>
      </c>
      <c r="C2744">
        <v>20</v>
      </c>
      <c r="D2744" t="s">
        <v>88</v>
      </c>
      <c r="E2744">
        <v>427</v>
      </c>
      <c r="F2744" t="s">
        <v>5658</v>
      </c>
      <c r="G2744">
        <v>1895</v>
      </c>
      <c r="H2744">
        <v>1</v>
      </c>
      <c r="I2744" t="s">
        <v>156</v>
      </c>
      <c r="J2744">
        <v>0</v>
      </c>
      <c r="K2744">
        <v>2</v>
      </c>
      <c r="L2744">
        <v>5</v>
      </c>
      <c r="M2744">
        <v>81</v>
      </c>
      <c r="N2744">
        <v>324</v>
      </c>
      <c r="O2744">
        <v>2</v>
      </c>
      <c r="P2744">
        <v>323</v>
      </c>
      <c r="Q2744">
        <v>3</v>
      </c>
      <c r="R2744">
        <v>136</v>
      </c>
      <c r="S2744">
        <v>19</v>
      </c>
      <c r="T2744">
        <v>40</v>
      </c>
      <c r="U2744">
        <v>16</v>
      </c>
      <c r="V2744">
        <v>0</v>
      </c>
      <c r="W2744">
        <v>0</v>
      </c>
      <c r="X2744">
        <v>2</v>
      </c>
      <c r="Y2744">
        <v>97</v>
      </c>
      <c r="Z2744">
        <v>1</v>
      </c>
      <c r="AC2744">
        <v>1</v>
      </c>
      <c r="AD2744">
        <v>0</v>
      </c>
      <c r="AE2744">
        <v>0</v>
      </c>
      <c r="AF2744">
        <v>0</v>
      </c>
      <c r="AK2744">
        <v>0</v>
      </c>
      <c r="AL2744">
        <v>0</v>
      </c>
      <c r="AM2744">
        <v>0</v>
      </c>
      <c r="AN2744">
        <v>1</v>
      </c>
      <c r="AV2744">
        <v>0</v>
      </c>
      <c r="BC2744">
        <v>0</v>
      </c>
      <c r="BD2744">
        <v>8</v>
      </c>
      <c r="BE2744">
        <v>323</v>
      </c>
      <c r="BF2744">
        <v>324</v>
      </c>
      <c r="BG2744">
        <v>383</v>
      </c>
      <c r="BJ2744">
        <v>1</v>
      </c>
      <c r="BL2744" t="s">
        <v>5695</v>
      </c>
      <c r="BM2744" s="4">
        <v>43283.241666666669</v>
      </c>
      <c r="BN2744" s="4">
        <v>43283.272905092592</v>
      </c>
      <c r="BO2744" s="4">
        <v>43283.272905092592</v>
      </c>
      <c r="BP2744" t="s">
        <v>92</v>
      </c>
      <c r="BQ2744" t="s">
        <v>93</v>
      </c>
      <c r="BR2744" t="s">
        <v>94</v>
      </c>
    </row>
    <row r="2745" spans="1:70" x14ac:dyDescent="0.3">
      <c r="A2745" t="str">
        <f>"201896B0100"</f>
        <v>201896B0100</v>
      </c>
      <c r="B2745" t="s">
        <v>5696</v>
      </c>
      <c r="C2745">
        <v>20</v>
      </c>
      <c r="D2745" t="s">
        <v>88</v>
      </c>
      <c r="E2745">
        <v>427</v>
      </c>
      <c r="F2745" t="s">
        <v>5658</v>
      </c>
      <c r="G2745">
        <v>1896</v>
      </c>
      <c r="H2745">
        <v>1</v>
      </c>
      <c r="I2745" t="s">
        <v>90</v>
      </c>
      <c r="J2745">
        <v>0</v>
      </c>
      <c r="K2745">
        <v>2</v>
      </c>
      <c r="L2745">
        <v>5</v>
      </c>
      <c r="M2745">
        <v>162</v>
      </c>
      <c r="N2745">
        <v>679</v>
      </c>
      <c r="O2745">
        <v>0</v>
      </c>
      <c r="P2745">
        <v>517</v>
      </c>
      <c r="Q2745">
        <v>8</v>
      </c>
      <c r="R2745">
        <v>173</v>
      </c>
      <c r="S2745">
        <v>18</v>
      </c>
      <c r="T2745">
        <v>42</v>
      </c>
      <c r="U2745">
        <v>31</v>
      </c>
      <c r="V2745">
        <v>2</v>
      </c>
      <c r="W2745">
        <v>0</v>
      </c>
      <c r="X2745">
        <v>0</v>
      </c>
      <c r="Y2745">
        <v>226</v>
      </c>
      <c r="Z2745">
        <v>1</v>
      </c>
      <c r="AC2745">
        <v>0</v>
      </c>
      <c r="AD2745">
        <v>0</v>
      </c>
      <c r="AE2745">
        <v>0</v>
      </c>
      <c r="AF2745">
        <v>0</v>
      </c>
      <c r="AK2745">
        <v>4</v>
      </c>
      <c r="AL2745">
        <v>1</v>
      </c>
      <c r="AM2745">
        <v>0</v>
      </c>
      <c r="AN2745">
        <v>0</v>
      </c>
      <c r="AV2745">
        <v>0</v>
      </c>
      <c r="BC2745" t="s">
        <v>105</v>
      </c>
      <c r="BD2745">
        <v>11</v>
      </c>
      <c r="BE2745">
        <v>517</v>
      </c>
      <c r="BF2745">
        <v>517</v>
      </c>
      <c r="BG2745">
        <v>657</v>
      </c>
      <c r="BI2745" t="s">
        <v>106</v>
      </c>
      <c r="BJ2745">
        <v>1</v>
      </c>
      <c r="BL2745" t="s">
        <v>5697</v>
      </c>
      <c r="BM2745" s="4">
        <v>43283.239583333336</v>
      </c>
      <c r="BN2745" s="4">
        <v>43283.271701388891</v>
      </c>
      <c r="BO2745" s="4">
        <v>43283.271701388891</v>
      </c>
      <c r="BP2745" t="s">
        <v>92</v>
      </c>
      <c r="BQ2745" t="s">
        <v>93</v>
      </c>
      <c r="BR2745" t="s">
        <v>94</v>
      </c>
    </row>
    <row r="2746" spans="1:70" x14ac:dyDescent="0.3">
      <c r="A2746" t="str">
        <f>"201897B0100"</f>
        <v>201897B0100</v>
      </c>
      <c r="B2746" t="s">
        <v>5698</v>
      </c>
      <c r="C2746">
        <v>20</v>
      </c>
      <c r="D2746" t="s">
        <v>88</v>
      </c>
      <c r="E2746">
        <v>427</v>
      </c>
      <c r="F2746" t="s">
        <v>5658</v>
      </c>
      <c r="G2746">
        <v>1897</v>
      </c>
      <c r="H2746">
        <v>1</v>
      </c>
      <c r="I2746" t="s">
        <v>90</v>
      </c>
      <c r="J2746">
        <v>0</v>
      </c>
      <c r="K2746">
        <v>2</v>
      </c>
      <c r="L2746">
        <v>5</v>
      </c>
      <c r="M2746">
        <v>179</v>
      </c>
      <c r="N2746">
        <v>458</v>
      </c>
      <c r="O2746" t="s">
        <v>105</v>
      </c>
      <c r="P2746">
        <v>458</v>
      </c>
      <c r="Q2746">
        <v>1</v>
      </c>
      <c r="R2746">
        <v>48</v>
      </c>
      <c r="S2746">
        <v>4</v>
      </c>
      <c r="T2746">
        <v>30</v>
      </c>
      <c r="U2746">
        <v>48</v>
      </c>
      <c r="V2746">
        <v>1</v>
      </c>
      <c r="W2746" t="s">
        <v>105</v>
      </c>
      <c r="X2746">
        <v>3</v>
      </c>
      <c r="Y2746">
        <v>287</v>
      </c>
      <c r="Z2746">
        <v>7</v>
      </c>
      <c r="AC2746" t="s">
        <v>105</v>
      </c>
      <c r="AD2746" t="s">
        <v>105</v>
      </c>
      <c r="AE2746" t="s">
        <v>105</v>
      </c>
      <c r="AF2746" t="s">
        <v>105</v>
      </c>
      <c r="AK2746">
        <v>7</v>
      </c>
      <c r="AL2746">
        <v>7</v>
      </c>
      <c r="AM2746" t="s">
        <v>105</v>
      </c>
      <c r="AN2746">
        <v>3</v>
      </c>
      <c r="AV2746" t="s">
        <v>105</v>
      </c>
      <c r="BC2746" t="s">
        <v>105</v>
      </c>
      <c r="BD2746">
        <v>12</v>
      </c>
      <c r="BE2746">
        <v>458</v>
      </c>
      <c r="BF2746">
        <v>458</v>
      </c>
      <c r="BG2746">
        <v>606</v>
      </c>
      <c r="BI2746" t="s">
        <v>106</v>
      </c>
      <c r="BJ2746">
        <v>1</v>
      </c>
      <c r="BL2746" t="s">
        <v>5699</v>
      </c>
      <c r="BM2746" s="4">
        <v>43283.234027777777</v>
      </c>
      <c r="BN2746" s="4">
        <v>43283.255983796298</v>
      </c>
      <c r="BO2746" s="4">
        <v>43283.255983796298</v>
      </c>
      <c r="BP2746" t="s">
        <v>92</v>
      </c>
      <c r="BQ2746" t="s">
        <v>93</v>
      </c>
      <c r="BR2746" t="s">
        <v>94</v>
      </c>
    </row>
    <row r="2747" spans="1:70" x14ac:dyDescent="0.3">
      <c r="A2747" t="str">
        <f>"201906B0100"</f>
        <v>201906B0100</v>
      </c>
      <c r="B2747" t="s">
        <v>5700</v>
      </c>
      <c r="C2747">
        <v>20</v>
      </c>
      <c r="D2747" t="s">
        <v>88</v>
      </c>
      <c r="E2747">
        <v>432</v>
      </c>
      <c r="F2747" t="s">
        <v>5701</v>
      </c>
      <c r="G2747">
        <v>1906</v>
      </c>
      <c r="H2747">
        <v>1</v>
      </c>
      <c r="I2747" t="s">
        <v>90</v>
      </c>
      <c r="J2747">
        <v>0</v>
      </c>
      <c r="K2747">
        <v>2</v>
      </c>
      <c r="L2747">
        <v>5</v>
      </c>
      <c r="M2747">
        <v>165</v>
      </c>
      <c r="N2747">
        <v>577</v>
      </c>
      <c r="O2747">
        <v>0</v>
      </c>
      <c r="P2747">
        <v>571</v>
      </c>
      <c r="Q2747">
        <v>1</v>
      </c>
      <c r="R2747">
        <v>109</v>
      </c>
      <c r="S2747">
        <v>3</v>
      </c>
      <c r="T2747">
        <v>2</v>
      </c>
      <c r="U2747">
        <v>4</v>
      </c>
      <c r="V2747">
        <v>1</v>
      </c>
      <c r="W2747">
        <v>1</v>
      </c>
      <c r="X2747">
        <v>7</v>
      </c>
      <c r="Y2747">
        <v>187</v>
      </c>
      <c r="Z2747">
        <v>1</v>
      </c>
      <c r="AA2747">
        <v>229</v>
      </c>
      <c r="AC2747">
        <v>0</v>
      </c>
      <c r="AD2747">
        <v>0</v>
      </c>
      <c r="AE2747">
        <v>0</v>
      </c>
      <c r="AF2747">
        <v>0</v>
      </c>
      <c r="AK2747">
        <v>1</v>
      </c>
      <c r="AL2747">
        <v>0</v>
      </c>
      <c r="AM2747">
        <v>1</v>
      </c>
      <c r="AN2747">
        <v>1</v>
      </c>
      <c r="AS2747">
        <v>4</v>
      </c>
      <c r="AT2747">
        <v>2</v>
      </c>
      <c r="AU2747">
        <v>0</v>
      </c>
      <c r="AV2747">
        <v>0</v>
      </c>
      <c r="BC2747" t="s">
        <v>105</v>
      </c>
      <c r="BD2747">
        <v>16</v>
      </c>
      <c r="BE2747">
        <v>570</v>
      </c>
      <c r="BF2747">
        <v>570</v>
      </c>
      <c r="BG2747">
        <v>714</v>
      </c>
      <c r="BI2747" t="s">
        <v>106</v>
      </c>
      <c r="BJ2747">
        <v>1</v>
      </c>
      <c r="BL2747" t="s">
        <v>5702</v>
      </c>
      <c r="BM2747" s="4">
        <v>43283.276388888888</v>
      </c>
      <c r="BN2747" s="4">
        <v>43283.306458333333</v>
      </c>
      <c r="BO2747" s="4">
        <v>43283.306458333333</v>
      </c>
      <c r="BP2747" t="s">
        <v>92</v>
      </c>
      <c r="BQ2747" t="s">
        <v>93</v>
      </c>
      <c r="BR2747" t="s">
        <v>94</v>
      </c>
    </row>
    <row r="2748" spans="1:70" x14ac:dyDescent="0.3">
      <c r="A2748" t="str">
        <f>"201906C0100"</f>
        <v>201906C0100</v>
      </c>
      <c r="B2748" t="s">
        <v>5703</v>
      </c>
      <c r="C2748">
        <v>20</v>
      </c>
      <c r="D2748" t="s">
        <v>88</v>
      </c>
      <c r="E2748">
        <v>432</v>
      </c>
      <c r="F2748" t="s">
        <v>5701</v>
      </c>
      <c r="G2748">
        <v>1906</v>
      </c>
      <c r="H2748">
        <v>1</v>
      </c>
      <c r="I2748" t="s">
        <v>98</v>
      </c>
      <c r="J2748">
        <v>0</v>
      </c>
      <c r="K2748">
        <v>2</v>
      </c>
      <c r="L2748">
        <v>5</v>
      </c>
      <c r="M2748">
        <v>171</v>
      </c>
      <c r="N2748">
        <v>564</v>
      </c>
      <c r="O2748">
        <v>2</v>
      </c>
      <c r="P2748">
        <v>564</v>
      </c>
      <c r="Q2748">
        <v>0</v>
      </c>
      <c r="R2748">
        <v>146</v>
      </c>
      <c r="S2748">
        <v>4</v>
      </c>
      <c r="T2748">
        <v>5</v>
      </c>
      <c r="U2748">
        <v>5</v>
      </c>
      <c r="V2748">
        <v>2</v>
      </c>
      <c r="W2748">
        <v>1</v>
      </c>
      <c r="X2748">
        <v>2</v>
      </c>
      <c r="Y2748">
        <v>160</v>
      </c>
      <c r="Z2748">
        <v>1</v>
      </c>
      <c r="AA2748">
        <v>196</v>
      </c>
      <c r="AC2748">
        <v>0</v>
      </c>
      <c r="AD2748">
        <v>0</v>
      </c>
      <c r="AE2748">
        <v>0</v>
      </c>
      <c r="AF2748">
        <v>0</v>
      </c>
      <c r="AK2748">
        <v>2</v>
      </c>
      <c r="AL2748">
        <v>0</v>
      </c>
      <c r="AM2748">
        <v>0</v>
      </c>
      <c r="AN2748">
        <v>0</v>
      </c>
      <c r="AS2748">
        <v>5</v>
      </c>
      <c r="AT2748">
        <v>0</v>
      </c>
      <c r="AU2748">
        <v>2</v>
      </c>
      <c r="AV2748">
        <v>0</v>
      </c>
      <c r="BC2748">
        <v>0</v>
      </c>
      <c r="BD2748">
        <v>33</v>
      </c>
      <c r="BE2748">
        <v>564</v>
      </c>
      <c r="BF2748">
        <v>564</v>
      </c>
      <c r="BG2748">
        <v>713</v>
      </c>
      <c r="BJ2748">
        <v>1</v>
      </c>
      <c r="BL2748" t="s">
        <v>5704</v>
      </c>
      <c r="BM2748" s="4">
        <v>43283.276388888888</v>
      </c>
      <c r="BN2748" s="4">
        <v>43283.308611111112</v>
      </c>
      <c r="BO2748" s="4">
        <v>43283.308611111112</v>
      </c>
      <c r="BP2748" t="s">
        <v>92</v>
      </c>
      <c r="BQ2748" t="s">
        <v>93</v>
      </c>
      <c r="BR2748" t="s">
        <v>94</v>
      </c>
    </row>
    <row r="2749" spans="1:70" x14ac:dyDescent="0.3">
      <c r="A2749" t="str">
        <f>"201909B0100"</f>
        <v>201909B0100</v>
      </c>
      <c r="B2749" t="s">
        <v>5705</v>
      </c>
      <c r="C2749">
        <v>20</v>
      </c>
      <c r="D2749" t="s">
        <v>88</v>
      </c>
      <c r="E2749">
        <v>435</v>
      </c>
      <c r="F2749" t="s">
        <v>5706</v>
      </c>
      <c r="G2749">
        <v>1909</v>
      </c>
      <c r="H2749">
        <v>1</v>
      </c>
      <c r="I2749" t="s">
        <v>90</v>
      </c>
      <c r="J2749">
        <v>0</v>
      </c>
      <c r="K2749">
        <v>2</v>
      </c>
      <c r="L2749">
        <v>5</v>
      </c>
      <c r="M2749">
        <v>254</v>
      </c>
      <c r="N2749">
        <v>760</v>
      </c>
      <c r="O2749">
        <v>0</v>
      </c>
      <c r="P2749">
        <v>506</v>
      </c>
      <c r="Q2749">
        <v>2</v>
      </c>
      <c r="R2749">
        <v>240</v>
      </c>
      <c r="S2749">
        <v>2</v>
      </c>
      <c r="T2749">
        <v>4</v>
      </c>
      <c r="U2749">
        <v>8</v>
      </c>
      <c r="V2749">
        <v>2</v>
      </c>
      <c r="W2749">
        <v>1</v>
      </c>
      <c r="X2749">
        <v>3</v>
      </c>
      <c r="Y2749">
        <v>211</v>
      </c>
      <c r="Z2749">
        <v>3</v>
      </c>
      <c r="AC2749" t="s">
        <v>105</v>
      </c>
      <c r="AD2749" t="s">
        <v>105</v>
      </c>
      <c r="AE2749" t="s">
        <v>105</v>
      </c>
      <c r="AF2749" t="s">
        <v>105</v>
      </c>
      <c r="AG2749">
        <v>4</v>
      </c>
      <c r="AH2749">
        <v>1</v>
      </c>
      <c r="AI2749">
        <v>3</v>
      </c>
      <c r="AJ2749">
        <v>0</v>
      </c>
      <c r="AK2749">
        <v>1</v>
      </c>
      <c r="AL2749">
        <v>2</v>
      </c>
      <c r="AM2749">
        <v>3</v>
      </c>
      <c r="AN2749">
        <v>1</v>
      </c>
      <c r="BC2749" t="s">
        <v>105</v>
      </c>
      <c r="BD2749">
        <v>15</v>
      </c>
      <c r="BE2749">
        <v>506</v>
      </c>
      <c r="BF2749">
        <v>506</v>
      </c>
      <c r="BG2749">
        <v>739</v>
      </c>
      <c r="BI2749" t="s">
        <v>106</v>
      </c>
      <c r="BJ2749">
        <v>1</v>
      </c>
      <c r="BL2749" t="s">
        <v>5707</v>
      </c>
      <c r="BM2749" s="4">
        <v>43283.352083333331</v>
      </c>
      <c r="BN2749" s="4">
        <v>43283.386365740742</v>
      </c>
      <c r="BO2749" s="4">
        <v>43283.386365740742</v>
      </c>
      <c r="BP2749" t="s">
        <v>92</v>
      </c>
      <c r="BQ2749" t="s">
        <v>93</v>
      </c>
      <c r="BR2749" t="s">
        <v>94</v>
      </c>
    </row>
    <row r="2750" spans="1:70" x14ac:dyDescent="0.3">
      <c r="A2750" t="str">
        <f>"201909C0100"</f>
        <v>201909C0100</v>
      </c>
      <c r="B2750" t="s">
        <v>5708</v>
      </c>
      <c r="C2750">
        <v>20</v>
      </c>
      <c r="D2750" t="s">
        <v>88</v>
      </c>
      <c r="E2750">
        <v>435</v>
      </c>
      <c r="F2750" t="s">
        <v>5706</v>
      </c>
      <c r="G2750">
        <v>1909</v>
      </c>
      <c r="H2750">
        <v>1</v>
      </c>
      <c r="I2750" t="s">
        <v>98</v>
      </c>
      <c r="J2750">
        <v>0</v>
      </c>
      <c r="K2750">
        <v>2</v>
      </c>
      <c r="L2750">
        <v>5</v>
      </c>
      <c r="M2750">
        <v>247</v>
      </c>
      <c r="N2750">
        <v>514</v>
      </c>
      <c r="O2750">
        <v>0</v>
      </c>
      <c r="P2750">
        <v>514</v>
      </c>
      <c r="Q2750">
        <v>2</v>
      </c>
      <c r="R2750">
        <v>245</v>
      </c>
      <c r="S2750">
        <v>3</v>
      </c>
      <c r="T2750">
        <v>2</v>
      </c>
      <c r="U2750">
        <v>6</v>
      </c>
      <c r="V2750">
        <v>3</v>
      </c>
      <c r="W2750">
        <v>2</v>
      </c>
      <c r="X2750">
        <v>6</v>
      </c>
      <c r="Y2750">
        <v>203</v>
      </c>
      <c r="Z2750">
        <v>5</v>
      </c>
      <c r="AC2750">
        <v>1</v>
      </c>
      <c r="AD2750">
        <v>0</v>
      </c>
      <c r="AE2750">
        <v>0</v>
      </c>
      <c r="AF2750">
        <v>0</v>
      </c>
      <c r="AG2750">
        <v>8</v>
      </c>
      <c r="AH2750">
        <v>1</v>
      </c>
      <c r="AI2750">
        <v>2</v>
      </c>
      <c r="AJ2750">
        <v>0</v>
      </c>
      <c r="AK2750">
        <v>6</v>
      </c>
      <c r="AL2750">
        <v>1</v>
      </c>
      <c r="AM2750">
        <v>0</v>
      </c>
      <c r="AN2750">
        <v>2</v>
      </c>
      <c r="BC2750">
        <v>0</v>
      </c>
      <c r="BD2750">
        <v>16</v>
      </c>
      <c r="BE2750">
        <v>514</v>
      </c>
      <c r="BF2750">
        <v>514</v>
      </c>
      <c r="BG2750">
        <v>739</v>
      </c>
      <c r="BJ2750">
        <v>1</v>
      </c>
      <c r="BL2750" t="s">
        <v>5709</v>
      </c>
      <c r="BM2750" s="4">
        <v>43283.352083333331</v>
      </c>
      <c r="BN2750" s="4">
        <v>43283.365648148145</v>
      </c>
      <c r="BO2750" s="4">
        <v>43283.365648148145</v>
      </c>
      <c r="BP2750" t="s">
        <v>92</v>
      </c>
      <c r="BQ2750" t="s">
        <v>93</v>
      </c>
      <c r="BR2750" t="s">
        <v>94</v>
      </c>
    </row>
    <row r="2751" spans="1:70" x14ac:dyDescent="0.3">
      <c r="A2751" t="str">
        <f>"201910B0100"</f>
        <v>201910B0100</v>
      </c>
      <c r="B2751" t="s">
        <v>5710</v>
      </c>
      <c r="C2751">
        <v>20</v>
      </c>
      <c r="D2751" t="s">
        <v>88</v>
      </c>
      <c r="E2751">
        <v>435</v>
      </c>
      <c r="F2751" t="s">
        <v>5706</v>
      </c>
      <c r="G2751">
        <v>1910</v>
      </c>
      <c r="H2751">
        <v>1</v>
      </c>
      <c r="I2751" t="s">
        <v>90</v>
      </c>
      <c r="J2751">
        <v>0</v>
      </c>
      <c r="K2751">
        <v>2</v>
      </c>
      <c r="L2751">
        <v>5</v>
      </c>
      <c r="M2751">
        <v>167</v>
      </c>
      <c r="N2751">
        <v>264</v>
      </c>
      <c r="O2751">
        <v>8</v>
      </c>
      <c r="P2751">
        <v>264</v>
      </c>
      <c r="Q2751">
        <v>2</v>
      </c>
      <c r="R2751">
        <v>147</v>
      </c>
      <c r="S2751">
        <v>3</v>
      </c>
      <c r="T2751">
        <v>5</v>
      </c>
      <c r="U2751">
        <v>3</v>
      </c>
      <c r="V2751">
        <v>0</v>
      </c>
      <c r="W2751">
        <v>1</v>
      </c>
      <c r="X2751">
        <v>4</v>
      </c>
      <c r="Y2751">
        <v>71</v>
      </c>
      <c r="Z2751">
        <v>0</v>
      </c>
      <c r="AC2751">
        <v>1</v>
      </c>
      <c r="AD2751">
        <v>0</v>
      </c>
      <c r="AE2751">
        <v>0</v>
      </c>
      <c r="AF2751">
        <v>0</v>
      </c>
      <c r="AG2751">
        <v>0</v>
      </c>
      <c r="AH2751">
        <v>1</v>
      </c>
      <c r="AI2751">
        <v>2</v>
      </c>
      <c r="AJ2751">
        <v>0</v>
      </c>
      <c r="AK2751">
        <v>1</v>
      </c>
      <c r="AL2751">
        <v>0</v>
      </c>
      <c r="AM2751">
        <v>0</v>
      </c>
      <c r="AN2751">
        <v>1</v>
      </c>
      <c r="BC2751">
        <v>0</v>
      </c>
      <c r="BD2751">
        <v>22</v>
      </c>
      <c r="BE2751">
        <v>264</v>
      </c>
      <c r="BF2751">
        <v>264</v>
      </c>
      <c r="BG2751">
        <v>409</v>
      </c>
      <c r="BJ2751">
        <v>1</v>
      </c>
      <c r="BL2751" t="s">
        <v>5711</v>
      </c>
      <c r="BM2751" s="4">
        <v>43283.352083333331</v>
      </c>
      <c r="BN2751" s="4">
        <v>43283.365648148145</v>
      </c>
      <c r="BO2751" s="4">
        <v>43283.365648148145</v>
      </c>
      <c r="BP2751" t="s">
        <v>92</v>
      </c>
      <c r="BQ2751" t="s">
        <v>93</v>
      </c>
      <c r="BR2751" t="s">
        <v>94</v>
      </c>
    </row>
    <row r="2752" spans="1:70" x14ac:dyDescent="0.3">
      <c r="A2752" t="str">
        <f>"201910C0100"</f>
        <v>201910C0100</v>
      </c>
      <c r="B2752" t="s">
        <v>5712</v>
      </c>
      <c r="C2752">
        <v>20</v>
      </c>
      <c r="D2752" t="s">
        <v>88</v>
      </c>
      <c r="E2752">
        <v>435</v>
      </c>
      <c r="F2752" t="s">
        <v>5706</v>
      </c>
      <c r="G2752">
        <v>1910</v>
      </c>
      <c r="H2752">
        <v>1</v>
      </c>
      <c r="I2752" t="s">
        <v>98</v>
      </c>
      <c r="J2752">
        <v>0</v>
      </c>
      <c r="K2752">
        <v>2</v>
      </c>
      <c r="L2752">
        <v>5</v>
      </c>
      <c r="M2752">
        <v>160</v>
      </c>
      <c r="N2752">
        <v>270</v>
      </c>
      <c r="O2752">
        <v>2</v>
      </c>
      <c r="P2752">
        <v>270</v>
      </c>
      <c r="Q2752" t="s">
        <v>127</v>
      </c>
      <c r="R2752">
        <v>144</v>
      </c>
      <c r="S2752">
        <v>0</v>
      </c>
      <c r="T2752">
        <v>2</v>
      </c>
      <c r="U2752">
        <v>6</v>
      </c>
      <c r="V2752">
        <v>1</v>
      </c>
      <c r="W2752">
        <v>4</v>
      </c>
      <c r="X2752">
        <v>4</v>
      </c>
      <c r="Y2752">
        <v>89</v>
      </c>
      <c r="Z2752">
        <v>5</v>
      </c>
      <c r="AC2752" t="s">
        <v>105</v>
      </c>
      <c r="AD2752" t="s">
        <v>105</v>
      </c>
      <c r="AE2752" t="s">
        <v>105</v>
      </c>
      <c r="AF2752" t="s">
        <v>105</v>
      </c>
      <c r="AG2752" t="s">
        <v>105</v>
      </c>
      <c r="AH2752" t="s">
        <v>105</v>
      </c>
      <c r="AI2752" t="s">
        <v>105</v>
      </c>
      <c r="AJ2752" t="s">
        <v>105</v>
      </c>
      <c r="AK2752">
        <v>3</v>
      </c>
      <c r="AL2752" t="s">
        <v>105</v>
      </c>
      <c r="AM2752" t="s">
        <v>105</v>
      </c>
      <c r="AN2752" t="s">
        <v>105</v>
      </c>
      <c r="BC2752" t="s">
        <v>105</v>
      </c>
      <c r="BD2752" t="s">
        <v>105</v>
      </c>
      <c r="BE2752">
        <v>270</v>
      </c>
      <c r="BF2752">
        <v>258</v>
      </c>
      <c r="BG2752">
        <v>408</v>
      </c>
      <c r="BI2752" t="s">
        <v>106</v>
      </c>
      <c r="BJ2752">
        <v>1</v>
      </c>
      <c r="BL2752" t="s">
        <v>5713</v>
      </c>
      <c r="BM2752" s="4">
        <v>43283.345833333333</v>
      </c>
      <c r="BN2752" s="4">
        <v>43283.373148148145</v>
      </c>
      <c r="BO2752" s="4">
        <v>43283.373148148145</v>
      </c>
      <c r="BP2752" t="s">
        <v>92</v>
      </c>
      <c r="BQ2752" t="s">
        <v>93</v>
      </c>
      <c r="BR2752" t="s">
        <v>94</v>
      </c>
    </row>
    <row r="2753" spans="1:70" x14ac:dyDescent="0.3">
      <c r="A2753" t="str">
        <f>"201910E0100"</f>
        <v>201910E0100</v>
      </c>
      <c r="B2753" s="2" t="s">
        <v>5714</v>
      </c>
      <c r="C2753">
        <v>20</v>
      </c>
      <c r="D2753" t="s">
        <v>88</v>
      </c>
      <c r="E2753">
        <v>435</v>
      </c>
      <c r="F2753" t="s">
        <v>5706</v>
      </c>
      <c r="G2753">
        <v>1910</v>
      </c>
      <c r="H2753">
        <v>1</v>
      </c>
      <c r="I2753" t="s">
        <v>156</v>
      </c>
      <c r="J2753">
        <v>0</v>
      </c>
      <c r="K2753">
        <v>2</v>
      </c>
      <c r="L2753">
        <v>5</v>
      </c>
      <c r="M2753">
        <v>134</v>
      </c>
      <c r="N2753">
        <v>249</v>
      </c>
      <c r="O2753">
        <v>7</v>
      </c>
      <c r="P2753">
        <v>249</v>
      </c>
      <c r="Q2753">
        <v>0</v>
      </c>
      <c r="R2753">
        <v>151</v>
      </c>
      <c r="S2753">
        <v>1</v>
      </c>
      <c r="T2753">
        <v>0</v>
      </c>
      <c r="U2753">
        <v>2</v>
      </c>
      <c r="V2753">
        <v>0</v>
      </c>
      <c r="W2753">
        <v>3</v>
      </c>
      <c r="X2753">
        <v>3</v>
      </c>
      <c r="Y2753">
        <v>68</v>
      </c>
      <c r="Z2753">
        <v>5</v>
      </c>
      <c r="AC2753">
        <v>0</v>
      </c>
      <c r="AD2753">
        <v>0</v>
      </c>
      <c r="AE2753">
        <v>0</v>
      </c>
      <c r="AF2753">
        <v>0</v>
      </c>
      <c r="AG2753">
        <v>4</v>
      </c>
      <c r="AH2753">
        <v>0</v>
      </c>
      <c r="AI2753">
        <v>0</v>
      </c>
      <c r="AJ2753">
        <v>0</v>
      </c>
      <c r="AK2753">
        <v>0</v>
      </c>
      <c r="AL2753">
        <v>0</v>
      </c>
      <c r="AM2753">
        <v>0</v>
      </c>
      <c r="AN2753">
        <v>0</v>
      </c>
      <c r="BC2753">
        <v>0</v>
      </c>
      <c r="BD2753">
        <v>12</v>
      </c>
      <c r="BE2753">
        <v>249</v>
      </c>
      <c r="BF2753">
        <v>249</v>
      </c>
      <c r="BG2753">
        <v>361</v>
      </c>
      <c r="BJ2753">
        <v>1</v>
      </c>
      <c r="BL2753" t="s">
        <v>5715</v>
      </c>
      <c r="BM2753" s="4">
        <v>43283.345138888886</v>
      </c>
      <c r="BN2753" s="4">
        <v>43283.359375</v>
      </c>
      <c r="BO2753" s="4">
        <v>43283.359375</v>
      </c>
      <c r="BP2753" t="s">
        <v>92</v>
      </c>
      <c r="BQ2753" t="s">
        <v>93</v>
      </c>
      <c r="BR2753" t="s">
        <v>94</v>
      </c>
    </row>
    <row r="2754" spans="1:70" x14ac:dyDescent="0.3">
      <c r="A2754" t="str">
        <f>"201910E0200"</f>
        <v>201910E0200</v>
      </c>
      <c r="B2754" s="2" t="s">
        <v>5716</v>
      </c>
      <c r="C2754">
        <v>20</v>
      </c>
      <c r="D2754" t="s">
        <v>88</v>
      </c>
      <c r="E2754">
        <v>435</v>
      </c>
      <c r="F2754" t="s">
        <v>5706</v>
      </c>
      <c r="G2754">
        <v>1910</v>
      </c>
      <c r="H2754">
        <v>2</v>
      </c>
      <c r="I2754" t="s">
        <v>156</v>
      </c>
      <c r="J2754">
        <v>0</v>
      </c>
      <c r="K2754">
        <v>2</v>
      </c>
      <c r="L2754">
        <v>5</v>
      </c>
      <c r="M2754">
        <v>148</v>
      </c>
      <c r="N2754">
        <v>204</v>
      </c>
      <c r="O2754">
        <v>1</v>
      </c>
      <c r="P2754">
        <v>204</v>
      </c>
      <c r="Q2754">
        <v>1</v>
      </c>
      <c r="R2754">
        <v>89</v>
      </c>
      <c r="S2754">
        <v>0</v>
      </c>
      <c r="T2754">
        <v>0</v>
      </c>
      <c r="U2754">
        <v>3</v>
      </c>
      <c r="V2754">
        <v>4</v>
      </c>
      <c r="W2754">
        <v>0</v>
      </c>
      <c r="X2754">
        <v>2</v>
      </c>
      <c r="Y2754">
        <v>84</v>
      </c>
      <c r="Z2754">
        <v>0</v>
      </c>
      <c r="AC2754">
        <v>0</v>
      </c>
      <c r="AD2754">
        <v>0</v>
      </c>
      <c r="AE2754">
        <v>0</v>
      </c>
      <c r="AF2754">
        <v>0</v>
      </c>
      <c r="AG2754">
        <v>5</v>
      </c>
      <c r="AH2754">
        <v>1</v>
      </c>
      <c r="AI2754">
        <v>0</v>
      </c>
      <c r="AJ2754">
        <v>0</v>
      </c>
      <c r="AK2754">
        <v>3</v>
      </c>
      <c r="AL2754">
        <v>0</v>
      </c>
      <c r="AM2754">
        <v>0</v>
      </c>
      <c r="AN2754">
        <v>0</v>
      </c>
      <c r="BC2754" t="s">
        <v>127</v>
      </c>
      <c r="BD2754">
        <v>12</v>
      </c>
      <c r="BE2754">
        <v>204</v>
      </c>
      <c r="BF2754">
        <v>204</v>
      </c>
      <c r="BG2754">
        <v>330</v>
      </c>
      <c r="BI2754" t="s">
        <v>106</v>
      </c>
      <c r="BJ2754">
        <v>1</v>
      </c>
      <c r="BL2754" t="s">
        <v>5717</v>
      </c>
      <c r="BM2754" s="4">
        <v>43283.351388888892</v>
      </c>
      <c r="BN2754" s="4">
        <v>43283.386087962965</v>
      </c>
      <c r="BO2754" s="4">
        <v>43283.386087962965</v>
      </c>
      <c r="BP2754" t="s">
        <v>92</v>
      </c>
      <c r="BQ2754" t="s">
        <v>93</v>
      </c>
      <c r="BR2754" t="s">
        <v>94</v>
      </c>
    </row>
    <row r="2755" spans="1:70" x14ac:dyDescent="0.3">
      <c r="A2755" t="str">
        <f>"201913B0100"</f>
        <v>201913B0100</v>
      </c>
      <c r="B2755" t="s">
        <v>5718</v>
      </c>
      <c r="C2755">
        <v>20</v>
      </c>
      <c r="D2755" t="s">
        <v>88</v>
      </c>
      <c r="E2755">
        <v>437</v>
      </c>
      <c r="F2755" t="s">
        <v>5719</v>
      </c>
      <c r="G2755">
        <v>1913</v>
      </c>
      <c r="H2755">
        <v>1</v>
      </c>
      <c r="I2755" t="s">
        <v>90</v>
      </c>
      <c r="J2755">
        <v>0</v>
      </c>
      <c r="K2755">
        <v>1</v>
      </c>
      <c r="L2755">
        <v>5</v>
      </c>
      <c r="M2755">
        <v>127</v>
      </c>
      <c r="N2755">
        <v>273</v>
      </c>
      <c r="O2755">
        <v>0</v>
      </c>
      <c r="P2755">
        <v>273</v>
      </c>
      <c r="Q2755">
        <v>0</v>
      </c>
      <c r="R2755">
        <v>141</v>
      </c>
      <c r="S2755">
        <v>112</v>
      </c>
      <c r="T2755">
        <v>1</v>
      </c>
      <c r="U2755">
        <v>0</v>
      </c>
      <c r="V2755">
        <v>0</v>
      </c>
      <c r="X2755">
        <v>0</v>
      </c>
      <c r="Y2755">
        <v>13</v>
      </c>
      <c r="Z2755">
        <v>0</v>
      </c>
      <c r="AC2755">
        <v>0</v>
      </c>
      <c r="AD2755">
        <v>0</v>
      </c>
      <c r="AE2755">
        <v>0</v>
      </c>
      <c r="AF2755">
        <v>0</v>
      </c>
      <c r="AG2755">
        <v>0</v>
      </c>
      <c r="AH2755">
        <v>0</v>
      </c>
      <c r="AI2755">
        <v>0</v>
      </c>
      <c r="AJ2755">
        <v>0</v>
      </c>
      <c r="AK2755">
        <v>0</v>
      </c>
      <c r="AL2755">
        <v>0</v>
      </c>
      <c r="AM2755">
        <v>0</v>
      </c>
      <c r="AN2755">
        <v>0</v>
      </c>
      <c r="BC2755">
        <v>0</v>
      </c>
      <c r="BD2755">
        <v>6</v>
      </c>
      <c r="BE2755">
        <v>273</v>
      </c>
      <c r="BF2755">
        <v>273</v>
      </c>
      <c r="BG2755">
        <v>378</v>
      </c>
      <c r="BJ2755">
        <v>1</v>
      </c>
      <c r="BL2755" t="s">
        <v>5720</v>
      </c>
      <c r="BM2755" s="4">
        <v>43283.098171296297</v>
      </c>
      <c r="BN2755" s="4">
        <v>43283.107129629629</v>
      </c>
      <c r="BO2755" s="4">
        <v>43283.107129629629</v>
      </c>
      <c r="BP2755" t="s">
        <v>339</v>
      </c>
      <c r="BQ2755" t="s">
        <v>340</v>
      </c>
      <c r="BR2755" t="s">
        <v>94</v>
      </c>
    </row>
    <row r="2756" spans="1:70" x14ac:dyDescent="0.3">
      <c r="A2756" t="str">
        <f>"201913C0100"</f>
        <v>201913C0100</v>
      </c>
      <c r="B2756" t="s">
        <v>5721</v>
      </c>
      <c r="C2756">
        <v>20</v>
      </c>
      <c r="D2756" t="s">
        <v>88</v>
      </c>
      <c r="E2756">
        <v>437</v>
      </c>
      <c r="F2756" t="s">
        <v>5719</v>
      </c>
      <c r="G2756">
        <v>1913</v>
      </c>
      <c r="H2756">
        <v>1</v>
      </c>
      <c r="I2756" t="s">
        <v>98</v>
      </c>
      <c r="J2756">
        <v>0</v>
      </c>
      <c r="K2756">
        <v>2</v>
      </c>
      <c r="L2756">
        <v>5</v>
      </c>
      <c r="M2756">
        <v>112</v>
      </c>
      <c r="N2756">
        <v>208</v>
      </c>
      <c r="O2756">
        <v>0</v>
      </c>
      <c r="P2756">
        <v>208</v>
      </c>
      <c r="Q2756">
        <v>1</v>
      </c>
      <c r="R2756">
        <v>137</v>
      </c>
      <c r="S2756">
        <v>130</v>
      </c>
      <c r="T2756">
        <v>1</v>
      </c>
      <c r="U2756" t="s">
        <v>105</v>
      </c>
      <c r="V2756">
        <v>3</v>
      </c>
      <c r="X2756" t="s">
        <v>105</v>
      </c>
      <c r="Y2756">
        <v>6</v>
      </c>
      <c r="Z2756" t="s">
        <v>105</v>
      </c>
      <c r="AC2756">
        <v>2</v>
      </c>
      <c r="AD2756" t="s">
        <v>105</v>
      </c>
      <c r="AE2756" t="s">
        <v>105</v>
      </c>
      <c r="AF2756" t="s">
        <v>105</v>
      </c>
      <c r="AG2756" t="s">
        <v>105</v>
      </c>
      <c r="AH2756" t="s">
        <v>105</v>
      </c>
      <c r="AI2756" t="s">
        <v>105</v>
      </c>
      <c r="AJ2756" t="s">
        <v>105</v>
      </c>
      <c r="AK2756" t="s">
        <v>105</v>
      </c>
      <c r="AL2756" t="s">
        <v>105</v>
      </c>
      <c r="AM2756" t="s">
        <v>105</v>
      </c>
      <c r="AN2756" t="s">
        <v>105</v>
      </c>
      <c r="BC2756" t="s">
        <v>105</v>
      </c>
      <c r="BD2756">
        <v>8</v>
      </c>
      <c r="BE2756">
        <v>288</v>
      </c>
      <c r="BF2756">
        <v>288</v>
      </c>
      <c r="BG2756">
        <v>378</v>
      </c>
      <c r="BI2756" t="s">
        <v>106</v>
      </c>
      <c r="BJ2756">
        <v>1</v>
      </c>
      <c r="BL2756" t="s">
        <v>5722</v>
      </c>
      <c r="BM2756" s="4">
        <v>43283.098854166667</v>
      </c>
      <c r="BN2756" s="4">
        <v>43283.10255787037</v>
      </c>
      <c r="BO2756" s="4">
        <v>43283.10255787037</v>
      </c>
      <c r="BP2756" t="s">
        <v>339</v>
      </c>
      <c r="BQ2756" t="s">
        <v>340</v>
      </c>
      <c r="BR2756" t="s">
        <v>94</v>
      </c>
    </row>
    <row r="2757" spans="1:70" x14ac:dyDescent="0.3">
      <c r="A2757" t="str">
        <f>"201919B0100"</f>
        <v>201919B0100</v>
      </c>
      <c r="B2757" t="s">
        <v>5723</v>
      </c>
      <c r="C2757">
        <v>20</v>
      </c>
      <c r="D2757" t="s">
        <v>88</v>
      </c>
      <c r="E2757">
        <v>440</v>
      </c>
      <c r="F2757" t="s">
        <v>5724</v>
      </c>
      <c r="G2757">
        <v>1919</v>
      </c>
      <c r="H2757">
        <v>1</v>
      </c>
      <c r="I2757" t="s">
        <v>90</v>
      </c>
      <c r="J2757">
        <v>0</v>
      </c>
      <c r="K2757">
        <v>2</v>
      </c>
      <c r="L2757">
        <v>5</v>
      </c>
      <c r="M2757">
        <v>174</v>
      </c>
      <c r="N2757">
        <v>449</v>
      </c>
      <c r="O2757">
        <v>8</v>
      </c>
      <c r="P2757">
        <v>449</v>
      </c>
      <c r="Q2757">
        <v>65</v>
      </c>
      <c r="R2757">
        <v>12</v>
      </c>
      <c r="S2757">
        <v>8</v>
      </c>
      <c r="T2757">
        <v>6</v>
      </c>
      <c r="U2757">
        <v>15</v>
      </c>
      <c r="V2757">
        <v>2</v>
      </c>
      <c r="W2757">
        <v>51</v>
      </c>
      <c r="X2757">
        <v>20</v>
      </c>
      <c r="Y2757">
        <v>107</v>
      </c>
      <c r="Z2757">
        <v>30</v>
      </c>
      <c r="AA2757">
        <v>63</v>
      </c>
      <c r="AB2757">
        <v>35</v>
      </c>
      <c r="AC2757">
        <v>0</v>
      </c>
      <c r="AD2757">
        <v>0</v>
      </c>
      <c r="AE2757">
        <v>0</v>
      </c>
      <c r="AF2757">
        <v>0</v>
      </c>
      <c r="AG2757">
        <v>3</v>
      </c>
      <c r="AH2757">
        <v>1</v>
      </c>
      <c r="AI2757">
        <v>1</v>
      </c>
      <c r="AJ2757">
        <v>0</v>
      </c>
      <c r="AK2757">
        <v>5</v>
      </c>
      <c r="AL2757">
        <v>0</v>
      </c>
      <c r="AM2757">
        <v>0</v>
      </c>
      <c r="AN2757">
        <v>1</v>
      </c>
      <c r="BC2757">
        <v>1</v>
      </c>
      <c r="BD2757">
        <v>23</v>
      </c>
      <c r="BE2757">
        <v>449</v>
      </c>
      <c r="BF2757">
        <v>449</v>
      </c>
      <c r="BG2757">
        <v>602</v>
      </c>
      <c r="BJ2757">
        <v>1</v>
      </c>
      <c r="BL2757" t="s">
        <v>5725</v>
      </c>
      <c r="BM2757" s="4">
        <v>43283.143310185187</v>
      </c>
      <c r="BN2757" s="4">
        <v>43283.147129629629</v>
      </c>
      <c r="BO2757" s="4">
        <v>43283.147129629629</v>
      </c>
      <c r="BP2757" t="s">
        <v>92</v>
      </c>
      <c r="BQ2757" t="s">
        <v>93</v>
      </c>
      <c r="BR2757" t="s">
        <v>94</v>
      </c>
    </row>
    <row r="2758" spans="1:70" x14ac:dyDescent="0.3">
      <c r="A2758" t="str">
        <f>"201919C0100"</f>
        <v>201919C0100</v>
      </c>
      <c r="B2758" t="s">
        <v>5726</v>
      </c>
      <c r="C2758">
        <v>20</v>
      </c>
      <c r="D2758" t="s">
        <v>88</v>
      </c>
      <c r="E2758">
        <v>440</v>
      </c>
      <c r="F2758" t="s">
        <v>5724</v>
      </c>
      <c r="G2758">
        <v>1919</v>
      </c>
      <c r="H2758">
        <v>1</v>
      </c>
      <c r="I2758" t="s">
        <v>98</v>
      </c>
      <c r="J2758">
        <v>0</v>
      </c>
      <c r="K2758">
        <v>2</v>
      </c>
      <c r="L2758">
        <v>5</v>
      </c>
      <c r="M2758">
        <v>205</v>
      </c>
      <c r="N2758">
        <v>419</v>
      </c>
      <c r="O2758">
        <v>4</v>
      </c>
      <c r="P2758">
        <v>419</v>
      </c>
      <c r="Q2758">
        <v>53</v>
      </c>
      <c r="R2758">
        <v>16</v>
      </c>
      <c r="S2758">
        <v>10</v>
      </c>
      <c r="T2758">
        <v>1</v>
      </c>
      <c r="U2758">
        <v>18</v>
      </c>
      <c r="V2758">
        <v>3</v>
      </c>
      <c r="W2758">
        <v>47</v>
      </c>
      <c r="X2758">
        <v>20</v>
      </c>
      <c r="Y2758">
        <v>86</v>
      </c>
      <c r="Z2758">
        <v>49</v>
      </c>
      <c r="AA2758">
        <v>48</v>
      </c>
      <c r="AB2758">
        <v>35</v>
      </c>
      <c r="AC2758">
        <v>2</v>
      </c>
      <c r="AD2758">
        <v>0</v>
      </c>
      <c r="AE2758">
        <v>0</v>
      </c>
      <c r="AF2758">
        <v>0</v>
      </c>
      <c r="AG2758">
        <v>2</v>
      </c>
      <c r="AH2758">
        <v>0</v>
      </c>
      <c r="AI2758">
        <v>0</v>
      </c>
      <c r="AJ2758">
        <v>0</v>
      </c>
      <c r="AK2758">
        <v>2</v>
      </c>
      <c r="AL2758">
        <v>2</v>
      </c>
      <c r="AM2758">
        <v>2</v>
      </c>
      <c r="AN2758">
        <v>3</v>
      </c>
      <c r="BC2758">
        <v>0</v>
      </c>
      <c r="BD2758">
        <v>18</v>
      </c>
      <c r="BE2758">
        <v>419</v>
      </c>
      <c r="BF2758">
        <v>417</v>
      </c>
      <c r="BG2758">
        <v>602</v>
      </c>
      <c r="BJ2758">
        <v>1</v>
      </c>
      <c r="BL2758" t="s">
        <v>5727</v>
      </c>
      <c r="BM2758" s="4">
        <v>43283.0237037037</v>
      </c>
      <c r="BN2758" s="4">
        <v>43283.027129629627</v>
      </c>
      <c r="BO2758" s="4">
        <v>43283.027129629627</v>
      </c>
      <c r="BP2758" t="s">
        <v>92</v>
      </c>
      <c r="BQ2758" t="s">
        <v>93</v>
      </c>
      <c r="BR2758" t="s">
        <v>94</v>
      </c>
    </row>
    <row r="2759" spans="1:70" x14ac:dyDescent="0.3">
      <c r="A2759" t="str">
        <f>"201919C0200"</f>
        <v>201919C0200</v>
      </c>
      <c r="B2759" t="s">
        <v>5728</v>
      </c>
      <c r="C2759">
        <v>20</v>
      </c>
      <c r="D2759" t="s">
        <v>88</v>
      </c>
      <c r="E2759">
        <v>440</v>
      </c>
      <c r="F2759" t="s">
        <v>5724</v>
      </c>
      <c r="G2759">
        <v>1919</v>
      </c>
      <c r="H2759">
        <v>2</v>
      </c>
      <c r="I2759" t="s">
        <v>98</v>
      </c>
      <c r="J2759">
        <v>0</v>
      </c>
      <c r="K2759">
        <v>2</v>
      </c>
      <c r="L2759">
        <v>5</v>
      </c>
      <c r="M2759">
        <v>187</v>
      </c>
      <c r="N2759">
        <v>436</v>
      </c>
      <c r="O2759">
        <v>2</v>
      </c>
      <c r="P2759">
        <v>436</v>
      </c>
      <c r="Q2759">
        <v>41</v>
      </c>
      <c r="R2759">
        <v>13</v>
      </c>
      <c r="S2759">
        <v>5</v>
      </c>
      <c r="T2759">
        <v>1</v>
      </c>
      <c r="U2759">
        <v>18</v>
      </c>
      <c r="V2759">
        <v>2</v>
      </c>
      <c r="W2759">
        <v>53</v>
      </c>
      <c r="X2759">
        <v>31</v>
      </c>
      <c r="Y2759">
        <v>103</v>
      </c>
      <c r="Z2759">
        <v>65</v>
      </c>
      <c r="AA2759">
        <v>36</v>
      </c>
      <c r="AB2759">
        <v>23</v>
      </c>
      <c r="AC2759">
        <v>1</v>
      </c>
      <c r="AD2759">
        <v>0</v>
      </c>
      <c r="AE2759">
        <v>0</v>
      </c>
      <c r="AF2759">
        <v>0</v>
      </c>
      <c r="AG2759">
        <v>4</v>
      </c>
      <c r="AH2759">
        <v>0</v>
      </c>
      <c r="AI2759">
        <v>1</v>
      </c>
      <c r="AJ2759">
        <v>0</v>
      </c>
      <c r="AK2759">
        <v>6</v>
      </c>
      <c r="AL2759">
        <v>4</v>
      </c>
      <c r="AM2759">
        <v>0</v>
      </c>
      <c r="AN2759">
        <v>3</v>
      </c>
      <c r="BC2759">
        <v>0</v>
      </c>
      <c r="BD2759">
        <v>26</v>
      </c>
      <c r="BE2759" t="s">
        <v>105</v>
      </c>
      <c r="BF2759">
        <v>436</v>
      </c>
      <c r="BG2759">
        <v>601</v>
      </c>
      <c r="BJ2759">
        <v>1</v>
      </c>
      <c r="BL2759" t="s">
        <v>5729</v>
      </c>
      <c r="BM2759" s="4">
        <v>43283.100335648145</v>
      </c>
      <c r="BN2759" s="4">
        <v>43283.105983796297</v>
      </c>
      <c r="BO2759" s="4">
        <v>43283.105983796297</v>
      </c>
      <c r="BP2759" t="s">
        <v>92</v>
      </c>
      <c r="BQ2759" t="s">
        <v>93</v>
      </c>
      <c r="BR2759" t="s">
        <v>94</v>
      </c>
    </row>
    <row r="2760" spans="1:70" x14ac:dyDescent="0.3">
      <c r="A2760" t="str">
        <f>"201919E0100"</f>
        <v>201919E0100</v>
      </c>
      <c r="B2760" s="2" t="s">
        <v>5730</v>
      </c>
      <c r="C2760">
        <v>20</v>
      </c>
      <c r="D2760" t="s">
        <v>88</v>
      </c>
      <c r="E2760">
        <v>440</v>
      </c>
      <c r="F2760" t="s">
        <v>5724</v>
      </c>
      <c r="G2760">
        <v>1919</v>
      </c>
      <c r="H2760">
        <v>1</v>
      </c>
      <c r="I2760" t="s">
        <v>156</v>
      </c>
      <c r="J2760">
        <v>0</v>
      </c>
      <c r="K2760">
        <v>2</v>
      </c>
      <c r="L2760">
        <v>5</v>
      </c>
      <c r="M2760">
        <v>126</v>
      </c>
      <c r="N2760">
        <v>317</v>
      </c>
      <c r="O2760">
        <v>4</v>
      </c>
      <c r="P2760">
        <v>317</v>
      </c>
      <c r="Q2760">
        <v>23</v>
      </c>
      <c r="R2760">
        <v>6</v>
      </c>
      <c r="S2760">
        <v>9</v>
      </c>
      <c r="T2760">
        <v>4</v>
      </c>
      <c r="U2760">
        <v>24</v>
      </c>
      <c r="V2760">
        <v>2</v>
      </c>
      <c r="W2760">
        <v>82</v>
      </c>
      <c r="X2760">
        <v>14</v>
      </c>
      <c r="Y2760">
        <v>87</v>
      </c>
      <c r="Z2760">
        <v>16</v>
      </c>
      <c r="AA2760">
        <v>3</v>
      </c>
      <c r="AB2760">
        <v>18</v>
      </c>
      <c r="AC2760">
        <v>0</v>
      </c>
      <c r="AD2760">
        <v>1</v>
      </c>
      <c r="AE2760">
        <v>0</v>
      </c>
      <c r="AF2760">
        <v>0</v>
      </c>
      <c r="AG2760">
        <v>0</v>
      </c>
      <c r="AH2760">
        <v>1</v>
      </c>
      <c r="AI2760">
        <v>0</v>
      </c>
      <c r="AJ2760">
        <v>0</v>
      </c>
      <c r="AK2760">
        <v>3</v>
      </c>
      <c r="AL2760">
        <v>0</v>
      </c>
      <c r="AM2760">
        <v>1</v>
      </c>
      <c r="AN2760">
        <v>2</v>
      </c>
      <c r="BC2760" t="s">
        <v>105</v>
      </c>
      <c r="BD2760">
        <v>21</v>
      </c>
      <c r="BE2760">
        <v>317</v>
      </c>
      <c r="BF2760">
        <v>317</v>
      </c>
      <c r="BG2760">
        <v>421</v>
      </c>
      <c r="BI2760" t="s">
        <v>106</v>
      </c>
      <c r="BJ2760">
        <v>1</v>
      </c>
      <c r="BL2760" t="s">
        <v>5731</v>
      </c>
      <c r="BM2760" s="4">
        <v>43283.173032407409</v>
      </c>
      <c r="BN2760" s="4">
        <v>43283.186620370368</v>
      </c>
      <c r="BO2760" s="4">
        <v>43283.186620370368</v>
      </c>
      <c r="BP2760" t="s">
        <v>92</v>
      </c>
      <c r="BQ2760" t="s">
        <v>93</v>
      </c>
      <c r="BR2760" t="s">
        <v>94</v>
      </c>
    </row>
    <row r="2761" spans="1:70" x14ac:dyDescent="0.3">
      <c r="A2761" t="str">
        <f>"201919E0101"</f>
        <v>201919E0101</v>
      </c>
      <c r="B2761" s="2" t="s">
        <v>5732</v>
      </c>
      <c r="C2761">
        <v>20</v>
      </c>
      <c r="D2761" t="s">
        <v>88</v>
      </c>
      <c r="E2761">
        <v>440</v>
      </c>
      <c r="F2761" t="s">
        <v>5724</v>
      </c>
      <c r="G2761">
        <v>1919</v>
      </c>
      <c r="H2761">
        <v>1</v>
      </c>
      <c r="I2761" t="s">
        <v>156</v>
      </c>
      <c r="J2761">
        <v>1</v>
      </c>
      <c r="K2761">
        <v>2</v>
      </c>
      <c r="L2761">
        <v>5</v>
      </c>
      <c r="M2761">
        <v>132</v>
      </c>
      <c r="N2761">
        <v>311</v>
      </c>
      <c r="O2761">
        <v>3</v>
      </c>
      <c r="P2761">
        <v>311</v>
      </c>
      <c r="Q2761">
        <v>14</v>
      </c>
      <c r="R2761">
        <v>15</v>
      </c>
      <c r="S2761">
        <v>13</v>
      </c>
      <c r="T2761">
        <v>4</v>
      </c>
      <c r="U2761">
        <v>32</v>
      </c>
      <c r="V2761">
        <v>1</v>
      </c>
      <c r="W2761">
        <v>80</v>
      </c>
      <c r="X2761">
        <v>6</v>
      </c>
      <c r="Y2761">
        <v>78</v>
      </c>
      <c r="Z2761">
        <v>12</v>
      </c>
      <c r="AA2761">
        <v>4</v>
      </c>
      <c r="AB2761">
        <v>26</v>
      </c>
      <c r="AC2761">
        <v>0</v>
      </c>
      <c r="AD2761">
        <v>2</v>
      </c>
      <c r="AE2761">
        <v>0</v>
      </c>
      <c r="AF2761">
        <v>0</v>
      </c>
      <c r="AG2761">
        <v>1</v>
      </c>
      <c r="AH2761">
        <v>0</v>
      </c>
      <c r="AI2761">
        <v>0</v>
      </c>
      <c r="AJ2761">
        <v>0</v>
      </c>
      <c r="AK2761">
        <v>1</v>
      </c>
      <c r="AL2761">
        <v>0</v>
      </c>
      <c r="AM2761">
        <v>2</v>
      </c>
      <c r="AN2761">
        <v>1</v>
      </c>
      <c r="BC2761">
        <v>0</v>
      </c>
      <c r="BD2761">
        <v>19</v>
      </c>
      <c r="BE2761">
        <v>311</v>
      </c>
      <c r="BF2761">
        <v>311</v>
      </c>
      <c r="BG2761">
        <v>421</v>
      </c>
      <c r="BJ2761">
        <v>1</v>
      </c>
      <c r="BL2761" t="s">
        <v>5733</v>
      </c>
      <c r="BM2761" s="4">
        <v>43283.165567129632</v>
      </c>
      <c r="BN2761" s="4">
        <v>43283.175671296296</v>
      </c>
      <c r="BO2761" s="4">
        <v>43283.175671296296</v>
      </c>
      <c r="BP2761" t="s">
        <v>92</v>
      </c>
      <c r="BQ2761" t="s">
        <v>93</v>
      </c>
      <c r="BR2761" t="s">
        <v>94</v>
      </c>
    </row>
    <row r="2762" spans="1:70" x14ac:dyDescent="0.3">
      <c r="A2762" t="str">
        <f>"201920B0100"</f>
        <v>201920B0100</v>
      </c>
      <c r="B2762" t="s">
        <v>5734</v>
      </c>
      <c r="C2762">
        <v>20</v>
      </c>
      <c r="D2762" t="s">
        <v>88</v>
      </c>
      <c r="E2762">
        <v>440</v>
      </c>
      <c r="F2762" t="s">
        <v>5724</v>
      </c>
      <c r="G2762">
        <v>1920</v>
      </c>
      <c r="H2762">
        <v>1</v>
      </c>
      <c r="I2762" t="s">
        <v>90</v>
      </c>
      <c r="J2762">
        <v>0</v>
      </c>
      <c r="K2762">
        <v>2</v>
      </c>
      <c r="L2762">
        <v>5</v>
      </c>
      <c r="M2762">
        <v>188</v>
      </c>
      <c r="N2762">
        <v>490</v>
      </c>
      <c r="O2762">
        <v>2</v>
      </c>
      <c r="P2762">
        <v>490</v>
      </c>
      <c r="Q2762">
        <v>63</v>
      </c>
      <c r="R2762">
        <v>16</v>
      </c>
      <c r="S2762">
        <v>23</v>
      </c>
      <c r="T2762">
        <v>4</v>
      </c>
      <c r="U2762">
        <v>23</v>
      </c>
      <c r="V2762">
        <v>7</v>
      </c>
      <c r="W2762">
        <v>161</v>
      </c>
      <c r="X2762">
        <v>31</v>
      </c>
      <c r="Y2762">
        <v>101</v>
      </c>
      <c r="Z2762">
        <v>9</v>
      </c>
      <c r="AA2762">
        <v>7</v>
      </c>
      <c r="AB2762">
        <v>15</v>
      </c>
      <c r="AC2762">
        <v>0</v>
      </c>
      <c r="AD2762">
        <v>1</v>
      </c>
      <c r="AE2762">
        <v>0</v>
      </c>
      <c r="AF2762">
        <v>0</v>
      </c>
      <c r="AG2762">
        <v>0</v>
      </c>
      <c r="AH2762">
        <v>1</v>
      </c>
      <c r="AI2762">
        <v>0</v>
      </c>
      <c r="AJ2762">
        <v>0</v>
      </c>
      <c r="AK2762">
        <v>0</v>
      </c>
      <c r="AL2762">
        <v>1</v>
      </c>
      <c r="AM2762">
        <v>1</v>
      </c>
      <c r="AN2762">
        <v>1</v>
      </c>
      <c r="BC2762">
        <v>0</v>
      </c>
      <c r="BD2762">
        <v>25</v>
      </c>
      <c r="BE2762">
        <v>490</v>
      </c>
      <c r="BF2762">
        <v>490</v>
      </c>
      <c r="BG2762">
        <v>657</v>
      </c>
      <c r="BJ2762">
        <v>1</v>
      </c>
      <c r="BL2762" t="s">
        <v>5735</v>
      </c>
      <c r="BM2762" s="4">
        <v>43283.376782407409</v>
      </c>
      <c r="BN2762" s="4">
        <v>43283.381562499999</v>
      </c>
      <c r="BO2762" s="4">
        <v>43283.381562499999</v>
      </c>
      <c r="BP2762" t="s">
        <v>92</v>
      </c>
      <c r="BQ2762" t="s">
        <v>93</v>
      </c>
      <c r="BR2762" t="s">
        <v>94</v>
      </c>
    </row>
    <row r="2763" spans="1:70" x14ac:dyDescent="0.3">
      <c r="A2763" t="str">
        <f>"201920C0100"</f>
        <v>201920C0100</v>
      </c>
      <c r="B2763" t="s">
        <v>5736</v>
      </c>
      <c r="C2763">
        <v>20</v>
      </c>
      <c r="D2763" t="s">
        <v>88</v>
      </c>
      <c r="E2763">
        <v>440</v>
      </c>
      <c r="F2763" t="s">
        <v>5724</v>
      </c>
      <c r="G2763">
        <v>1920</v>
      </c>
      <c r="H2763">
        <v>1</v>
      </c>
      <c r="I2763" t="s">
        <v>98</v>
      </c>
      <c r="J2763">
        <v>0</v>
      </c>
      <c r="K2763">
        <v>2</v>
      </c>
      <c r="L2763">
        <v>5</v>
      </c>
      <c r="M2763">
        <v>176</v>
      </c>
      <c r="N2763">
        <v>502</v>
      </c>
      <c r="O2763">
        <v>3</v>
      </c>
      <c r="P2763">
        <v>502</v>
      </c>
      <c r="Q2763">
        <v>76</v>
      </c>
      <c r="R2763">
        <v>18</v>
      </c>
      <c r="S2763">
        <v>19</v>
      </c>
      <c r="T2763">
        <v>5</v>
      </c>
      <c r="U2763">
        <v>16</v>
      </c>
      <c r="V2763">
        <v>6</v>
      </c>
      <c r="W2763">
        <v>168</v>
      </c>
      <c r="X2763">
        <v>36</v>
      </c>
      <c r="Y2763">
        <v>89</v>
      </c>
      <c r="Z2763">
        <v>7</v>
      </c>
      <c r="AA2763">
        <v>5</v>
      </c>
      <c r="AB2763">
        <v>17</v>
      </c>
      <c r="AC2763">
        <v>1</v>
      </c>
      <c r="AD2763">
        <v>0</v>
      </c>
      <c r="AE2763">
        <v>0</v>
      </c>
      <c r="AF2763">
        <v>0</v>
      </c>
      <c r="AG2763">
        <v>0</v>
      </c>
      <c r="AH2763">
        <v>1</v>
      </c>
      <c r="AI2763">
        <v>1</v>
      </c>
      <c r="AJ2763">
        <v>2</v>
      </c>
      <c r="AK2763">
        <v>1</v>
      </c>
      <c r="AL2763">
        <v>0</v>
      </c>
      <c r="AM2763">
        <v>0</v>
      </c>
      <c r="AN2763">
        <v>1</v>
      </c>
      <c r="BC2763">
        <v>0</v>
      </c>
      <c r="BD2763">
        <v>32</v>
      </c>
      <c r="BE2763">
        <v>502</v>
      </c>
      <c r="BF2763">
        <v>501</v>
      </c>
      <c r="BG2763">
        <v>657</v>
      </c>
      <c r="BJ2763">
        <v>1</v>
      </c>
      <c r="BL2763" t="s">
        <v>5737</v>
      </c>
      <c r="BM2763" s="4">
        <v>43283.427048611113</v>
      </c>
      <c r="BN2763" s="4">
        <v>43283.433298611111</v>
      </c>
      <c r="BO2763" s="4">
        <v>43283.433298611111</v>
      </c>
      <c r="BP2763" t="s">
        <v>92</v>
      </c>
      <c r="BQ2763" t="s">
        <v>93</v>
      </c>
      <c r="BR2763" t="s">
        <v>94</v>
      </c>
    </row>
    <row r="2764" spans="1:70" x14ac:dyDescent="0.3">
      <c r="A2764" t="str">
        <f>"201921B0100"</f>
        <v>201921B0100</v>
      </c>
      <c r="B2764" t="s">
        <v>5738</v>
      </c>
      <c r="C2764">
        <v>20</v>
      </c>
      <c r="D2764" t="s">
        <v>88</v>
      </c>
      <c r="E2764">
        <v>440</v>
      </c>
      <c r="F2764" t="s">
        <v>5724</v>
      </c>
      <c r="G2764">
        <v>1921</v>
      </c>
      <c r="H2764">
        <v>1</v>
      </c>
      <c r="I2764" t="s">
        <v>90</v>
      </c>
      <c r="J2764">
        <v>0</v>
      </c>
      <c r="K2764">
        <v>2</v>
      </c>
      <c r="L2764">
        <v>5</v>
      </c>
      <c r="M2764">
        <v>187</v>
      </c>
      <c r="N2764">
        <v>303</v>
      </c>
      <c r="O2764">
        <v>2</v>
      </c>
      <c r="P2764">
        <v>303</v>
      </c>
      <c r="Q2764">
        <v>40</v>
      </c>
      <c r="R2764">
        <v>5</v>
      </c>
      <c r="S2764">
        <v>7</v>
      </c>
      <c r="T2764">
        <v>3</v>
      </c>
      <c r="U2764">
        <v>32</v>
      </c>
      <c r="V2764">
        <v>3</v>
      </c>
      <c r="W2764">
        <v>61</v>
      </c>
      <c r="X2764">
        <v>15</v>
      </c>
      <c r="Y2764">
        <v>73</v>
      </c>
      <c r="Z2764">
        <v>6</v>
      </c>
      <c r="AA2764">
        <v>4</v>
      </c>
      <c r="AB2764">
        <v>15</v>
      </c>
      <c r="AC2764">
        <v>0</v>
      </c>
      <c r="AD2764">
        <v>0</v>
      </c>
      <c r="AE2764">
        <v>0</v>
      </c>
      <c r="AF2764">
        <v>0</v>
      </c>
      <c r="AG2764">
        <v>1</v>
      </c>
      <c r="AH2764">
        <v>2</v>
      </c>
      <c r="AI2764">
        <v>0</v>
      </c>
      <c r="AJ2764">
        <v>0</v>
      </c>
      <c r="AK2764">
        <v>2</v>
      </c>
      <c r="AL2764">
        <v>1</v>
      </c>
      <c r="AM2764">
        <v>1</v>
      </c>
      <c r="AN2764">
        <v>1</v>
      </c>
      <c r="BC2764" t="s">
        <v>105</v>
      </c>
      <c r="BD2764">
        <v>33</v>
      </c>
      <c r="BE2764">
        <v>303</v>
      </c>
      <c r="BF2764">
        <v>305</v>
      </c>
      <c r="BG2764">
        <v>468</v>
      </c>
      <c r="BI2764" t="s">
        <v>106</v>
      </c>
      <c r="BJ2764">
        <v>1</v>
      </c>
      <c r="BL2764" t="s">
        <v>5739</v>
      </c>
      <c r="BM2764" s="4">
        <v>43283.388113425928</v>
      </c>
      <c r="BN2764" s="4">
        <v>43283.409583333334</v>
      </c>
      <c r="BO2764" s="4">
        <v>43283.409583333334</v>
      </c>
      <c r="BP2764" t="s">
        <v>92</v>
      </c>
      <c r="BQ2764" t="s">
        <v>93</v>
      </c>
      <c r="BR2764" t="s">
        <v>94</v>
      </c>
    </row>
    <row r="2765" spans="1:70" x14ac:dyDescent="0.3">
      <c r="A2765" t="str">
        <f>"201921C0100"</f>
        <v>201921C0100</v>
      </c>
      <c r="B2765" t="s">
        <v>5740</v>
      </c>
      <c r="C2765">
        <v>20</v>
      </c>
      <c r="D2765" t="s">
        <v>88</v>
      </c>
      <c r="E2765">
        <v>440</v>
      </c>
      <c r="F2765" t="s">
        <v>5724</v>
      </c>
      <c r="G2765">
        <v>1921</v>
      </c>
      <c r="H2765">
        <v>1</v>
      </c>
      <c r="I2765" t="s">
        <v>98</v>
      </c>
      <c r="J2765">
        <v>0</v>
      </c>
      <c r="K2765">
        <v>2</v>
      </c>
      <c r="L2765">
        <v>5</v>
      </c>
      <c r="M2765">
        <v>162</v>
      </c>
      <c r="N2765">
        <v>327</v>
      </c>
      <c r="O2765">
        <v>5</v>
      </c>
      <c r="P2765">
        <v>327</v>
      </c>
      <c r="Q2765">
        <v>28</v>
      </c>
      <c r="R2765">
        <v>4</v>
      </c>
      <c r="S2765">
        <v>2</v>
      </c>
      <c r="T2765">
        <v>5</v>
      </c>
      <c r="U2765">
        <v>25</v>
      </c>
      <c r="V2765">
        <v>1</v>
      </c>
      <c r="W2765">
        <v>66</v>
      </c>
      <c r="X2765">
        <v>18</v>
      </c>
      <c r="Y2765">
        <v>103</v>
      </c>
      <c r="Z2765">
        <v>8</v>
      </c>
      <c r="AA2765">
        <v>16</v>
      </c>
      <c r="AB2765">
        <v>10</v>
      </c>
      <c r="AC2765">
        <v>1</v>
      </c>
      <c r="AD2765">
        <v>0</v>
      </c>
      <c r="AE2765">
        <v>0</v>
      </c>
      <c r="AF2765">
        <v>0</v>
      </c>
      <c r="AG2765">
        <v>1</v>
      </c>
      <c r="AH2765">
        <v>1</v>
      </c>
      <c r="AI2765">
        <v>0</v>
      </c>
      <c r="AJ2765">
        <v>0</v>
      </c>
      <c r="AK2765">
        <v>5</v>
      </c>
      <c r="AL2765">
        <v>2</v>
      </c>
      <c r="AM2765">
        <v>1</v>
      </c>
      <c r="AN2765">
        <v>1</v>
      </c>
      <c r="BC2765">
        <v>0</v>
      </c>
      <c r="BD2765">
        <v>28</v>
      </c>
      <c r="BE2765">
        <v>326</v>
      </c>
      <c r="BF2765">
        <v>326</v>
      </c>
      <c r="BG2765">
        <v>467</v>
      </c>
      <c r="BJ2765">
        <v>1</v>
      </c>
      <c r="BL2765" t="s">
        <v>5741</v>
      </c>
      <c r="BM2765" s="4">
        <v>43283.426018518519</v>
      </c>
      <c r="BN2765" s="4">
        <v>43283.430983796294</v>
      </c>
      <c r="BO2765" s="4">
        <v>43283.430983796294</v>
      </c>
      <c r="BP2765" t="s">
        <v>92</v>
      </c>
      <c r="BQ2765" t="s">
        <v>93</v>
      </c>
      <c r="BR2765" t="s">
        <v>94</v>
      </c>
    </row>
    <row r="2766" spans="1:70" x14ac:dyDescent="0.3">
      <c r="A2766" t="str">
        <f>"201922B0100"</f>
        <v>201922B0100</v>
      </c>
      <c r="B2766" t="s">
        <v>5742</v>
      </c>
      <c r="C2766">
        <v>20</v>
      </c>
      <c r="D2766" t="s">
        <v>88</v>
      </c>
      <c r="E2766">
        <v>440</v>
      </c>
      <c r="F2766" t="s">
        <v>5724</v>
      </c>
      <c r="G2766">
        <v>1922</v>
      </c>
      <c r="H2766">
        <v>1</v>
      </c>
      <c r="I2766" t="s">
        <v>90</v>
      </c>
      <c r="J2766">
        <v>0</v>
      </c>
      <c r="K2766">
        <v>2</v>
      </c>
      <c r="L2766">
        <v>5</v>
      </c>
      <c r="BG2766">
        <v>603</v>
      </c>
      <c r="BI2766" t="s">
        <v>122</v>
      </c>
      <c r="BJ2766">
        <v>0</v>
      </c>
      <c r="BL2766" t="s">
        <v>5743</v>
      </c>
      <c r="BM2766" s="4">
        <v>43283.435717592591</v>
      </c>
      <c r="BN2766" s="4">
        <v>43283.439618055556</v>
      </c>
      <c r="BO2766" s="4">
        <v>43283.439618055556</v>
      </c>
      <c r="BP2766" t="s">
        <v>92</v>
      </c>
      <c r="BQ2766" t="s">
        <v>93</v>
      </c>
      <c r="BR2766" t="s">
        <v>94</v>
      </c>
    </row>
    <row r="2767" spans="1:70" x14ac:dyDescent="0.3">
      <c r="A2767" t="str">
        <f>"201922C0100"</f>
        <v>201922C0100</v>
      </c>
      <c r="B2767" t="s">
        <v>5744</v>
      </c>
      <c r="C2767">
        <v>20</v>
      </c>
      <c r="D2767" t="s">
        <v>88</v>
      </c>
      <c r="E2767">
        <v>440</v>
      </c>
      <c r="F2767" t="s">
        <v>5724</v>
      </c>
      <c r="G2767">
        <v>1922</v>
      </c>
      <c r="H2767">
        <v>1</v>
      </c>
      <c r="I2767" t="s">
        <v>98</v>
      </c>
      <c r="J2767">
        <v>0</v>
      </c>
      <c r="K2767">
        <v>2</v>
      </c>
      <c r="L2767">
        <v>5</v>
      </c>
      <c r="BG2767">
        <v>602</v>
      </c>
      <c r="BI2767" t="s">
        <v>122</v>
      </c>
      <c r="BJ2767">
        <v>0</v>
      </c>
      <c r="BL2767" t="s">
        <v>5745</v>
      </c>
      <c r="BM2767" s="4">
        <v>43283.434918981482</v>
      </c>
      <c r="BN2767" s="4">
        <v>43283.439363425925</v>
      </c>
      <c r="BO2767" s="4">
        <v>43283.439363425925</v>
      </c>
      <c r="BP2767" t="s">
        <v>92</v>
      </c>
      <c r="BQ2767" t="s">
        <v>93</v>
      </c>
      <c r="BR2767" t="s">
        <v>94</v>
      </c>
    </row>
    <row r="2768" spans="1:70" x14ac:dyDescent="0.3">
      <c r="A2768" t="str">
        <f>"201922C0200"</f>
        <v>201922C0200</v>
      </c>
      <c r="B2768" t="s">
        <v>5746</v>
      </c>
      <c r="C2768">
        <v>20</v>
      </c>
      <c r="D2768" t="s">
        <v>88</v>
      </c>
      <c r="E2768">
        <v>440</v>
      </c>
      <c r="F2768" t="s">
        <v>5724</v>
      </c>
      <c r="G2768">
        <v>1922</v>
      </c>
      <c r="H2768">
        <v>2</v>
      </c>
      <c r="I2768" t="s">
        <v>98</v>
      </c>
      <c r="J2768">
        <v>0</v>
      </c>
      <c r="K2768">
        <v>2</v>
      </c>
      <c r="L2768">
        <v>5</v>
      </c>
      <c r="BG2768">
        <v>602</v>
      </c>
      <c r="BI2768" t="s">
        <v>122</v>
      </c>
      <c r="BJ2768">
        <v>0</v>
      </c>
      <c r="BL2768" t="s">
        <v>5747</v>
      </c>
      <c r="BM2768" s="4">
        <v>43283.455717592595</v>
      </c>
      <c r="BN2768" s="4">
        <v>43283.45952546296</v>
      </c>
      <c r="BO2768" s="4">
        <v>43283.45952546296</v>
      </c>
      <c r="BP2768" t="s">
        <v>92</v>
      </c>
      <c r="BQ2768" t="s">
        <v>93</v>
      </c>
      <c r="BR2768" t="s">
        <v>94</v>
      </c>
    </row>
    <row r="2769" spans="1:70" x14ac:dyDescent="0.3">
      <c r="A2769" t="str">
        <f>"201922C0300"</f>
        <v>201922C0300</v>
      </c>
      <c r="B2769" t="s">
        <v>5748</v>
      </c>
      <c r="C2769">
        <v>20</v>
      </c>
      <c r="D2769" t="s">
        <v>88</v>
      </c>
      <c r="E2769">
        <v>440</v>
      </c>
      <c r="F2769" t="s">
        <v>5724</v>
      </c>
      <c r="G2769">
        <v>1922</v>
      </c>
      <c r="H2769">
        <v>3</v>
      </c>
      <c r="I2769" t="s">
        <v>98</v>
      </c>
      <c r="J2769">
        <v>0</v>
      </c>
      <c r="K2769">
        <v>2</v>
      </c>
      <c r="L2769">
        <v>5</v>
      </c>
      <c r="BG2769">
        <v>602</v>
      </c>
      <c r="BI2769" t="s">
        <v>122</v>
      </c>
      <c r="BJ2769">
        <v>0</v>
      </c>
      <c r="BL2769" t="s">
        <v>5749</v>
      </c>
      <c r="BM2769" s="4">
        <v>43283.43440972222</v>
      </c>
      <c r="BN2769" s="4">
        <v>43283.438946759263</v>
      </c>
      <c r="BO2769" s="4">
        <v>43283.438946759263</v>
      </c>
      <c r="BP2769" t="s">
        <v>92</v>
      </c>
      <c r="BQ2769" t="s">
        <v>93</v>
      </c>
      <c r="BR2769" t="s">
        <v>94</v>
      </c>
    </row>
    <row r="2770" spans="1:70" x14ac:dyDescent="0.3">
      <c r="A2770" t="str">
        <f>"201923B0100"</f>
        <v>201923B0100</v>
      </c>
      <c r="B2770" t="s">
        <v>5750</v>
      </c>
      <c r="C2770">
        <v>20</v>
      </c>
      <c r="D2770" t="s">
        <v>88</v>
      </c>
      <c r="E2770">
        <v>440</v>
      </c>
      <c r="F2770" t="s">
        <v>5724</v>
      </c>
      <c r="G2770">
        <v>1923</v>
      </c>
      <c r="H2770">
        <v>1</v>
      </c>
      <c r="I2770" t="s">
        <v>90</v>
      </c>
      <c r="J2770">
        <v>0</v>
      </c>
      <c r="K2770">
        <v>2</v>
      </c>
      <c r="L2770">
        <v>5</v>
      </c>
      <c r="M2770">
        <v>171</v>
      </c>
      <c r="N2770">
        <v>423</v>
      </c>
      <c r="O2770">
        <v>2</v>
      </c>
      <c r="P2770" t="s">
        <v>105</v>
      </c>
      <c r="Q2770">
        <v>78</v>
      </c>
      <c r="R2770">
        <v>31</v>
      </c>
      <c r="S2770">
        <v>20</v>
      </c>
      <c r="T2770">
        <v>9</v>
      </c>
      <c r="U2770">
        <v>23</v>
      </c>
      <c r="V2770">
        <v>5</v>
      </c>
      <c r="W2770">
        <v>86</v>
      </c>
      <c r="X2770">
        <v>33</v>
      </c>
      <c r="Y2770">
        <v>72</v>
      </c>
      <c r="Z2770">
        <v>11</v>
      </c>
      <c r="AA2770">
        <v>9</v>
      </c>
      <c r="AB2770">
        <v>6</v>
      </c>
      <c r="AC2770">
        <v>2</v>
      </c>
      <c r="AD2770">
        <v>0</v>
      </c>
      <c r="AE2770">
        <v>1</v>
      </c>
      <c r="AF2770">
        <v>0</v>
      </c>
      <c r="AG2770">
        <v>7</v>
      </c>
      <c r="AH2770">
        <v>0</v>
      </c>
      <c r="AI2770">
        <v>2</v>
      </c>
      <c r="AJ2770">
        <v>1</v>
      </c>
      <c r="AK2770">
        <v>3</v>
      </c>
      <c r="AL2770">
        <v>0</v>
      </c>
      <c r="AM2770">
        <v>1</v>
      </c>
      <c r="AN2770">
        <v>2</v>
      </c>
      <c r="BC2770">
        <v>0</v>
      </c>
      <c r="BD2770">
        <v>21</v>
      </c>
      <c r="BE2770">
        <v>423</v>
      </c>
      <c r="BF2770">
        <v>423</v>
      </c>
      <c r="BG2770">
        <v>572</v>
      </c>
      <c r="BJ2770">
        <v>1</v>
      </c>
      <c r="BL2770" t="s">
        <v>5751</v>
      </c>
      <c r="BM2770" s="4">
        <v>43283.397418981483</v>
      </c>
      <c r="BN2770" s="4">
        <v>43283.401192129626</v>
      </c>
      <c r="BO2770" s="4">
        <v>43283.401192129626</v>
      </c>
      <c r="BP2770" t="s">
        <v>92</v>
      </c>
      <c r="BQ2770" t="s">
        <v>93</v>
      </c>
      <c r="BR2770" t="s">
        <v>94</v>
      </c>
    </row>
    <row r="2771" spans="1:70" x14ac:dyDescent="0.3">
      <c r="A2771" t="str">
        <f>"201923C0100"</f>
        <v>201923C0100</v>
      </c>
      <c r="B2771" t="s">
        <v>5752</v>
      </c>
      <c r="C2771">
        <v>20</v>
      </c>
      <c r="D2771" t="s">
        <v>88</v>
      </c>
      <c r="E2771">
        <v>440</v>
      </c>
      <c r="F2771" t="s">
        <v>5724</v>
      </c>
      <c r="G2771">
        <v>1923</v>
      </c>
      <c r="H2771">
        <v>1</v>
      </c>
      <c r="I2771" t="s">
        <v>98</v>
      </c>
      <c r="J2771">
        <v>0</v>
      </c>
      <c r="K2771">
        <v>2</v>
      </c>
      <c r="L2771">
        <v>5</v>
      </c>
      <c r="M2771" t="s">
        <v>127</v>
      </c>
      <c r="N2771">
        <v>429</v>
      </c>
      <c r="O2771">
        <v>4</v>
      </c>
      <c r="P2771">
        <v>429</v>
      </c>
      <c r="Q2771">
        <v>74</v>
      </c>
      <c r="R2771">
        <v>29</v>
      </c>
      <c r="S2771">
        <v>10</v>
      </c>
      <c r="T2771">
        <v>7</v>
      </c>
      <c r="U2771">
        <v>16</v>
      </c>
      <c r="V2771">
        <v>2</v>
      </c>
      <c r="W2771">
        <v>8</v>
      </c>
      <c r="X2771">
        <v>55</v>
      </c>
      <c r="Y2771">
        <v>67</v>
      </c>
      <c r="Z2771">
        <v>17</v>
      </c>
      <c r="AA2771">
        <v>13</v>
      </c>
      <c r="AB2771">
        <v>13</v>
      </c>
      <c r="AC2771">
        <v>2</v>
      </c>
      <c r="AD2771">
        <v>4</v>
      </c>
      <c r="AE2771">
        <v>0</v>
      </c>
      <c r="AF2771">
        <v>0</v>
      </c>
      <c r="AG2771">
        <v>4</v>
      </c>
      <c r="AH2771">
        <v>0</v>
      </c>
      <c r="AI2771">
        <v>1</v>
      </c>
      <c r="AJ2771">
        <v>0</v>
      </c>
      <c r="AK2771">
        <v>2</v>
      </c>
      <c r="AL2771">
        <v>1</v>
      </c>
      <c r="AM2771">
        <v>2</v>
      </c>
      <c r="AN2771">
        <v>0</v>
      </c>
      <c r="BC2771">
        <v>0</v>
      </c>
      <c r="BD2771">
        <v>36</v>
      </c>
      <c r="BE2771">
        <v>432</v>
      </c>
      <c r="BF2771">
        <v>363</v>
      </c>
      <c r="BG2771">
        <v>571</v>
      </c>
      <c r="BJ2771">
        <v>1</v>
      </c>
      <c r="BL2771" t="s">
        <v>5753</v>
      </c>
      <c r="BM2771" s="4">
        <v>43283.401990740742</v>
      </c>
      <c r="BN2771" s="4">
        <v>43283.405891203707</v>
      </c>
      <c r="BO2771" s="4">
        <v>43283.405891203707</v>
      </c>
      <c r="BP2771" t="s">
        <v>92</v>
      </c>
      <c r="BQ2771" t="s">
        <v>93</v>
      </c>
      <c r="BR2771" t="s">
        <v>94</v>
      </c>
    </row>
    <row r="2772" spans="1:70" x14ac:dyDescent="0.3">
      <c r="A2772" t="str">
        <f>"201923E0100"</f>
        <v>201923E0100</v>
      </c>
      <c r="B2772" s="2" t="s">
        <v>5754</v>
      </c>
      <c r="C2772">
        <v>20</v>
      </c>
      <c r="D2772" t="s">
        <v>88</v>
      </c>
      <c r="E2772">
        <v>440</v>
      </c>
      <c r="F2772" t="s">
        <v>5724</v>
      </c>
      <c r="G2772">
        <v>1923</v>
      </c>
      <c r="H2772">
        <v>1</v>
      </c>
      <c r="I2772" t="s">
        <v>156</v>
      </c>
      <c r="J2772">
        <v>0</v>
      </c>
      <c r="K2772">
        <v>2</v>
      </c>
      <c r="L2772">
        <v>5</v>
      </c>
      <c r="M2772">
        <v>214</v>
      </c>
      <c r="N2772">
        <v>497</v>
      </c>
      <c r="O2772">
        <v>3</v>
      </c>
      <c r="P2772">
        <v>497</v>
      </c>
      <c r="Q2772">
        <v>137</v>
      </c>
      <c r="R2772">
        <v>30</v>
      </c>
      <c r="S2772">
        <v>6</v>
      </c>
      <c r="T2772">
        <v>3</v>
      </c>
      <c r="U2772">
        <v>21</v>
      </c>
      <c r="V2772">
        <v>10</v>
      </c>
      <c r="W2772">
        <v>84</v>
      </c>
      <c r="X2772">
        <v>55</v>
      </c>
      <c r="Y2772">
        <v>76</v>
      </c>
      <c r="Z2772">
        <v>11</v>
      </c>
      <c r="AA2772">
        <v>12</v>
      </c>
      <c r="AB2772">
        <v>14</v>
      </c>
      <c r="AC2772">
        <v>7</v>
      </c>
      <c r="AD2772">
        <v>2</v>
      </c>
      <c r="AE2772">
        <v>1</v>
      </c>
      <c r="AF2772">
        <v>0</v>
      </c>
      <c r="AG2772">
        <v>2</v>
      </c>
      <c r="AH2772">
        <v>1</v>
      </c>
      <c r="AI2772">
        <v>0</v>
      </c>
      <c r="AJ2772">
        <v>0</v>
      </c>
      <c r="AK2772">
        <v>4</v>
      </c>
      <c r="AL2772">
        <v>1</v>
      </c>
      <c r="AM2772">
        <v>0</v>
      </c>
      <c r="AN2772">
        <v>1</v>
      </c>
      <c r="BC2772">
        <v>0</v>
      </c>
      <c r="BD2772">
        <v>18</v>
      </c>
      <c r="BE2772">
        <v>497</v>
      </c>
      <c r="BF2772">
        <v>496</v>
      </c>
      <c r="BG2772">
        <v>689</v>
      </c>
      <c r="BJ2772">
        <v>1</v>
      </c>
      <c r="BL2772" t="s">
        <v>5755</v>
      </c>
      <c r="BM2772" s="4">
        <v>43283.393599537034</v>
      </c>
      <c r="BN2772" s="4">
        <v>43283.397453703707</v>
      </c>
      <c r="BO2772" s="4">
        <v>43283.397453703707</v>
      </c>
      <c r="BP2772" t="s">
        <v>92</v>
      </c>
      <c r="BQ2772" t="s">
        <v>93</v>
      </c>
      <c r="BR2772" t="s">
        <v>94</v>
      </c>
    </row>
    <row r="2773" spans="1:70" x14ac:dyDescent="0.3">
      <c r="A2773" t="str">
        <f>"201924B0100"</f>
        <v>201924B0100</v>
      </c>
      <c r="B2773" t="s">
        <v>5756</v>
      </c>
      <c r="C2773">
        <v>20</v>
      </c>
      <c r="D2773" t="s">
        <v>88</v>
      </c>
      <c r="E2773">
        <v>440</v>
      </c>
      <c r="F2773" t="s">
        <v>5724</v>
      </c>
      <c r="G2773">
        <v>1924</v>
      </c>
      <c r="H2773">
        <v>1</v>
      </c>
      <c r="I2773" t="s">
        <v>90</v>
      </c>
      <c r="J2773">
        <v>0</v>
      </c>
      <c r="K2773">
        <v>2</v>
      </c>
      <c r="L2773">
        <v>5</v>
      </c>
      <c r="M2773">
        <v>168</v>
      </c>
      <c r="N2773">
        <v>359</v>
      </c>
      <c r="O2773">
        <v>4</v>
      </c>
      <c r="P2773">
        <v>359</v>
      </c>
      <c r="Q2773">
        <v>59</v>
      </c>
      <c r="R2773">
        <v>7</v>
      </c>
      <c r="S2773">
        <v>10</v>
      </c>
      <c r="T2773">
        <v>1</v>
      </c>
      <c r="U2773">
        <v>11</v>
      </c>
      <c r="V2773">
        <v>7</v>
      </c>
      <c r="W2773">
        <v>31</v>
      </c>
      <c r="X2773">
        <v>53</v>
      </c>
      <c r="Y2773">
        <v>103</v>
      </c>
      <c r="Z2773">
        <v>9</v>
      </c>
      <c r="AA2773">
        <v>16</v>
      </c>
      <c r="AB2773">
        <v>22</v>
      </c>
      <c r="AC2773">
        <v>3</v>
      </c>
      <c r="AD2773">
        <v>0</v>
      </c>
      <c r="AE2773">
        <v>0</v>
      </c>
      <c r="AF2773">
        <v>0</v>
      </c>
      <c r="AG2773">
        <v>5</v>
      </c>
      <c r="AH2773">
        <v>0</v>
      </c>
      <c r="AI2773">
        <v>0</v>
      </c>
      <c r="AJ2773">
        <v>0</v>
      </c>
      <c r="AK2773">
        <v>3</v>
      </c>
      <c r="AL2773">
        <v>1</v>
      </c>
      <c r="AM2773">
        <v>0</v>
      </c>
      <c r="AN2773">
        <v>0</v>
      </c>
      <c r="BC2773">
        <v>0</v>
      </c>
      <c r="BD2773">
        <v>18</v>
      </c>
      <c r="BE2773" t="s">
        <v>105</v>
      </c>
      <c r="BF2773">
        <v>359</v>
      </c>
      <c r="BG2773">
        <v>505</v>
      </c>
      <c r="BJ2773">
        <v>1</v>
      </c>
      <c r="BL2773" t="s">
        <v>5757</v>
      </c>
      <c r="BM2773" s="4">
        <v>43283.409560185188</v>
      </c>
      <c r="BN2773" s="4">
        <v>43283.417627314811</v>
      </c>
      <c r="BO2773" s="4">
        <v>43283.417627314811</v>
      </c>
      <c r="BP2773" t="s">
        <v>92</v>
      </c>
      <c r="BQ2773" t="s">
        <v>93</v>
      </c>
      <c r="BR2773" t="s">
        <v>94</v>
      </c>
    </row>
    <row r="2774" spans="1:70" x14ac:dyDescent="0.3">
      <c r="A2774" t="str">
        <f>"201924C0100"</f>
        <v>201924C0100</v>
      </c>
      <c r="B2774" t="s">
        <v>5758</v>
      </c>
      <c r="C2774">
        <v>20</v>
      </c>
      <c r="D2774" t="s">
        <v>88</v>
      </c>
      <c r="E2774">
        <v>440</v>
      </c>
      <c r="F2774" t="s">
        <v>5724</v>
      </c>
      <c r="G2774">
        <v>1924</v>
      </c>
      <c r="H2774">
        <v>1</v>
      </c>
      <c r="I2774" t="s">
        <v>98</v>
      </c>
      <c r="J2774">
        <v>0</v>
      </c>
      <c r="K2774">
        <v>2</v>
      </c>
      <c r="L2774">
        <v>5</v>
      </c>
      <c r="M2774">
        <v>159</v>
      </c>
      <c r="N2774">
        <v>366</v>
      </c>
      <c r="O2774">
        <v>3</v>
      </c>
      <c r="P2774">
        <v>366</v>
      </c>
      <c r="Q2774">
        <v>64</v>
      </c>
      <c r="R2774">
        <v>5</v>
      </c>
      <c r="S2774">
        <v>3</v>
      </c>
      <c r="T2774">
        <v>2</v>
      </c>
      <c r="U2774">
        <v>8</v>
      </c>
      <c r="V2774">
        <v>10</v>
      </c>
      <c r="W2774">
        <v>31</v>
      </c>
      <c r="X2774">
        <v>51</v>
      </c>
      <c r="Y2774">
        <v>124</v>
      </c>
      <c r="Z2774">
        <v>5</v>
      </c>
      <c r="AA2774">
        <v>17</v>
      </c>
      <c r="AB2774">
        <v>10</v>
      </c>
      <c r="AC2774">
        <v>3</v>
      </c>
      <c r="AD2774">
        <v>1</v>
      </c>
      <c r="AE2774">
        <v>1</v>
      </c>
      <c r="AF2774">
        <v>0</v>
      </c>
      <c r="AG2774">
        <v>5</v>
      </c>
      <c r="AH2774">
        <v>0</v>
      </c>
      <c r="AI2774">
        <v>1</v>
      </c>
      <c r="AJ2774">
        <v>0</v>
      </c>
      <c r="AK2774">
        <v>4</v>
      </c>
      <c r="AL2774">
        <v>1</v>
      </c>
      <c r="AM2774">
        <v>1</v>
      </c>
      <c r="AN2774">
        <v>3</v>
      </c>
      <c r="BC2774">
        <v>0</v>
      </c>
      <c r="BD2774">
        <v>16</v>
      </c>
      <c r="BE2774">
        <v>366</v>
      </c>
      <c r="BF2774">
        <v>366</v>
      </c>
      <c r="BG2774">
        <v>504</v>
      </c>
      <c r="BJ2774">
        <v>1</v>
      </c>
      <c r="BL2774" t="s">
        <v>5759</v>
      </c>
      <c r="BM2774" s="4">
        <v>43283.412187499998</v>
      </c>
      <c r="BN2774" s="4">
        <v>43283.415555555555</v>
      </c>
      <c r="BO2774" s="4">
        <v>43283.415555555555</v>
      </c>
      <c r="BP2774" t="s">
        <v>92</v>
      </c>
      <c r="BQ2774" t="s">
        <v>93</v>
      </c>
      <c r="BR2774" t="s">
        <v>94</v>
      </c>
    </row>
    <row r="2775" spans="1:70" x14ac:dyDescent="0.3">
      <c r="A2775" t="str">
        <f>"201924E0100"</f>
        <v>201924E0100</v>
      </c>
      <c r="B2775" s="2" t="s">
        <v>5760</v>
      </c>
      <c r="C2775">
        <v>20</v>
      </c>
      <c r="D2775" t="s">
        <v>88</v>
      </c>
      <c r="E2775">
        <v>440</v>
      </c>
      <c r="F2775" t="s">
        <v>5724</v>
      </c>
      <c r="G2775">
        <v>1924</v>
      </c>
      <c r="H2775">
        <v>1</v>
      </c>
      <c r="I2775" t="s">
        <v>156</v>
      </c>
      <c r="J2775">
        <v>0</v>
      </c>
      <c r="K2775">
        <v>2</v>
      </c>
      <c r="L2775">
        <v>5</v>
      </c>
      <c r="M2775" t="s">
        <v>127</v>
      </c>
      <c r="N2775">
        <v>511</v>
      </c>
      <c r="O2775">
        <v>10</v>
      </c>
      <c r="P2775">
        <v>511</v>
      </c>
      <c r="Q2775">
        <v>111</v>
      </c>
      <c r="R2775">
        <v>28</v>
      </c>
      <c r="S2775">
        <v>20</v>
      </c>
      <c r="T2775">
        <v>6</v>
      </c>
      <c r="U2775">
        <v>17</v>
      </c>
      <c r="V2775">
        <v>5</v>
      </c>
      <c r="W2775">
        <v>51</v>
      </c>
      <c r="X2775">
        <v>30</v>
      </c>
      <c r="Y2775">
        <v>114</v>
      </c>
      <c r="Z2775">
        <v>14</v>
      </c>
      <c r="AA2775">
        <v>21</v>
      </c>
      <c r="AB2775">
        <v>39</v>
      </c>
      <c r="AC2775">
        <v>2</v>
      </c>
      <c r="AD2775">
        <v>0</v>
      </c>
      <c r="AE2775">
        <v>0</v>
      </c>
      <c r="AF2775">
        <v>0</v>
      </c>
      <c r="AG2775">
        <v>5</v>
      </c>
      <c r="AH2775">
        <v>0</v>
      </c>
      <c r="AI2775">
        <v>3</v>
      </c>
      <c r="AJ2775">
        <v>1</v>
      </c>
      <c r="AK2775">
        <v>6</v>
      </c>
      <c r="AL2775">
        <v>3</v>
      </c>
      <c r="AM2775">
        <v>1</v>
      </c>
      <c r="AN2775">
        <v>0</v>
      </c>
      <c r="BC2775" t="s">
        <v>105</v>
      </c>
      <c r="BD2775">
        <v>32</v>
      </c>
      <c r="BE2775">
        <v>509</v>
      </c>
      <c r="BF2775">
        <v>509</v>
      </c>
      <c r="BG2775">
        <v>732</v>
      </c>
      <c r="BI2775" t="s">
        <v>106</v>
      </c>
      <c r="BJ2775">
        <v>1</v>
      </c>
      <c r="BL2775" t="s">
        <v>5761</v>
      </c>
      <c r="BM2775" s="4">
        <v>43283.405243055553</v>
      </c>
      <c r="BN2775" s="4">
        <v>43283.418391203704</v>
      </c>
      <c r="BO2775" s="4">
        <v>43283.418391203704</v>
      </c>
      <c r="BP2775" t="s">
        <v>92</v>
      </c>
      <c r="BQ2775" t="s">
        <v>93</v>
      </c>
      <c r="BR2775" t="s">
        <v>94</v>
      </c>
    </row>
    <row r="2776" spans="1:70" x14ac:dyDescent="0.3">
      <c r="A2776" t="str">
        <f>"201925B0100"</f>
        <v>201925B0100</v>
      </c>
      <c r="B2776" t="s">
        <v>5762</v>
      </c>
      <c r="C2776">
        <v>20</v>
      </c>
      <c r="D2776" t="s">
        <v>88</v>
      </c>
      <c r="E2776">
        <v>440</v>
      </c>
      <c r="F2776" t="s">
        <v>5724</v>
      </c>
      <c r="G2776">
        <v>1925</v>
      </c>
      <c r="H2776">
        <v>1</v>
      </c>
      <c r="I2776" t="s">
        <v>90</v>
      </c>
      <c r="J2776">
        <v>0</v>
      </c>
      <c r="K2776">
        <v>2</v>
      </c>
      <c r="L2776">
        <v>5</v>
      </c>
      <c r="M2776">
        <v>451</v>
      </c>
      <c r="N2776" t="s">
        <v>105</v>
      </c>
      <c r="O2776">
        <v>455</v>
      </c>
      <c r="P2776" t="s">
        <v>105</v>
      </c>
      <c r="Q2776">
        <v>49</v>
      </c>
      <c r="R2776">
        <v>17</v>
      </c>
      <c r="S2776">
        <v>2</v>
      </c>
      <c r="T2776">
        <v>7</v>
      </c>
      <c r="U2776">
        <v>15</v>
      </c>
      <c r="V2776">
        <v>2</v>
      </c>
      <c r="W2776">
        <v>139</v>
      </c>
      <c r="X2776">
        <v>28</v>
      </c>
      <c r="Y2776">
        <v>67</v>
      </c>
      <c r="Z2776">
        <v>15</v>
      </c>
      <c r="AA2776">
        <v>22</v>
      </c>
      <c r="AB2776">
        <v>49</v>
      </c>
      <c r="AC2776">
        <v>2</v>
      </c>
      <c r="AD2776">
        <v>0</v>
      </c>
      <c r="AE2776">
        <v>1</v>
      </c>
      <c r="AF2776">
        <v>1</v>
      </c>
      <c r="AG2776">
        <v>1</v>
      </c>
      <c r="AH2776">
        <v>1</v>
      </c>
      <c r="AI2776">
        <v>1</v>
      </c>
      <c r="AJ2776">
        <v>0</v>
      </c>
      <c r="AK2776">
        <v>7</v>
      </c>
      <c r="AL2776">
        <v>0</v>
      </c>
      <c r="AM2776">
        <v>0</v>
      </c>
      <c r="AN2776">
        <v>2</v>
      </c>
      <c r="BC2776">
        <v>0</v>
      </c>
      <c r="BD2776">
        <v>25</v>
      </c>
      <c r="BE2776" t="s">
        <v>105</v>
      </c>
      <c r="BF2776">
        <v>453</v>
      </c>
      <c r="BG2776">
        <v>686</v>
      </c>
      <c r="BJ2776">
        <v>1</v>
      </c>
      <c r="BL2776" t="s">
        <v>5763</v>
      </c>
      <c r="BM2776" s="4">
        <v>43283.270694444444</v>
      </c>
      <c r="BN2776" s="4">
        <v>43283.297523148147</v>
      </c>
      <c r="BO2776" s="4">
        <v>43283.297523148147</v>
      </c>
      <c r="BP2776" t="s">
        <v>92</v>
      </c>
      <c r="BQ2776" t="s">
        <v>93</v>
      </c>
      <c r="BR2776" t="s">
        <v>94</v>
      </c>
    </row>
    <row r="2777" spans="1:70" x14ac:dyDescent="0.3">
      <c r="A2777" t="str">
        <f>"201925C0100"</f>
        <v>201925C0100</v>
      </c>
      <c r="B2777" t="s">
        <v>5764</v>
      </c>
      <c r="C2777">
        <v>20</v>
      </c>
      <c r="D2777" t="s">
        <v>88</v>
      </c>
      <c r="E2777">
        <v>440</v>
      </c>
      <c r="F2777" t="s">
        <v>5724</v>
      </c>
      <c r="G2777">
        <v>1925</v>
      </c>
      <c r="H2777">
        <v>1</v>
      </c>
      <c r="I2777" t="s">
        <v>98</v>
      </c>
      <c r="J2777">
        <v>0</v>
      </c>
      <c r="K2777">
        <v>2</v>
      </c>
      <c r="L2777">
        <v>5</v>
      </c>
      <c r="M2777">
        <v>239</v>
      </c>
      <c r="N2777">
        <v>274</v>
      </c>
      <c r="O2777">
        <v>5</v>
      </c>
      <c r="P2777">
        <v>269</v>
      </c>
      <c r="Q2777">
        <v>74</v>
      </c>
      <c r="R2777">
        <v>14</v>
      </c>
      <c r="S2777">
        <v>4</v>
      </c>
      <c r="T2777">
        <v>2</v>
      </c>
      <c r="U2777">
        <v>21</v>
      </c>
      <c r="V2777">
        <v>2</v>
      </c>
      <c r="W2777">
        <v>118</v>
      </c>
      <c r="X2777">
        <v>21</v>
      </c>
      <c r="Y2777">
        <v>82</v>
      </c>
      <c r="Z2777">
        <v>22</v>
      </c>
      <c r="AA2777">
        <v>28</v>
      </c>
      <c r="AB2777">
        <v>32</v>
      </c>
      <c r="AC2777">
        <v>3</v>
      </c>
      <c r="AD2777" t="s">
        <v>105</v>
      </c>
      <c r="AE2777" t="s">
        <v>105</v>
      </c>
      <c r="AF2777" t="s">
        <v>105</v>
      </c>
      <c r="AG2777">
        <v>2</v>
      </c>
      <c r="AH2777">
        <v>2</v>
      </c>
      <c r="AI2777" t="s">
        <v>105</v>
      </c>
      <c r="AJ2777" t="s">
        <v>105</v>
      </c>
      <c r="AK2777">
        <v>4</v>
      </c>
      <c r="AL2777">
        <v>3</v>
      </c>
      <c r="AM2777">
        <v>1</v>
      </c>
      <c r="AN2777">
        <v>1</v>
      </c>
      <c r="BC2777" t="s">
        <v>105</v>
      </c>
      <c r="BD2777">
        <v>33</v>
      </c>
      <c r="BE2777">
        <v>449</v>
      </c>
      <c r="BF2777">
        <v>469</v>
      </c>
      <c r="BG2777">
        <v>686</v>
      </c>
      <c r="BI2777" t="s">
        <v>106</v>
      </c>
      <c r="BJ2777">
        <v>1</v>
      </c>
      <c r="BL2777" t="s">
        <v>5765</v>
      </c>
      <c r="BM2777" s="4">
        <v>43283.267465277779</v>
      </c>
      <c r="BN2777" s="4">
        <v>43283.293113425927</v>
      </c>
      <c r="BO2777" s="4">
        <v>43283.293113425927</v>
      </c>
      <c r="BP2777" t="s">
        <v>92</v>
      </c>
      <c r="BQ2777" t="s">
        <v>93</v>
      </c>
      <c r="BR2777" t="s">
        <v>94</v>
      </c>
    </row>
    <row r="2778" spans="1:70" x14ac:dyDescent="0.3">
      <c r="A2778" t="str">
        <f>"201925E0100"</f>
        <v>201925E0100</v>
      </c>
      <c r="B2778" s="2" t="s">
        <v>5766</v>
      </c>
      <c r="C2778">
        <v>20</v>
      </c>
      <c r="D2778" t="s">
        <v>88</v>
      </c>
      <c r="E2778">
        <v>440</v>
      </c>
      <c r="F2778" t="s">
        <v>5724</v>
      </c>
      <c r="G2778">
        <v>1925</v>
      </c>
      <c r="H2778">
        <v>1</v>
      </c>
      <c r="I2778" t="s">
        <v>156</v>
      </c>
      <c r="J2778">
        <v>0</v>
      </c>
      <c r="K2778">
        <v>2</v>
      </c>
      <c r="L2778">
        <v>5</v>
      </c>
      <c r="M2778">
        <v>153</v>
      </c>
      <c r="N2778">
        <v>495</v>
      </c>
      <c r="O2778">
        <v>0</v>
      </c>
      <c r="P2778">
        <v>495</v>
      </c>
      <c r="Q2778">
        <v>85</v>
      </c>
      <c r="R2778">
        <v>13</v>
      </c>
      <c r="S2778">
        <v>19</v>
      </c>
      <c r="T2778">
        <v>7</v>
      </c>
      <c r="U2778">
        <v>17</v>
      </c>
      <c r="V2778">
        <v>3</v>
      </c>
      <c r="W2778">
        <v>153</v>
      </c>
      <c r="X2778">
        <v>15</v>
      </c>
      <c r="Y2778">
        <v>82</v>
      </c>
      <c r="Z2778">
        <v>19</v>
      </c>
      <c r="AA2778">
        <v>10</v>
      </c>
      <c r="AB2778">
        <v>42</v>
      </c>
      <c r="AC2778">
        <v>0</v>
      </c>
      <c r="AD2778">
        <v>0</v>
      </c>
      <c r="AE2778">
        <v>0</v>
      </c>
      <c r="AF2778">
        <v>0</v>
      </c>
      <c r="AG2778">
        <v>3</v>
      </c>
      <c r="AH2778">
        <v>0</v>
      </c>
      <c r="AI2778">
        <v>2</v>
      </c>
      <c r="AJ2778">
        <v>1</v>
      </c>
      <c r="AK2778">
        <v>0</v>
      </c>
      <c r="AL2778">
        <v>0</v>
      </c>
      <c r="AM2778">
        <v>0</v>
      </c>
      <c r="AN2778">
        <v>1</v>
      </c>
      <c r="BC2778">
        <v>0</v>
      </c>
      <c r="BD2778">
        <v>23</v>
      </c>
      <c r="BE2778">
        <v>495</v>
      </c>
      <c r="BF2778">
        <v>495</v>
      </c>
      <c r="BG2778">
        <v>633</v>
      </c>
      <c r="BJ2778">
        <v>1</v>
      </c>
      <c r="BL2778" t="s">
        <v>5767</v>
      </c>
      <c r="BM2778" s="4">
        <v>43283.316921296297</v>
      </c>
      <c r="BN2778" s="4">
        <v>43283.338217592594</v>
      </c>
      <c r="BO2778" s="4">
        <v>43283.338217592594</v>
      </c>
      <c r="BP2778" t="s">
        <v>92</v>
      </c>
      <c r="BQ2778" t="s">
        <v>93</v>
      </c>
      <c r="BR2778" t="s">
        <v>94</v>
      </c>
    </row>
    <row r="2779" spans="1:70" x14ac:dyDescent="0.3">
      <c r="A2779" t="str">
        <f>"201925E0200"</f>
        <v>201925E0200</v>
      </c>
      <c r="B2779" s="2" t="s">
        <v>5768</v>
      </c>
      <c r="C2779">
        <v>20</v>
      </c>
      <c r="D2779" t="s">
        <v>88</v>
      </c>
      <c r="E2779">
        <v>440</v>
      </c>
      <c r="F2779" t="s">
        <v>5724</v>
      </c>
      <c r="G2779">
        <v>1925</v>
      </c>
      <c r="H2779">
        <v>2</v>
      </c>
      <c r="I2779" t="s">
        <v>156</v>
      </c>
      <c r="J2779">
        <v>0</v>
      </c>
      <c r="K2779">
        <v>2</v>
      </c>
      <c r="L2779">
        <v>5</v>
      </c>
      <c r="M2779">
        <v>53</v>
      </c>
      <c r="N2779">
        <v>232</v>
      </c>
      <c r="O2779">
        <v>6</v>
      </c>
      <c r="P2779">
        <v>226</v>
      </c>
      <c r="Q2779">
        <v>27</v>
      </c>
      <c r="R2779">
        <v>2</v>
      </c>
      <c r="S2779">
        <v>0</v>
      </c>
      <c r="T2779">
        <v>0</v>
      </c>
      <c r="U2779">
        <v>2</v>
      </c>
      <c r="V2779">
        <v>2</v>
      </c>
      <c r="W2779">
        <v>94</v>
      </c>
      <c r="X2779">
        <v>8</v>
      </c>
      <c r="Y2779">
        <v>24</v>
      </c>
      <c r="Z2779">
        <v>5</v>
      </c>
      <c r="AA2779">
        <v>5</v>
      </c>
      <c r="AB2779">
        <v>22</v>
      </c>
      <c r="AC2779">
        <v>0</v>
      </c>
      <c r="AD2779">
        <v>1</v>
      </c>
      <c r="AE2779">
        <v>0</v>
      </c>
      <c r="AF2779">
        <v>0</v>
      </c>
      <c r="AG2779">
        <v>1</v>
      </c>
      <c r="AH2779">
        <v>0</v>
      </c>
      <c r="AI2779">
        <v>0</v>
      </c>
      <c r="AJ2779">
        <v>0</v>
      </c>
      <c r="AK2779">
        <v>0</v>
      </c>
      <c r="AL2779">
        <v>0</v>
      </c>
      <c r="AM2779">
        <v>0</v>
      </c>
      <c r="AN2779">
        <v>0</v>
      </c>
      <c r="BC2779">
        <v>0</v>
      </c>
      <c r="BD2779">
        <v>33</v>
      </c>
      <c r="BE2779">
        <v>226</v>
      </c>
      <c r="BF2779">
        <v>226</v>
      </c>
      <c r="BG2779">
        <v>257</v>
      </c>
      <c r="BJ2779">
        <v>1</v>
      </c>
      <c r="BL2779" t="s">
        <v>5769</v>
      </c>
      <c r="BM2779" s="4">
        <v>43283.26116898148</v>
      </c>
      <c r="BN2779" s="4">
        <v>43283.289212962962</v>
      </c>
      <c r="BO2779" s="4">
        <v>43283.289212962962</v>
      </c>
      <c r="BP2779" t="s">
        <v>92</v>
      </c>
      <c r="BQ2779" t="s">
        <v>93</v>
      </c>
      <c r="BR2779" t="s">
        <v>94</v>
      </c>
    </row>
    <row r="2780" spans="1:70" x14ac:dyDescent="0.3">
      <c r="A2780" t="str">
        <f>"201926B0100"</f>
        <v>201926B0100</v>
      </c>
      <c r="B2780" t="s">
        <v>5770</v>
      </c>
      <c r="C2780">
        <v>20</v>
      </c>
      <c r="D2780" t="s">
        <v>88</v>
      </c>
      <c r="E2780">
        <v>440</v>
      </c>
      <c r="F2780" t="s">
        <v>5724</v>
      </c>
      <c r="G2780">
        <v>1926</v>
      </c>
      <c r="H2780">
        <v>1</v>
      </c>
      <c r="I2780" t="s">
        <v>90</v>
      </c>
      <c r="J2780">
        <v>0</v>
      </c>
      <c r="K2780">
        <v>2</v>
      </c>
      <c r="L2780">
        <v>5</v>
      </c>
      <c r="M2780">
        <v>197</v>
      </c>
      <c r="N2780">
        <v>523</v>
      </c>
      <c r="O2780">
        <v>3</v>
      </c>
      <c r="P2780">
        <v>523</v>
      </c>
      <c r="Q2780">
        <v>93</v>
      </c>
      <c r="R2780">
        <v>31</v>
      </c>
      <c r="S2780">
        <v>7</v>
      </c>
      <c r="T2780">
        <v>4</v>
      </c>
      <c r="U2780">
        <v>17</v>
      </c>
      <c r="V2780">
        <v>7</v>
      </c>
      <c r="W2780">
        <v>118</v>
      </c>
      <c r="X2780">
        <v>13</v>
      </c>
      <c r="Y2780">
        <v>86</v>
      </c>
      <c r="Z2780">
        <v>23</v>
      </c>
      <c r="AA2780">
        <v>28</v>
      </c>
      <c r="AB2780">
        <v>65</v>
      </c>
      <c r="AC2780">
        <v>1</v>
      </c>
      <c r="AD2780">
        <v>1</v>
      </c>
      <c r="AE2780">
        <v>0</v>
      </c>
      <c r="AF2780">
        <v>0</v>
      </c>
      <c r="AG2780">
        <v>2</v>
      </c>
      <c r="AH2780">
        <v>0</v>
      </c>
      <c r="AI2780">
        <v>0</v>
      </c>
      <c r="AJ2780">
        <v>1</v>
      </c>
      <c r="AK2780">
        <v>5</v>
      </c>
      <c r="AL2780">
        <v>0</v>
      </c>
      <c r="AM2780">
        <v>0</v>
      </c>
      <c r="AN2780">
        <v>1</v>
      </c>
      <c r="BC2780" t="s">
        <v>105</v>
      </c>
      <c r="BD2780">
        <v>20</v>
      </c>
      <c r="BE2780">
        <v>523</v>
      </c>
      <c r="BF2780">
        <v>523</v>
      </c>
      <c r="BG2780">
        <v>707</v>
      </c>
      <c r="BI2780" t="s">
        <v>106</v>
      </c>
      <c r="BJ2780">
        <v>1</v>
      </c>
      <c r="BL2780" t="s">
        <v>5771</v>
      </c>
      <c r="BM2780" s="4">
        <v>43283.323888888888</v>
      </c>
      <c r="BN2780" s="4">
        <v>43283.343078703707</v>
      </c>
      <c r="BO2780" s="4">
        <v>43283.343078703707</v>
      </c>
      <c r="BP2780" t="s">
        <v>92</v>
      </c>
      <c r="BQ2780" t="s">
        <v>93</v>
      </c>
      <c r="BR2780" t="s">
        <v>94</v>
      </c>
    </row>
    <row r="2781" spans="1:70" x14ac:dyDescent="0.3">
      <c r="A2781" t="str">
        <f>"201926C0100"</f>
        <v>201926C0100</v>
      </c>
      <c r="B2781" t="s">
        <v>5772</v>
      </c>
      <c r="C2781">
        <v>20</v>
      </c>
      <c r="D2781" t="s">
        <v>88</v>
      </c>
      <c r="E2781">
        <v>440</v>
      </c>
      <c r="F2781" t="s">
        <v>5724</v>
      </c>
      <c r="G2781">
        <v>1926</v>
      </c>
      <c r="H2781">
        <v>1</v>
      </c>
      <c r="I2781" t="s">
        <v>98</v>
      </c>
      <c r="J2781">
        <v>0</v>
      </c>
      <c r="K2781">
        <v>2</v>
      </c>
      <c r="L2781">
        <v>5</v>
      </c>
      <c r="M2781">
        <v>256</v>
      </c>
      <c r="N2781">
        <v>729</v>
      </c>
      <c r="O2781">
        <v>0</v>
      </c>
      <c r="P2781">
        <v>473</v>
      </c>
      <c r="Q2781">
        <v>87</v>
      </c>
      <c r="R2781">
        <v>20</v>
      </c>
      <c r="S2781">
        <v>0</v>
      </c>
      <c r="T2781">
        <v>3</v>
      </c>
      <c r="U2781">
        <v>10</v>
      </c>
      <c r="V2781">
        <v>6</v>
      </c>
      <c r="W2781">
        <v>68</v>
      </c>
      <c r="X2781">
        <v>10</v>
      </c>
      <c r="Y2781">
        <v>104</v>
      </c>
      <c r="Z2781">
        <v>22</v>
      </c>
      <c r="AA2781">
        <v>44</v>
      </c>
      <c r="AB2781">
        <v>43</v>
      </c>
      <c r="AC2781">
        <v>2</v>
      </c>
      <c r="AD2781">
        <v>1</v>
      </c>
      <c r="AE2781">
        <v>1</v>
      </c>
      <c r="AF2781">
        <v>0</v>
      </c>
      <c r="AG2781">
        <v>3</v>
      </c>
      <c r="AH2781">
        <v>0</v>
      </c>
      <c r="AI2781">
        <v>0</v>
      </c>
      <c r="AJ2781">
        <v>0</v>
      </c>
      <c r="AK2781">
        <v>6</v>
      </c>
      <c r="AL2781">
        <v>1</v>
      </c>
      <c r="AM2781">
        <v>0</v>
      </c>
      <c r="AN2781">
        <v>4</v>
      </c>
      <c r="BC2781">
        <v>0</v>
      </c>
      <c r="BD2781">
        <v>37</v>
      </c>
      <c r="BE2781">
        <v>473</v>
      </c>
      <c r="BF2781">
        <v>472</v>
      </c>
      <c r="BG2781">
        <v>707</v>
      </c>
      <c r="BJ2781">
        <v>1</v>
      </c>
      <c r="BL2781" t="s">
        <v>5773</v>
      </c>
      <c r="BM2781" s="4">
        <v>43283.318819444445</v>
      </c>
      <c r="BN2781" s="4">
        <v>43283.340671296297</v>
      </c>
      <c r="BO2781" s="4">
        <v>43283.340671296297</v>
      </c>
      <c r="BP2781" t="s">
        <v>92</v>
      </c>
      <c r="BQ2781" t="s">
        <v>93</v>
      </c>
      <c r="BR2781" t="s">
        <v>94</v>
      </c>
    </row>
    <row r="2782" spans="1:70" x14ac:dyDescent="0.3">
      <c r="A2782" t="str">
        <f>"201927B0100"</f>
        <v>201927B0100</v>
      </c>
      <c r="B2782" t="s">
        <v>5774</v>
      </c>
      <c r="C2782">
        <v>20</v>
      </c>
      <c r="D2782" t="s">
        <v>88</v>
      </c>
      <c r="E2782">
        <v>440</v>
      </c>
      <c r="F2782" t="s">
        <v>5724</v>
      </c>
      <c r="G2782">
        <v>1927</v>
      </c>
      <c r="H2782">
        <v>1</v>
      </c>
      <c r="I2782" t="s">
        <v>90</v>
      </c>
      <c r="J2782">
        <v>0</v>
      </c>
      <c r="K2782">
        <v>2</v>
      </c>
      <c r="L2782">
        <v>5</v>
      </c>
      <c r="M2782">
        <v>190</v>
      </c>
      <c r="N2782">
        <v>508</v>
      </c>
      <c r="O2782">
        <v>0</v>
      </c>
      <c r="P2782" t="s">
        <v>127</v>
      </c>
      <c r="Q2782">
        <v>48</v>
      </c>
      <c r="R2782">
        <v>33</v>
      </c>
      <c r="S2782">
        <v>7</v>
      </c>
      <c r="T2782">
        <v>7</v>
      </c>
      <c r="U2782">
        <v>14</v>
      </c>
      <c r="V2782">
        <v>4</v>
      </c>
      <c r="W2782">
        <v>115</v>
      </c>
      <c r="X2782">
        <v>27</v>
      </c>
      <c r="Y2782">
        <v>114</v>
      </c>
      <c r="Z2782">
        <v>20</v>
      </c>
      <c r="AA2782">
        <v>54</v>
      </c>
      <c r="AB2782">
        <v>26</v>
      </c>
      <c r="AC2782">
        <v>1</v>
      </c>
      <c r="AD2782">
        <v>2</v>
      </c>
      <c r="AE2782">
        <v>1</v>
      </c>
      <c r="AF2782">
        <v>0</v>
      </c>
      <c r="AG2782">
        <v>0</v>
      </c>
      <c r="AH2782">
        <v>1</v>
      </c>
      <c r="AI2782">
        <v>0</v>
      </c>
      <c r="AJ2782">
        <v>1</v>
      </c>
      <c r="AK2782">
        <v>4</v>
      </c>
      <c r="AL2782">
        <v>1</v>
      </c>
      <c r="AM2782">
        <v>1</v>
      </c>
      <c r="AN2782">
        <v>1</v>
      </c>
      <c r="BC2782">
        <v>0</v>
      </c>
      <c r="BD2782">
        <v>24</v>
      </c>
      <c r="BE2782">
        <v>507</v>
      </c>
      <c r="BF2782">
        <v>506</v>
      </c>
      <c r="BG2782">
        <v>676</v>
      </c>
      <c r="BJ2782">
        <v>1</v>
      </c>
      <c r="BL2782" t="s">
        <v>5775</v>
      </c>
      <c r="BM2782" s="4">
        <v>43283.354826388888</v>
      </c>
      <c r="BN2782" s="4">
        <v>43283.366944444446</v>
      </c>
      <c r="BO2782" s="4">
        <v>43283.366944444446</v>
      </c>
      <c r="BP2782" t="s">
        <v>92</v>
      </c>
      <c r="BQ2782" t="s">
        <v>93</v>
      </c>
      <c r="BR2782" t="s">
        <v>94</v>
      </c>
    </row>
    <row r="2783" spans="1:70" x14ac:dyDescent="0.3">
      <c r="A2783" t="str">
        <f>"201927C0100"</f>
        <v>201927C0100</v>
      </c>
      <c r="B2783" t="s">
        <v>5776</v>
      </c>
      <c r="C2783">
        <v>20</v>
      </c>
      <c r="D2783" t="s">
        <v>88</v>
      </c>
      <c r="E2783">
        <v>440</v>
      </c>
      <c r="F2783" t="s">
        <v>5724</v>
      </c>
      <c r="G2783">
        <v>1927</v>
      </c>
      <c r="H2783">
        <v>1</v>
      </c>
      <c r="I2783" t="s">
        <v>98</v>
      </c>
      <c r="J2783">
        <v>0</v>
      </c>
      <c r="K2783">
        <v>2</v>
      </c>
      <c r="L2783">
        <v>5</v>
      </c>
      <c r="M2783">
        <v>221</v>
      </c>
      <c r="N2783">
        <v>695</v>
      </c>
      <c r="O2783" t="s">
        <v>127</v>
      </c>
      <c r="P2783">
        <v>474</v>
      </c>
      <c r="Q2783">
        <v>40</v>
      </c>
      <c r="R2783">
        <v>32</v>
      </c>
      <c r="S2783">
        <v>3</v>
      </c>
      <c r="T2783">
        <v>9</v>
      </c>
      <c r="U2783">
        <v>23</v>
      </c>
      <c r="V2783">
        <v>3</v>
      </c>
      <c r="W2783">
        <v>120</v>
      </c>
      <c r="X2783">
        <v>23</v>
      </c>
      <c r="Y2783">
        <v>81</v>
      </c>
      <c r="Z2783">
        <v>29</v>
      </c>
      <c r="AA2783">
        <v>36</v>
      </c>
      <c r="AB2783">
        <v>28</v>
      </c>
      <c r="AC2783">
        <v>5</v>
      </c>
      <c r="AD2783">
        <v>0</v>
      </c>
      <c r="AE2783">
        <v>0</v>
      </c>
      <c r="AF2783">
        <v>0</v>
      </c>
      <c r="AG2783">
        <v>7</v>
      </c>
      <c r="AH2783">
        <v>1</v>
      </c>
      <c r="AI2783">
        <v>2</v>
      </c>
      <c r="AJ2783">
        <v>1</v>
      </c>
      <c r="AK2783">
        <v>4</v>
      </c>
      <c r="AL2783">
        <v>2</v>
      </c>
      <c r="AM2783">
        <v>0</v>
      </c>
      <c r="AN2783">
        <v>5</v>
      </c>
      <c r="BC2783" t="s">
        <v>105</v>
      </c>
      <c r="BD2783">
        <v>20</v>
      </c>
      <c r="BE2783">
        <v>474</v>
      </c>
      <c r="BF2783">
        <v>474</v>
      </c>
      <c r="BG2783">
        <v>676</v>
      </c>
      <c r="BI2783" t="s">
        <v>106</v>
      </c>
      <c r="BJ2783">
        <v>1</v>
      </c>
      <c r="BL2783" t="s">
        <v>5777</v>
      </c>
      <c r="BM2783" s="4">
        <v>43283.367002314815</v>
      </c>
      <c r="BN2783" s="4">
        <v>43283.396828703706</v>
      </c>
      <c r="BO2783" s="4">
        <v>43283.396828703706</v>
      </c>
      <c r="BP2783" t="s">
        <v>92</v>
      </c>
      <c r="BQ2783" t="s">
        <v>93</v>
      </c>
      <c r="BR2783" t="s">
        <v>94</v>
      </c>
    </row>
    <row r="2784" spans="1:70" x14ac:dyDescent="0.3">
      <c r="A2784" t="str">
        <f>"201927C0200"</f>
        <v>201927C0200</v>
      </c>
      <c r="B2784" t="s">
        <v>5778</v>
      </c>
      <c r="C2784">
        <v>20</v>
      </c>
      <c r="D2784" t="s">
        <v>88</v>
      </c>
      <c r="E2784">
        <v>440</v>
      </c>
      <c r="F2784" t="s">
        <v>5724</v>
      </c>
      <c r="G2784">
        <v>1927</v>
      </c>
      <c r="H2784">
        <v>2</v>
      </c>
      <c r="I2784" t="s">
        <v>98</v>
      </c>
      <c r="J2784">
        <v>0</v>
      </c>
      <c r="K2784">
        <v>2</v>
      </c>
      <c r="L2784">
        <v>5</v>
      </c>
      <c r="M2784">
        <v>214</v>
      </c>
      <c r="N2784">
        <v>482</v>
      </c>
      <c r="O2784">
        <v>1</v>
      </c>
      <c r="P2784" t="s">
        <v>105</v>
      </c>
      <c r="Q2784">
        <v>51</v>
      </c>
      <c r="R2784">
        <v>27</v>
      </c>
      <c r="S2784">
        <v>5</v>
      </c>
      <c r="T2784">
        <v>5</v>
      </c>
      <c r="U2784">
        <v>20</v>
      </c>
      <c r="V2784">
        <v>3</v>
      </c>
      <c r="W2784">
        <v>106</v>
      </c>
      <c r="X2784">
        <v>26</v>
      </c>
      <c r="Y2784">
        <v>85</v>
      </c>
      <c r="Z2784">
        <v>22</v>
      </c>
      <c r="AA2784">
        <v>64</v>
      </c>
      <c r="AB2784">
        <v>27</v>
      </c>
      <c r="AC2784">
        <v>2</v>
      </c>
      <c r="AD2784">
        <v>0</v>
      </c>
      <c r="AE2784">
        <v>0</v>
      </c>
      <c r="AF2784">
        <v>0</v>
      </c>
      <c r="AG2784">
        <v>0</v>
      </c>
      <c r="AH2784">
        <v>0</v>
      </c>
      <c r="AI2784">
        <v>1</v>
      </c>
      <c r="AJ2784">
        <v>0</v>
      </c>
      <c r="AK2784">
        <v>7</v>
      </c>
      <c r="AL2784">
        <v>1</v>
      </c>
      <c r="AM2784">
        <v>0</v>
      </c>
      <c r="AN2784">
        <v>3</v>
      </c>
      <c r="BC2784">
        <v>0</v>
      </c>
      <c r="BD2784">
        <v>26</v>
      </c>
      <c r="BE2784">
        <v>481</v>
      </c>
      <c r="BF2784">
        <v>481</v>
      </c>
      <c r="BG2784">
        <v>676</v>
      </c>
      <c r="BJ2784">
        <v>1</v>
      </c>
      <c r="BL2784" t="s">
        <v>5779</v>
      </c>
      <c r="BM2784" s="4">
        <v>43283.36278935185</v>
      </c>
      <c r="BN2784" s="4">
        <v>43283.372164351851</v>
      </c>
      <c r="BO2784" s="4">
        <v>43283.372164351851</v>
      </c>
      <c r="BP2784" t="s">
        <v>92</v>
      </c>
      <c r="BQ2784" t="s">
        <v>93</v>
      </c>
      <c r="BR2784" t="s">
        <v>94</v>
      </c>
    </row>
    <row r="2785" spans="1:70" x14ac:dyDescent="0.3">
      <c r="A2785" t="str">
        <f>"201927E0100"</f>
        <v>201927E0100</v>
      </c>
      <c r="B2785" s="2" t="s">
        <v>5780</v>
      </c>
      <c r="C2785">
        <v>20</v>
      </c>
      <c r="D2785" t="s">
        <v>88</v>
      </c>
      <c r="E2785">
        <v>440</v>
      </c>
      <c r="F2785" t="s">
        <v>5724</v>
      </c>
      <c r="G2785">
        <v>1927</v>
      </c>
      <c r="H2785">
        <v>1</v>
      </c>
      <c r="I2785" t="s">
        <v>156</v>
      </c>
      <c r="J2785">
        <v>0</v>
      </c>
      <c r="K2785">
        <v>2</v>
      </c>
      <c r="L2785">
        <v>5</v>
      </c>
      <c r="M2785">
        <v>200</v>
      </c>
      <c r="N2785">
        <v>494</v>
      </c>
      <c r="O2785">
        <v>8</v>
      </c>
      <c r="P2785">
        <v>494</v>
      </c>
      <c r="Q2785">
        <v>55</v>
      </c>
      <c r="R2785">
        <v>21</v>
      </c>
      <c r="S2785">
        <v>17</v>
      </c>
      <c r="T2785">
        <v>8</v>
      </c>
      <c r="U2785">
        <v>23</v>
      </c>
      <c r="V2785">
        <v>11</v>
      </c>
      <c r="W2785">
        <v>78</v>
      </c>
      <c r="X2785">
        <v>37</v>
      </c>
      <c r="Y2785">
        <v>135</v>
      </c>
      <c r="Z2785">
        <v>25</v>
      </c>
      <c r="AA2785">
        <v>30</v>
      </c>
      <c r="AB2785">
        <v>19</v>
      </c>
      <c r="AC2785">
        <v>5</v>
      </c>
      <c r="AD2785">
        <v>1</v>
      </c>
      <c r="AE2785">
        <v>1</v>
      </c>
      <c r="AF2785">
        <v>0</v>
      </c>
      <c r="AG2785">
        <v>0</v>
      </c>
      <c r="AH2785">
        <v>0</v>
      </c>
      <c r="AI2785">
        <v>0</v>
      </c>
      <c r="AJ2785">
        <v>0</v>
      </c>
      <c r="AK2785">
        <v>6</v>
      </c>
      <c r="AL2785">
        <v>0</v>
      </c>
      <c r="AM2785">
        <v>0</v>
      </c>
      <c r="AN2785">
        <v>2</v>
      </c>
      <c r="BC2785">
        <v>0</v>
      </c>
      <c r="BD2785">
        <v>20</v>
      </c>
      <c r="BE2785">
        <v>494</v>
      </c>
      <c r="BF2785">
        <v>494</v>
      </c>
      <c r="BG2785">
        <v>675</v>
      </c>
      <c r="BJ2785">
        <v>1</v>
      </c>
      <c r="BL2785" t="s">
        <v>5781</v>
      </c>
      <c r="BM2785" s="4">
        <v>43283.358368055553</v>
      </c>
      <c r="BN2785" s="4">
        <v>43283.36886574074</v>
      </c>
      <c r="BO2785" s="4">
        <v>43283.36886574074</v>
      </c>
      <c r="BP2785" t="s">
        <v>92</v>
      </c>
      <c r="BQ2785" t="s">
        <v>93</v>
      </c>
      <c r="BR2785" t="s">
        <v>94</v>
      </c>
    </row>
    <row r="2786" spans="1:70" x14ac:dyDescent="0.3">
      <c r="A2786" t="str">
        <f>"201927E0101"</f>
        <v>201927E0101</v>
      </c>
      <c r="B2786" s="2" t="s">
        <v>5782</v>
      </c>
      <c r="C2786">
        <v>20</v>
      </c>
      <c r="D2786" t="s">
        <v>88</v>
      </c>
      <c r="E2786">
        <v>440</v>
      </c>
      <c r="F2786" t="s">
        <v>5724</v>
      </c>
      <c r="G2786">
        <v>1927</v>
      </c>
      <c r="H2786">
        <v>1</v>
      </c>
      <c r="I2786" t="s">
        <v>156</v>
      </c>
      <c r="J2786">
        <v>1</v>
      </c>
      <c r="K2786">
        <v>2</v>
      </c>
      <c r="L2786">
        <v>5</v>
      </c>
      <c r="M2786">
        <v>159</v>
      </c>
      <c r="N2786">
        <v>6</v>
      </c>
      <c r="O2786">
        <v>6</v>
      </c>
      <c r="P2786">
        <v>524</v>
      </c>
      <c r="Q2786">
        <v>46</v>
      </c>
      <c r="R2786">
        <v>18</v>
      </c>
      <c r="S2786">
        <v>8</v>
      </c>
      <c r="T2786">
        <v>7</v>
      </c>
      <c r="U2786">
        <v>17</v>
      </c>
      <c r="V2786">
        <v>8</v>
      </c>
      <c r="W2786">
        <v>87</v>
      </c>
      <c r="X2786">
        <v>51</v>
      </c>
      <c r="Y2786">
        <v>135</v>
      </c>
      <c r="Z2786">
        <v>32</v>
      </c>
      <c r="AA2786">
        <v>50</v>
      </c>
      <c r="AB2786">
        <v>31</v>
      </c>
      <c r="AC2786">
        <v>2</v>
      </c>
      <c r="AD2786">
        <v>0</v>
      </c>
      <c r="AE2786">
        <v>0</v>
      </c>
      <c r="AF2786">
        <v>0</v>
      </c>
      <c r="AG2786">
        <v>2</v>
      </c>
      <c r="AH2786">
        <v>1</v>
      </c>
      <c r="AI2786">
        <v>1</v>
      </c>
      <c r="AJ2786">
        <v>2</v>
      </c>
      <c r="AK2786">
        <v>2</v>
      </c>
      <c r="AL2786">
        <v>2</v>
      </c>
      <c r="AM2786">
        <v>1</v>
      </c>
      <c r="AN2786">
        <v>3</v>
      </c>
      <c r="BC2786">
        <v>0</v>
      </c>
      <c r="BD2786">
        <v>18</v>
      </c>
      <c r="BE2786">
        <v>524</v>
      </c>
      <c r="BF2786">
        <v>524</v>
      </c>
      <c r="BG2786">
        <v>674</v>
      </c>
      <c r="BJ2786">
        <v>1</v>
      </c>
      <c r="BL2786" t="s">
        <v>5783</v>
      </c>
      <c r="BM2786" s="4">
        <v>43283.370763888888</v>
      </c>
      <c r="BN2786" s="4">
        <v>43283.378159722219</v>
      </c>
      <c r="BO2786" s="4">
        <v>43283.378159722219</v>
      </c>
      <c r="BP2786" t="s">
        <v>92</v>
      </c>
      <c r="BQ2786" t="s">
        <v>93</v>
      </c>
      <c r="BR2786" t="s">
        <v>94</v>
      </c>
    </row>
    <row r="2787" spans="1:70" x14ac:dyDescent="0.3">
      <c r="A2787" t="str">
        <f>"201929B0100"</f>
        <v>201929B0100</v>
      </c>
      <c r="B2787" t="s">
        <v>5784</v>
      </c>
      <c r="C2787">
        <v>20</v>
      </c>
      <c r="D2787" t="s">
        <v>88</v>
      </c>
      <c r="E2787">
        <v>442</v>
      </c>
      <c r="F2787" t="s">
        <v>5785</v>
      </c>
      <c r="G2787">
        <v>1929</v>
      </c>
      <c r="H2787">
        <v>1</v>
      </c>
      <c r="I2787" t="s">
        <v>90</v>
      </c>
      <c r="J2787">
        <v>0</v>
      </c>
      <c r="K2787">
        <v>2</v>
      </c>
      <c r="L2787">
        <v>5</v>
      </c>
      <c r="M2787">
        <v>153</v>
      </c>
      <c r="N2787">
        <v>588</v>
      </c>
      <c r="O2787">
        <v>0</v>
      </c>
      <c r="P2787">
        <v>588</v>
      </c>
      <c r="R2787">
        <v>110</v>
      </c>
      <c r="T2787">
        <v>136</v>
      </c>
      <c r="U2787">
        <v>1</v>
      </c>
      <c r="V2787">
        <v>23</v>
      </c>
      <c r="W2787" t="s">
        <v>105</v>
      </c>
      <c r="X2787" t="s">
        <v>105</v>
      </c>
      <c r="Y2787">
        <v>313</v>
      </c>
      <c r="Z2787" t="s">
        <v>105</v>
      </c>
      <c r="AG2787" t="s">
        <v>105</v>
      </c>
      <c r="AH2787" t="s">
        <v>105</v>
      </c>
      <c r="AI2787" t="s">
        <v>105</v>
      </c>
      <c r="AJ2787" t="s">
        <v>105</v>
      </c>
      <c r="AK2787" t="s">
        <v>105</v>
      </c>
      <c r="AL2787" t="s">
        <v>105</v>
      </c>
      <c r="AM2787" t="s">
        <v>105</v>
      </c>
      <c r="AN2787" t="s">
        <v>105</v>
      </c>
      <c r="BC2787" t="s">
        <v>105</v>
      </c>
      <c r="BD2787">
        <v>5</v>
      </c>
      <c r="BE2787">
        <v>588</v>
      </c>
      <c r="BF2787">
        <v>588</v>
      </c>
      <c r="BG2787">
        <v>719</v>
      </c>
      <c r="BI2787" t="s">
        <v>106</v>
      </c>
      <c r="BJ2787">
        <v>1</v>
      </c>
      <c r="BL2787" t="s">
        <v>5786</v>
      </c>
      <c r="BM2787" s="4">
        <v>43283.541666666664</v>
      </c>
      <c r="BN2787" s="4">
        <v>43283.555601851855</v>
      </c>
      <c r="BO2787" s="4">
        <v>43283.555601851855</v>
      </c>
      <c r="BP2787" t="s">
        <v>92</v>
      </c>
      <c r="BQ2787" t="s">
        <v>93</v>
      </c>
      <c r="BR2787" t="s">
        <v>94</v>
      </c>
    </row>
    <row r="2788" spans="1:70" x14ac:dyDescent="0.3">
      <c r="A2788" t="str">
        <f>"201929C0100"</f>
        <v>201929C0100</v>
      </c>
      <c r="B2788" t="s">
        <v>5787</v>
      </c>
      <c r="C2788">
        <v>20</v>
      </c>
      <c r="D2788" t="s">
        <v>88</v>
      </c>
      <c r="E2788">
        <v>442</v>
      </c>
      <c r="F2788" t="s">
        <v>5785</v>
      </c>
      <c r="G2788">
        <v>1929</v>
      </c>
      <c r="H2788">
        <v>1</v>
      </c>
      <c r="I2788" t="s">
        <v>98</v>
      </c>
      <c r="J2788">
        <v>0</v>
      </c>
      <c r="K2788">
        <v>2</v>
      </c>
      <c r="L2788">
        <v>5</v>
      </c>
      <c r="M2788">
        <v>161</v>
      </c>
      <c r="N2788">
        <v>586</v>
      </c>
      <c r="O2788">
        <v>6</v>
      </c>
      <c r="P2788">
        <v>586</v>
      </c>
      <c r="R2788">
        <v>139</v>
      </c>
      <c r="T2788">
        <v>153</v>
      </c>
      <c r="U2788">
        <v>1</v>
      </c>
      <c r="V2788">
        <v>41</v>
      </c>
      <c r="W2788">
        <v>1</v>
      </c>
      <c r="X2788">
        <v>1</v>
      </c>
      <c r="Y2788">
        <v>240</v>
      </c>
      <c r="Z2788">
        <v>0</v>
      </c>
      <c r="AG2788">
        <v>0</v>
      </c>
      <c r="AH2788">
        <v>0</v>
      </c>
      <c r="AI2788">
        <v>0</v>
      </c>
      <c r="AJ2788">
        <v>0</v>
      </c>
      <c r="AK2788">
        <v>0</v>
      </c>
      <c r="AL2788">
        <v>0</v>
      </c>
      <c r="AM2788">
        <v>0</v>
      </c>
      <c r="AN2788">
        <v>0</v>
      </c>
      <c r="BC2788">
        <v>0</v>
      </c>
      <c r="BD2788">
        <v>4</v>
      </c>
      <c r="BE2788">
        <v>580</v>
      </c>
      <c r="BF2788">
        <v>580</v>
      </c>
      <c r="BG2788">
        <v>718</v>
      </c>
      <c r="BJ2788">
        <v>1</v>
      </c>
      <c r="BL2788" t="s">
        <v>5788</v>
      </c>
      <c r="BM2788" s="4">
        <v>43283.53402777778</v>
      </c>
      <c r="BN2788" s="4">
        <v>43283.555034722223</v>
      </c>
      <c r="BO2788" s="4">
        <v>43283.555034722223</v>
      </c>
      <c r="BP2788" t="s">
        <v>92</v>
      </c>
      <c r="BQ2788" t="s">
        <v>93</v>
      </c>
      <c r="BR2788" t="s">
        <v>94</v>
      </c>
    </row>
    <row r="2789" spans="1:70" x14ac:dyDescent="0.3">
      <c r="A2789" t="str">
        <f>"201930B0100"</f>
        <v>201930B0100</v>
      </c>
      <c r="B2789" t="s">
        <v>5789</v>
      </c>
      <c r="C2789">
        <v>20</v>
      </c>
      <c r="D2789" t="s">
        <v>88</v>
      </c>
      <c r="E2789">
        <v>442</v>
      </c>
      <c r="F2789" t="s">
        <v>5785</v>
      </c>
      <c r="G2789">
        <v>1930</v>
      </c>
      <c r="H2789">
        <v>1</v>
      </c>
      <c r="I2789" t="s">
        <v>90</v>
      </c>
      <c r="J2789">
        <v>0</v>
      </c>
      <c r="K2789">
        <v>2</v>
      </c>
      <c r="L2789">
        <v>5</v>
      </c>
      <c r="M2789">
        <v>124</v>
      </c>
      <c r="N2789">
        <v>503</v>
      </c>
      <c r="O2789">
        <v>10</v>
      </c>
      <c r="P2789">
        <v>503</v>
      </c>
      <c r="R2789">
        <v>125</v>
      </c>
      <c r="T2789">
        <v>124</v>
      </c>
      <c r="U2789">
        <v>3</v>
      </c>
      <c r="V2789">
        <v>41</v>
      </c>
      <c r="W2789" t="s">
        <v>105</v>
      </c>
      <c r="X2789" t="s">
        <v>105</v>
      </c>
      <c r="Y2789">
        <v>209</v>
      </c>
      <c r="Z2789" t="s">
        <v>105</v>
      </c>
      <c r="AG2789" t="s">
        <v>105</v>
      </c>
      <c r="AH2789" t="s">
        <v>105</v>
      </c>
      <c r="AI2789" t="s">
        <v>105</v>
      </c>
      <c r="AJ2789" t="s">
        <v>105</v>
      </c>
      <c r="AK2789" t="s">
        <v>105</v>
      </c>
      <c r="AL2789" t="s">
        <v>105</v>
      </c>
      <c r="AM2789" t="s">
        <v>105</v>
      </c>
      <c r="AN2789" t="s">
        <v>105</v>
      </c>
      <c r="BC2789" t="s">
        <v>105</v>
      </c>
      <c r="BD2789">
        <v>1</v>
      </c>
      <c r="BE2789">
        <v>503</v>
      </c>
      <c r="BF2789">
        <v>503</v>
      </c>
      <c r="BG2789">
        <v>604</v>
      </c>
      <c r="BI2789" t="s">
        <v>106</v>
      </c>
      <c r="BJ2789">
        <v>1</v>
      </c>
      <c r="BL2789" t="s">
        <v>5790</v>
      </c>
      <c r="BM2789" s="4">
        <v>43283.246527777781</v>
      </c>
      <c r="BN2789" s="4">
        <v>43283.297523148147</v>
      </c>
      <c r="BO2789" s="4">
        <v>43283.297523148147</v>
      </c>
      <c r="BP2789" t="s">
        <v>92</v>
      </c>
      <c r="BQ2789" t="s">
        <v>93</v>
      </c>
      <c r="BR2789" t="s">
        <v>94</v>
      </c>
    </row>
    <row r="2790" spans="1:70" x14ac:dyDescent="0.3">
      <c r="A2790" t="str">
        <f>"201930C0100"</f>
        <v>201930C0100</v>
      </c>
      <c r="B2790" t="s">
        <v>5791</v>
      </c>
      <c r="C2790">
        <v>20</v>
      </c>
      <c r="D2790" t="s">
        <v>88</v>
      </c>
      <c r="E2790">
        <v>442</v>
      </c>
      <c r="F2790" t="s">
        <v>5785</v>
      </c>
      <c r="G2790">
        <v>1930</v>
      </c>
      <c r="H2790">
        <v>1</v>
      </c>
      <c r="I2790" t="s">
        <v>98</v>
      </c>
      <c r="J2790">
        <v>0</v>
      </c>
      <c r="K2790">
        <v>2</v>
      </c>
      <c r="L2790">
        <v>5</v>
      </c>
      <c r="M2790">
        <v>124</v>
      </c>
      <c r="N2790">
        <v>503</v>
      </c>
      <c r="O2790">
        <v>13</v>
      </c>
      <c r="P2790">
        <v>0</v>
      </c>
      <c r="R2790">
        <v>127</v>
      </c>
      <c r="T2790">
        <v>133</v>
      </c>
      <c r="U2790">
        <v>0</v>
      </c>
      <c r="V2790">
        <v>24</v>
      </c>
      <c r="W2790">
        <v>0</v>
      </c>
      <c r="X2790">
        <v>0</v>
      </c>
      <c r="Y2790">
        <v>217</v>
      </c>
      <c r="Z2790">
        <v>0</v>
      </c>
      <c r="AG2790">
        <v>0</v>
      </c>
      <c r="AH2790">
        <v>0</v>
      </c>
      <c r="AI2790">
        <v>0</v>
      </c>
      <c r="AJ2790">
        <v>0</v>
      </c>
      <c r="AK2790">
        <v>0</v>
      </c>
      <c r="AL2790">
        <v>0</v>
      </c>
      <c r="AM2790">
        <v>0</v>
      </c>
      <c r="AN2790">
        <v>0</v>
      </c>
      <c r="BC2790">
        <v>0</v>
      </c>
      <c r="BD2790">
        <v>2</v>
      </c>
      <c r="BE2790">
        <v>503</v>
      </c>
      <c r="BF2790">
        <v>503</v>
      </c>
      <c r="BG2790">
        <v>604</v>
      </c>
      <c r="BJ2790">
        <v>1</v>
      </c>
      <c r="BL2790" t="s">
        <v>5792</v>
      </c>
      <c r="BM2790" s="4">
        <v>43283.263194444444</v>
      </c>
      <c r="BN2790" s="4">
        <v>43283.329756944448</v>
      </c>
      <c r="BO2790" s="4">
        <v>43283.329756944448</v>
      </c>
      <c r="BP2790" t="s">
        <v>92</v>
      </c>
      <c r="BQ2790" t="s">
        <v>93</v>
      </c>
      <c r="BR2790" t="s">
        <v>94</v>
      </c>
    </row>
    <row r="2791" spans="1:70" x14ac:dyDescent="0.3">
      <c r="A2791" t="str">
        <f>"201930C0200"</f>
        <v>201930C0200</v>
      </c>
      <c r="B2791" t="s">
        <v>5793</v>
      </c>
      <c r="C2791">
        <v>20</v>
      </c>
      <c r="D2791" t="s">
        <v>88</v>
      </c>
      <c r="E2791">
        <v>442</v>
      </c>
      <c r="F2791" t="s">
        <v>5785</v>
      </c>
      <c r="G2791">
        <v>1930</v>
      </c>
      <c r="H2791">
        <v>2</v>
      </c>
      <c r="I2791" t="s">
        <v>98</v>
      </c>
      <c r="J2791">
        <v>0</v>
      </c>
      <c r="K2791">
        <v>2</v>
      </c>
      <c r="L2791">
        <v>5</v>
      </c>
      <c r="M2791">
        <v>114</v>
      </c>
      <c r="N2791">
        <v>509</v>
      </c>
      <c r="O2791">
        <v>7</v>
      </c>
      <c r="P2791">
        <v>510</v>
      </c>
      <c r="R2791">
        <v>119</v>
      </c>
      <c r="T2791">
        <v>155</v>
      </c>
      <c r="U2791">
        <v>0</v>
      </c>
      <c r="V2791">
        <v>28</v>
      </c>
      <c r="W2791">
        <v>0</v>
      </c>
      <c r="X2791">
        <v>0</v>
      </c>
      <c r="Y2791">
        <v>207</v>
      </c>
      <c r="Z2791">
        <v>0</v>
      </c>
      <c r="AG2791" t="s">
        <v>105</v>
      </c>
      <c r="AH2791" t="s">
        <v>105</v>
      </c>
      <c r="AI2791" t="s">
        <v>105</v>
      </c>
      <c r="AJ2791" t="s">
        <v>105</v>
      </c>
      <c r="AK2791" t="s">
        <v>105</v>
      </c>
      <c r="AL2791" t="s">
        <v>105</v>
      </c>
      <c r="AM2791" t="s">
        <v>105</v>
      </c>
      <c r="AN2791" t="s">
        <v>105</v>
      </c>
      <c r="BC2791" t="s">
        <v>105</v>
      </c>
      <c r="BD2791">
        <v>1</v>
      </c>
      <c r="BE2791">
        <v>510</v>
      </c>
      <c r="BF2791">
        <v>510</v>
      </c>
      <c r="BG2791">
        <v>604</v>
      </c>
      <c r="BI2791" t="s">
        <v>106</v>
      </c>
      <c r="BJ2791">
        <v>1</v>
      </c>
      <c r="BL2791" t="s">
        <v>5794</v>
      </c>
      <c r="BM2791" s="4">
        <v>43283.304166666669</v>
      </c>
      <c r="BN2791" s="4">
        <v>43283.341157407405</v>
      </c>
      <c r="BO2791" s="4">
        <v>43283.341157407405</v>
      </c>
      <c r="BP2791" t="s">
        <v>92</v>
      </c>
      <c r="BQ2791" t="s">
        <v>93</v>
      </c>
      <c r="BR2791" t="s">
        <v>94</v>
      </c>
    </row>
    <row r="2792" spans="1:70" x14ac:dyDescent="0.3">
      <c r="A2792" t="str">
        <f>"201931B0100"</f>
        <v>201931B0100</v>
      </c>
      <c r="B2792" t="s">
        <v>5795</v>
      </c>
      <c r="C2792">
        <v>20</v>
      </c>
      <c r="D2792" t="s">
        <v>88</v>
      </c>
      <c r="E2792">
        <v>442</v>
      </c>
      <c r="F2792" t="s">
        <v>5785</v>
      </c>
      <c r="G2792">
        <v>1931</v>
      </c>
      <c r="H2792">
        <v>1</v>
      </c>
      <c r="I2792" t="s">
        <v>90</v>
      </c>
      <c r="J2792">
        <v>0</v>
      </c>
      <c r="K2792">
        <v>2</v>
      </c>
      <c r="L2792">
        <v>5</v>
      </c>
      <c r="M2792">
        <v>104</v>
      </c>
      <c r="N2792">
        <v>481</v>
      </c>
      <c r="O2792">
        <v>12</v>
      </c>
      <c r="P2792">
        <v>473</v>
      </c>
      <c r="R2792">
        <v>74</v>
      </c>
      <c r="T2792">
        <v>169</v>
      </c>
      <c r="U2792">
        <v>0</v>
      </c>
      <c r="V2792">
        <v>18</v>
      </c>
      <c r="W2792">
        <v>1</v>
      </c>
      <c r="X2792">
        <v>0</v>
      </c>
      <c r="Y2792">
        <v>216</v>
      </c>
      <c r="Z2792">
        <v>0</v>
      </c>
      <c r="AG2792">
        <v>0</v>
      </c>
      <c r="AH2792">
        <v>0</v>
      </c>
      <c r="AI2792">
        <v>0</v>
      </c>
      <c r="AJ2792">
        <v>0</v>
      </c>
      <c r="AK2792">
        <v>0</v>
      </c>
      <c r="AL2792">
        <v>0</v>
      </c>
      <c r="AM2792">
        <v>0</v>
      </c>
      <c r="AN2792">
        <v>0</v>
      </c>
      <c r="BC2792">
        <v>0</v>
      </c>
      <c r="BD2792">
        <v>3</v>
      </c>
      <c r="BE2792">
        <v>481</v>
      </c>
      <c r="BF2792">
        <v>481</v>
      </c>
      <c r="BG2792">
        <v>562</v>
      </c>
      <c r="BJ2792">
        <v>1</v>
      </c>
      <c r="BL2792" t="s">
        <v>5796</v>
      </c>
      <c r="BM2792" s="4">
        <v>43283.283333333333</v>
      </c>
      <c r="BN2792" s="4">
        <v>43283.34</v>
      </c>
      <c r="BO2792" s="4">
        <v>43283.34</v>
      </c>
      <c r="BP2792" t="s">
        <v>92</v>
      </c>
      <c r="BQ2792" t="s">
        <v>93</v>
      </c>
      <c r="BR2792" t="s">
        <v>94</v>
      </c>
    </row>
    <row r="2793" spans="1:70" x14ac:dyDescent="0.3">
      <c r="A2793" t="str">
        <f>"201931C0100"</f>
        <v>201931C0100</v>
      </c>
      <c r="B2793" t="s">
        <v>5797</v>
      </c>
      <c r="C2793">
        <v>20</v>
      </c>
      <c r="D2793" t="s">
        <v>88</v>
      </c>
      <c r="E2793">
        <v>442</v>
      </c>
      <c r="F2793" t="s">
        <v>5785</v>
      </c>
      <c r="G2793">
        <v>1931</v>
      </c>
      <c r="H2793">
        <v>1</v>
      </c>
      <c r="I2793" t="s">
        <v>98</v>
      </c>
      <c r="J2793">
        <v>0</v>
      </c>
      <c r="K2793">
        <v>2</v>
      </c>
      <c r="L2793">
        <v>5</v>
      </c>
      <c r="BG2793">
        <v>562</v>
      </c>
      <c r="BI2793" t="s">
        <v>122</v>
      </c>
      <c r="BJ2793">
        <v>0</v>
      </c>
      <c r="BL2793" t="s">
        <v>5798</v>
      </c>
      <c r="BM2793" s="4">
        <v>43283.59652777778</v>
      </c>
      <c r="BN2793" s="4">
        <v>43283.598275462966</v>
      </c>
      <c r="BO2793" s="4">
        <v>43283.598275462966</v>
      </c>
      <c r="BP2793" t="s">
        <v>92</v>
      </c>
      <c r="BQ2793" t="s">
        <v>93</v>
      </c>
      <c r="BR2793" t="s">
        <v>94</v>
      </c>
    </row>
    <row r="2794" spans="1:70" x14ac:dyDescent="0.3">
      <c r="A2794" t="str">
        <f>"201931C0200"</f>
        <v>201931C0200</v>
      </c>
      <c r="B2794" t="s">
        <v>5799</v>
      </c>
      <c r="C2794">
        <v>20</v>
      </c>
      <c r="D2794" t="s">
        <v>88</v>
      </c>
      <c r="E2794">
        <v>442</v>
      </c>
      <c r="F2794" t="s">
        <v>5785</v>
      </c>
      <c r="G2794">
        <v>1931</v>
      </c>
      <c r="H2794">
        <v>2</v>
      </c>
      <c r="I2794" t="s">
        <v>98</v>
      </c>
      <c r="J2794">
        <v>0</v>
      </c>
      <c r="K2794">
        <v>2</v>
      </c>
      <c r="L2794">
        <v>5</v>
      </c>
      <c r="M2794">
        <v>132</v>
      </c>
      <c r="N2794">
        <v>452</v>
      </c>
      <c r="O2794">
        <v>5</v>
      </c>
      <c r="P2794">
        <v>451</v>
      </c>
      <c r="R2794">
        <v>105</v>
      </c>
      <c r="T2794">
        <v>108</v>
      </c>
      <c r="U2794">
        <v>1</v>
      </c>
      <c r="V2794">
        <v>23</v>
      </c>
      <c r="W2794">
        <v>0</v>
      </c>
      <c r="X2794">
        <v>0</v>
      </c>
      <c r="Y2794">
        <v>207</v>
      </c>
      <c r="Z2794">
        <v>0</v>
      </c>
      <c r="AG2794">
        <v>0</v>
      </c>
      <c r="AH2794">
        <v>0</v>
      </c>
      <c r="AI2794">
        <v>0</v>
      </c>
      <c r="AJ2794">
        <v>0</v>
      </c>
      <c r="AK2794">
        <v>0</v>
      </c>
      <c r="AL2794">
        <v>0</v>
      </c>
      <c r="AM2794">
        <v>0</v>
      </c>
      <c r="AN2794">
        <v>0</v>
      </c>
      <c r="BC2794">
        <v>0</v>
      </c>
      <c r="BD2794">
        <v>7</v>
      </c>
      <c r="BE2794">
        <v>451</v>
      </c>
      <c r="BF2794">
        <v>451</v>
      </c>
      <c r="BG2794">
        <v>561</v>
      </c>
      <c r="BJ2794">
        <v>1</v>
      </c>
      <c r="BL2794" t="s">
        <v>5800</v>
      </c>
      <c r="BM2794" s="4">
        <v>43283.283333333333</v>
      </c>
      <c r="BN2794" s="4">
        <v>43283.329317129632</v>
      </c>
      <c r="BO2794" s="4">
        <v>43283.329317129632</v>
      </c>
      <c r="BP2794" t="s">
        <v>92</v>
      </c>
      <c r="BQ2794" t="s">
        <v>93</v>
      </c>
      <c r="BR2794" t="s">
        <v>94</v>
      </c>
    </row>
    <row r="2795" spans="1:70" x14ac:dyDescent="0.3">
      <c r="A2795" t="str">
        <f>"201932B0100"</f>
        <v>201932B0100</v>
      </c>
      <c r="B2795" t="s">
        <v>5801</v>
      </c>
      <c r="C2795">
        <v>20</v>
      </c>
      <c r="D2795" t="s">
        <v>88</v>
      </c>
      <c r="E2795">
        <v>442</v>
      </c>
      <c r="F2795" t="s">
        <v>5785</v>
      </c>
      <c r="G2795">
        <v>1932</v>
      </c>
      <c r="H2795">
        <v>1</v>
      </c>
      <c r="I2795" t="s">
        <v>90</v>
      </c>
      <c r="J2795">
        <v>0</v>
      </c>
      <c r="K2795">
        <v>2</v>
      </c>
      <c r="L2795">
        <v>5</v>
      </c>
      <c r="M2795">
        <v>128</v>
      </c>
      <c r="N2795">
        <v>500</v>
      </c>
      <c r="O2795">
        <v>2</v>
      </c>
      <c r="P2795">
        <v>503</v>
      </c>
      <c r="R2795">
        <v>82</v>
      </c>
      <c r="T2795">
        <v>158</v>
      </c>
      <c r="U2795">
        <v>0</v>
      </c>
      <c r="V2795">
        <v>24</v>
      </c>
      <c r="W2795">
        <v>3</v>
      </c>
      <c r="X2795">
        <v>0</v>
      </c>
      <c r="Y2795">
        <v>236</v>
      </c>
      <c r="Z2795">
        <v>0</v>
      </c>
      <c r="AG2795">
        <v>0</v>
      </c>
      <c r="AH2795">
        <v>0</v>
      </c>
      <c r="AI2795">
        <v>0</v>
      </c>
      <c r="AJ2795">
        <v>0</v>
      </c>
      <c r="AK2795">
        <v>0</v>
      </c>
      <c r="AL2795">
        <v>0</v>
      </c>
      <c r="AM2795">
        <v>0</v>
      </c>
      <c r="AN2795">
        <v>0</v>
      </c>
      <c r="BC2795">
        <v>0</v>
      </c>
      <c r="BD2795">
        <v>0</v>
      </c>
      <c r="BE2795">
        <v>503</v>
      </c>
      <c r="BF2795">
        <v>503</v>
      </c>
      <c r="BG2795">
        <v>608</v>
      </c>
      <c r="BJ2795">
        <v>1</v>
      </c>
      <c r="BL2795" t="s">
        <v>5802</v>
      </c>
      <c r="BM2795" s="4">
        <v>43283.477083333331</v>
      </c>
      <c r="BN2795" s="4">
        <v>43283.580104166664</v>
      </c>
      <c r="BO2795" s="4">
        <v>43283.580104166664</v>
      </c>
      <c r="BP2795" t="s">
        <v>92</v>
      </c>
      <c r="BQ2795" t="s">
        <v>93</v>
      </c>
      <c r="BR2795" t="s">
        <v>94</v>
      </c>
    </row>
    <row r="2796" spans="1:70" x14ac:dyDescent="0.3">
      <c r="A2796" t="str">
        <f>"201932C0100"</f>
        <v>201932C0100</v>
      </c>
      <c r="B2796" t="s">
        <v>5803</v>
      </c>
      <c r="C2796">
        <v>20</v>
      </c>
      <c r="D2796" t="s">
        <v>88</v>
      </c>
      <c r="E2796">
        <v>442</v>
      </c>
      <c r="F2796" t="s">
        <v>5785</v>
      </c>
      <c r="G2796">
        <v>1932</v>
      </c>
      <c r="H2796">
        <v>1</v>
      </c>
      <c r="I2796" t="s">
        <v>98</v>
      </c>
      <c r="J2796">
        <v>0</v>
      </c>
      <c r="K2796">
        <v>2</v>
      </c>
      <c r="L2796">
        <v>5</v>
      </c>
      <c r="M2796">
        <v>143</v>
      </c>
      <c r="N2796">
        <v>487</v>
      </c>
      <c r="O2796">
        <v>1</v>
      </c>
      <c r="P2796">
        <v>487</v>
      </c>
      <c r="R2796">
        <v>110</v>
      </c>
      <c r="T2796">
        <v>114</v>
      </c>
      <c r="U2796">
        <v>2</v>
      </c>
      <c r="V2796">
        <v>41</v>
      </c>
      <c r="W2796">
        <v>2</v>
      </c>
      <c r="X2796">
        <v>0</v>
      </c>
      <c r="Y2796">
        <v>215</v>
      </c>
      <c r="Z2796">
        <v>0</v>
      </c>
      <c r="AG2796">
        <v>0</v>
      </c>
      <c r="AH2796">
        <v>2</v>
      </c>
      <c r="AI2796">
        <v>0</v>
      </c>
      <c r="AJ2796">
        <v>0</v>
      </c>
      <c r="AK2796">
        <v>0</v>
      </c>
      <c r="AL2796">
        <v>0</v>
      </c>
      <c r="AM2796">
        <v>0</v>
      </c>
      <c r="AN2796">
        <v>0</v>
      </c>
      <c r="BC2796">
        <v>0</v>
      </c>
      <c r="BD2796">
        <v>1</v>
      </c>
      <c r="BE2796">
        <v>487</v>
      </c>
      <c r="BF2796">
        <v>487</v>
      </c>
      <c r="BG2796">
        <v>607</v>
      </c>
      <c r="BJ2796">
        <v>1</v>
      </c>
      <c r="BL2796" t="s">
        <v>5804</v>
      </c>
      <c r="BM2796" s="4">
        <v>43283.283333333333</v>
      </c>
      <c r="BN2796" s="4">
        <v>43283.311631944445</v>
      </c>
      <c r="BO2796" s="4">
        <v>43283.311631944445</v>
      </c>
      <c r="BP2796" t="s">
        <v>92</v>
      </c>
      <c r="BQ2796" t="s">
        <v>93</v>
      </c>
      <c r="BR2796" t="s">
        <v>94</v>
      </c>
    </row>
    <row r="2797" spans="1:70" x14ac:dyDescent="0.3">
      <c r="A2797" t="str">
        <f>"201940B0100"</f>
        <v>201940B0100</v>
      </c>
      <c r="B2797" t="s">
        <v>5805</v>
      </c>
      <c r="C2797">
        <v>20</v>
      </c>
      <c r="D2797" t="s">
        <v>88</v>
      </c>
      <c r="E2797">
        <v>448</v>
      </c>
      <c r="F2797" t="s">
        <v>5806</v>
      </c>
      <c r="G2797">
        <v>1940</v>
      </c>
      <c r="H2797">
        <v>1</v>
      </c>
      <c r="I2797" t="s">
        <v>90</v>
      </c>
      <c r="J2797">
        <v>0</v>
      </c>
      <c r="K2797">
        <v>2</v>
      </c>
      <c r="L2797">
        <v>5</v>
      </c>
      <c r="M2797">
        <v>162</v>
      </c>
      <c r="N2797">
        <v>389</v>
      </c>
      <c r="O2797">
        <v>2</v>
      </c>
      <c r="P2797">
        <v>388</v>
      </c>
      <c r="Q2797">
        <v>3</v>
      </c>
      <c r="R2797">
        <v>86</v>
      </c>
      <c r="S2797">
        <v>76</v>
      </c>
      <c r="T2797">
        <v>1</v>
      </c>
      <c r="U2797">
        <v>5</v>
      </c>
      <c r="V2797">
        <v>3</v>
      </c>
      <c r="W2797">
        <v>2</v>
      </c>
      <c r="X2797">
        <v>1</v>
      </c>
      <c r="Y2797">
        <v>175</v>
      </c>
      <c r="Z2797">
        <v>6</v>
      </c>
      <c r="AC2797">
        <v>1</v>
      </c>
      <c r="AD2797">
        <v>1</v>
      </c>
      <c r="AE2797">
        <v>0</v>
      </c>
      <c r="AF2797">
        <v>0</v>
      </c>
      <c r="AG2797">
        <v>1</v>
      </c>
      <c r="AH2797">
        <v>2</v>
      </c>
      <c r="AI2797">
        <v>0</v>
      </c>
      <c r="AJ2797">
        <v>0</v>
      </c>
      <c r="AK2797">
        <v>3</v>
      </c>
      <c r="AL2797">
        <v>2</v>
      </c>
      <c r="AM2797">
        <v>0</v>
      </c>
      <c r="AN2797">
        <v>2</v>
      </c>
      <c r="BC2797">
        <v>0</v>
      </c>
      <c r="BD2797">
        <v>18</v>
      </c>
      <c r="BE2797">
        <v>388</v>
      </c>
      <c r="BF2797">
        <v>388</v>
      </c>
      <c r="BG2797">
        <v>529</v>
      </c>
      <c r="BJ2797">
        <v>1</v>
      </c>
      <c r="BL2797" t="s">
        <v>5807</v>
      </c>
      <c r="BM2797" s="4">
        <v>43283.363877314812</v>
      </c>
      <c r="BN2797" s="4">
        <v>43283.372916666667</v>
      </c>
      <c r="BO2797" s="4">
        <v>43283.372916666667</v>
      </c>
      <c r="BP2797" t="s">
        <v>92</v>
      </c>
      <c r="BQ2797" t="s">
        <v>93</v>
      </c>
      <c r="BR2797" t="s">
        <v>94</v>
      </c>
    </row>
    <row r="2798" spans="1:70" x14ac:dyDescent="0.3">
      <c r="A2798" t="str">
        <f>"201940C0100"</f>
        <v>201940C0100</v>
      </c>
      <c r="B2798" t="s">
        <v>5808</v>
      </c>
      <c r="C2798">
        <v>20</v>
      </c>
      <c r="D2798" t="s">
        <v>88</v>
      </c>
      <c r="E2798">
        <v>448</v>
      </c>
      <c r="F2798" t="s">
        <v>5806</v>
      </c>
      <c r="G2798">
        <v>1940</v>
      </c>
      <c r="H2798">
        <v>1</v>
      </c>
      <c r="I2798" t="s">
        <v>98</v>
      </c>
      <c r="J2798">
        <v>0</v>
      </c>
      <c r="K2798">
        <v>2</v>
      </c>
      <c r="L2798">
        <v>5</v>
      </c>
      <c r="M2798">
        <v>174</v>
      </c>
      <c r="N2798">
        <v>376</v>
      </c>
      <c r="O2798">
        <v>1</v>
      </c>
      <c r="P2798">
        <v>376</v>
      </c>
      <c r="Q2798">
        <v>2</v>
      </c>
      <c r="R2798">
        <v>105</v>
      </c>
      <c r="S2798">
        <v>62</v>
      </c>
      <c r="T2798">
        <v>1</v>
      </c>
      <c r="U2798">
        <v>10</v>
      </c>
      <c r="V2798">
        <v>4</v>
      </c>
      <c r="W2798">
        <v>3</v>
      </c>
      <c r="X2798">
        <v>4</v>
      </c>
      <c r="Y2798">
        <v>151</v>
      </c>
      <c r="Z2798">
        <v>2</v>
      </c>
      <c r="AC2798">
        <v>0</v>
      </c>
      <c r="AD2798">
        <v>0</v>
      </c>
      <c r="AE2798">
        <v>0</v>
      </c>
      <c r="AF2798">
        <v>0</v>
      </c>
      <c r="AG2798">
        <v>2</v>
      </c>
      <c r="AH2798">
        <v>4</v>
      </c>
      <c r="AI2798">
        <v>0</v>
      </c>
      <c r="AJ2798">
        <v>0</v>
      </c>
      <c r="AK2798">
        <v>5</v>
      </c>
      <c r="AL2798">
        <v>1</v>
      </c>
      <c r="AM2798">
        <v>0</v>
      </c>
      <c r="AN2798">
        <v>3</v>
      </c>
      <c r="BC2798">
        <v>0</v>
      </c>
      <c r="BD2798">
        <v>22</v>
      </c>
      <c r="BE2798">
        <v>381</v>
      </c>
      <c r="BF2798">
        <v>381</v>
      </c>
      <c r="BG2798">
        <v>528</v>
      </c>
      <c r="BJ2798">
        <v>1</v>
      </c>
      <c r="BL2798" t="s">
        <v>5809</v>
      </c>
      <c r="BM2798" s="4">
        <v>43283.370671296296</v>
      </c>
      <c r="BN2798" s="4">
        <v>43283.378483796296</v>
      </c>
      <c r="BO2798" s="4">
        <v>43283.378483796296</v>
      </c>
      <c r="BP2798" t="s">
        <v>92</v>
      </c>
      <c r="BQ2798" t="s">
        <v>93</v>
      </c>
      <c r="BR2798" t="s">
        <v>94</v>
      </c>
    </row>
    <row r="2799" spans="1:70" x14ac:dyDescent="0.3">
      <c r="A2799" t="str">
        <f>"201940C0200"</f>
        <v>201940C0200</v>
      </c>
      <c r="B2799" t="s">
        <v>5810</v>
      </c>
      <c r="C2799">
        <v>20</v>
      </c>
      <c r="D2799" t="s">
        <v>88</v>
      </c>
      <c r="E2799">
        <v>448</v>
      </c>
      <c r="F2799" t="s">
        <v>5806</v>
      </c>
      <c r="G2799">
        <v>1940</v>
      </c>
      <c r="H2799">
        <v>2</v>
      </c>
      <c r="I2799" t="s">
        <v>98</v>
      </c>
      <c r="J2799">
        <v>0</v>
      </c>
      <c r="K2799">
        <v>2</v>
      </c>
      <c r="L2799">
        <v>5</v>
      </c>
      <c r="M2799">
        <v>175</v>
      </c>
      <c r="N2799">
        <v>375</v>
      </c>
      <c r="O2799">
        <v>4</v>
      </c>
      <c r="P2799">
        <v>375</v>
      </c>
      <c r="Q2799">
        <v>0</v>
      </c>
      <c r="R2799">
        <v>91</v>
      </c>
      <c r="S2799">
        <v>73</v>
      </c>
      <c r="T2799">
        <v>2</v>
      </c>
      <c r="U2799">
        <v>11</v>
      </c>
      <c r="V2799">
        <v>2</v>
      </c>
      <c r="W2799">
        <v>1</v>
      </c>
      <c r="X2799">
        <v>3</v>
      </c>
      <c r="Y2799">
        <v>165</v>
      </c>
      <c r="Z2799">
        <v>0</v>
      </c>
      <c r="AC2799">
        <v>0</v>
      </c>
      <c r="AD2799">
        <v>0</v>
      </c>
      <c r="AE2799">
        <v>0</v>
      </c>
      <c r="AF2799">
        <v>0</v>
      </c>
      <c r="AG2799">
        <v>1</v>
      </c>
      <c r="AH2799">
        <v>5</v>
      </c>
      <c r="AI2799">
        <v>0</v>
      </c>
      <c r="AJ2799">
        <v>0</v>
      </c>
      <c r="AK2799">
        <v>0</v>
      </c>
      <c r="AL2799">
        <v>0</v>
      </c>
      <c r="AM2799">
        <v>0</v>
      </c>
      <c r="AN2799">
        <v>2</v>
      </c>
      <c r="BC2799">
        <v>0</v>
      </c>
      <c r="BD2799">
        <v>14</v>
      </c>
      <c r="BE2799">
        <v>370</v>
      </c>
      <c r="BF2799">
        <v>370</v>
      </c>
      <c r="BG2799">
        <v>528</v>
      </c>
      <c r="BJ2799">
        <v>1</v>
      </c>
      <c r="BL2799" t="s">
        <v>5811</v>
      </c>
      <c r="BM2799" s="4">
        <v>43283.364733796298</v>
      </c>
      <c r="BN2799" s="4">
        <v>43283.37394675926</v>
      </c>
      <c r="BO2799" s="4">
        <v>43283.37394675926</v>
      </c>
      <c r="BP2799" t="s">
        <v>92</v>
      </c>
      <c r="BQ2799" t="s">
        <v>93</v>
      </c>
      <c r="BR2799" t="s">
        <v>94</v>
      </c>
    </row>
    <row r="2800" spans="1:70" x14ac:dyDescent="0.3">
      <c r="A2800" t="str">
        <f>"201941B0100"</f>
        <v>201941B0100</v>
      </c>
      <c r="B2800" t="s">
        <v>5812</v>
      </c>
      <c r="C2800">
        <v>20</v>
      </c>
      <c r="D2800" t="s">
        <v>88</v>
      </c>
      <c r="E2800">
        <v>448</v>
      </c>
      <c r="F2800" t="s">
        <v>5806</v>
      </c>
      <c r="G2800">
        <v>1941</v>
      </c>
      <c r="H2800">
        <v>1</v>
      </c>
      <c r="I2800" t="s">
        <v>90</v>
      </c>
      <c r="J2800">
        <v>0</v>
      </c>
      <c r="K2800">
        <v>2</v>
      </c>
      <c r="L2800">
        <v>5</v>
      </c>
      <c r="M2800">
        <v>178</v>
      </c>
      <c r="N2800">
        <v>386</v>
      </c>
      <c r="O2800">
        <v>0</v>
      </c>
      <c r="P2800" t="s">
        <v>105</v>
      </c>
      <c r="Q2800">
        <v>1</v>
      </c>
      <c r="R2800">
        <v>116</v>
      </c>
      <c r="S2800">
        <v>90</v>
      </c>
      <c r="T2800">
        <v>1</v>
      </c>
      <c r="U2800">
        <v>4</v>
      </c>
      <c r="V2800">
        <v>2</v>
      </c>
      <c r="W2800">
        <v>0</v>
      </c>
      <c r="X2800">
        <v>1</v>
      </c>
      <c r="Y2800">
        <v>144</v>
      </c>
      <c r="Z2800">
        <v>4</v>
      </c>
      <c r="AC2800">
        <v>1</v>
      </c>
      <c r="AD2800">
        <v>0</v>
      </c>
      <c r="AE2800">
        <v>0</v>
      </c>
      <c r="AF2800">
        <v>1</v>
      </c>
      <c r="AG2800">
        <v>2</v>
      </c>
      <c r="AH2800">
        <v>1</v>
      </c>
      <c r="AI2800">
        <v>0</v>
      </c>
      <c r="AJ2800">
        <v>0</v>
      </c>
      <c r="AK2800">
        <v>2</v>
      </c>
      <c r="AL2800">
        <v>3</v>
      </c>
      <c r="AM2800">
        <v>2</v>
      </c>
      <c r="AN2800">
        <v>1</v>
      </c>
      <c r="BC2800">
        <v>0</v>
      </c>
      <c r="BD2800">
        <v>10</v>
      </c>
      <c r="BE2800">
        <v>386</v>
      </c>
      <c r="BF2800">
        <v>386</v>
      </c>
      <c r="BG2800">
        <v>542</v>
      </c>
      <c r="BJ2800">
        <v>1</v>
      </c>
      <c r="BL2800" t="s">
        <v>5813</v>
      </c>
      <c r="BM2800" s="4">
        <v>43283.184236111112</v>
      </c>
      <c r="BN2800" s="4">
        <v>43283.201053240744</v>
      </c>
      <c r="BO2800" s="4">
        <v>43283.201053240744</v>
      </c>
      <c r="BP2800" t="s">
        <v>92</v>
      </c>
      <c r="BQ2800" t="s">
        <v>93</v>
      </c>
      <c r="BR2800" t="s">
        <v>94</v>
      </c>
    </row>
    <row r="2801" spans="1:70" x14ac:dyDescent="0.3">
      <c r="A2801" t="str">
        <f>"201941C0100"</f>
        <v>201941C0100</v>
      </c>
      <c r="B2801" t="s">
        <v>5814</v>
      </c>
      <c r="C2801">
        <v>20</v>
      </c>
      <c r="D2801" t="s">
        <v>88</v>
      </c>
      <c r="E2801">
        <v>448</v>
      </c>
      <c r="F2801" t="s">
        <v>5806</v>
      </c>
      <c r="G2801">
        <v>1941</v>
      </c>
      <c r="H2801">
        <v>1</v>
      </c>
      <c r="I2801" t="s">
        <v>98</v>
      </c>
      <c r="J2801">
        <v>0</v>
      </c>
      <c r="K2801">
        <v>2</v>
      </c>
      <c r="L2801">
        <v>5</v>
      </c>
      <c r="M2801">
        <v>204</v>
      </c>
      <c r="N2801">
        <v>360</v>
      </c>
      <c r="O2801">
        <v>0</v>
      </c>
      <c r="P2801">
        <v>359</v>
      </c>
      <c r="Q2801">
        <v>1</v>
      </c>
      <c r="R2801">
        <v>128</v>
      </c>
      <c r="S2801">
        <v>78</v>
      </c>
      <c r="T2801">
        <v>1</v>
      </c>
      <c r="U2801">
        <v>5</v>
      </c>
      <c r="V2801">
        <v>4</v>
      </c>
      <c r="W2801">
        <v>1</v>
      </c>
      <c r="X2801">
        <v>1</v>
      </c>
      <c r="Y2801">
        <v>110</v>
      </c>
      <c r="Z2801">
        <v>3</v>
      </c>
      <c r="AC2801">
        <v>1</v>
      </c>
      <c r="AD2801">
        <v>1</v>
      </c>
      <c r="AE2801">
        <v>0</v>
      </c>
      <c r="AF2801">
        <v>0</v>
      </c>
      <c r="AG2801">
        <v>1</v>
      </c>
      <c r="AH2801">
        <v>3</v>
      </c>
      <c r="AI2801">
        <v>1</v>
      </c>
      <c r="AJ2801">
        <v>0</v>
      </c>
      <c r="AK2801">
        <v>4</v>
      </c>
      <c r="AL2801">
        <v>0</v>
      </c>
      <c r="AM2801">
        <v>0</v>
      </c>
      <c r="AN2801">
        <v>1</v>
      </c>
      <c r="BC2801">
        <v>0</v>
      </c>
      <c r="BD2801">
        <v>15</v>
      </c>
      <c r="BE2801">
        <v>359</v>
      </c>
      <c r="BF2801">
        <v>359</v>
      </c>
      <c r="BG2801">
        <v>542</v>
      </c>
      <c r="BJ2801">
        <v>1</v>
      </c>
      <c r="BL2801" t="s">
        <v>5815</v>
      </c>
      <c r="BM2801" s="4">
        <v>43283.186064814814</v>
      </c>
      <c r="BN2801" s="4">
        <v>43283.203483796293</v>
      </c>
      <c r="BO2801" s="4">
        <v>43283.203483796293</v>
      </c>
      <c r="BP2801" t="s">
        <v>92</v>
      </c>
      <c r="BQ2801" t="s">
        <v>93</v>
      </c>
      <c r="BR2801" t="s">
        <v>94</v>
      </c>
    </row>
    <row r="2802" spans="1:70" x14ac:dyDescent="0.3">
      <c r="A2802" t="str">
        <f>"201941C0200"</f>
        <v>201941C0200</v>
      </c>
      <c r="B2802" t="s">
        <v>5816</v>
      </c>
      <c r="C2802">
        <v>20</v>
      </c>
      <c r="D2802" t="s">
        <v>88</v>
      </c>
      <c r="E2802">
        <v>448</v>
      </c>
      <c r="F2802" t="s">
        <v>5806</v>
      </c>
      <c r="G2802">
        <v>1941</v>
      </c>
      <c r="H2802">
        <v>2</v>
      </c>
      <c r="I2802" t="s">
        <v>98</v>
      </c>
      <c r="J2802">
        <v>0</v>
      </c>
      <c r="K2802">
        <v>2</v>
      </c>
      <c r="L2802">
        <v>5</v>
      </c>
      <c r="M2802">
        <v>209</v>
      </c>
      <c r="N2802">
        <v>356</v>
      </c>
      <c r="O2802">
        <v>2</v>
      </c>
      <c r="P2802">
        <v>356</v>
      </c>
      <c r="Q2802">
        <v>2</v>
      </c>
      <c r="R2802">
        <v>124</v>
      </c>
      <c r="S2802">
        <v>81</v>
      </c>
      <c r="T2802">
        <v>0</v>
      </c>
      <c r="U2802">
        <v>4</v>
      </c>
      <c r="V2802">
        <v>0</v>
      </c>
      <c r="W2802">
        <v>2</v>
      </c>
      <c r="X2802">
        <v>1</v>
      </c>
      <c r="Y2802">
        <v>114</v>
      </c>
      <c r="Z2802">
        <v>3</v>
      </c>
      <c r="AC2802">
        <v>2</v>
      </c>
      <c r="AD2802">
        <v>0</v>
      </c>
      <c r="AE2802">
        <v>0</v>
      </c>
      <c r="AF2802">
        <v>2</v>
      </c>
      <c r="AG2802">
        <v>2</v>
      </c>
      <c r="AH2802">
        <v>3</v>
      </c>
      <c r="AI2802">
        <v>1</v>
      </c>
      <c r="AJ2802">
        <v>0</v>
      </c>
      <c r="AK2802">
        <v>3</v>
      </c>
      <c r="AL2802">
        <v>0</v>
      </c>
      <c r="AM2802">
        <v>0</v>
      </c>
      <c r="AN2802">
        <v>0</v>
      </c>
      <c r="BC2802">
        <v>0</v>
      </c>
      <c r="BD2802">
        <v>12</v>
      </c>
      <c r="BE2802">
        <v>356</v>
      </c>
      <c r="BF2802">
        <v>356</v>
      </c>
      <c r="BG2802">
        <v>542</v>
      </c>
      <c r="BJ2802">
        <v>1</v>
      </c>
      <c r="BL2802" t="s">
        <v>5817</v>
      </c>
      <c r="BM2802" s="4">
        <v>43283.18136574074</v>
      </c>
      <c r="BN2802" s="4">
        <v>43283.198645833334</v>
      </c>
      <c r="BO2802" s="4">
        <v>43283.198645833334</v>
      </c>
      <c r="BP2802" t="s">
        <v>92</v>
      </c>
      <c r="BQ2802" t="s">
        <v>93</v>
      </c>
      <c r="BR2802" t="s">
        <v>94</v>
      </c>
    </row>
    <row r="2803" spans="1:70" x14ac:dyDescent="0.3">
      <c r="A2803" t="str">
        <f>"201942B0100"</f>
        <v>201942B0100</v>
      </c>
      <c r="B2803" t="s">
        <v>5818</v>
      </c>
      <c r="C2803">
        <v>20</v>
      </c>
      <c r="D2803" t="s">
        <v>88</v>
      </c>
      <c r="E2803">
        <v>448</v>
      </c>
      <c r="F2803" t="s">
        <v>5806</v>
      </c>
      <c r="G2803">
        <v>1942</v>
      </c>
      <c r="H2803">
        <v>1</v>
      </c>
      <c r="I2803" t="s">
        <v>90</v>
      </c>
      <c r="J2803">
        <v>0</v>
      </c>
      <c r="K2803">
        <v>2</v>
      </c>
      <c r="L2803">
        <v>5</v>
      </c>
      <c r="M2803">
        <v>215</v>
      </c>
      <c r="N2803">
        <v>418</v>
      </c>
      <c r="O2803">
        <v>6</v>
      </c>
      <c r="P2803">
        <v>418</v>
      </c>
      <c r="Q2803">
        <v>2</v>
      </c>
      <c r="R2803">
        <v>132</v>
      </c>
      <c r="S2803">
        <v>81</v>
      </c>
      <c r="T2803">
        <v>3</v>
      </c>
      <c r="U2803">
        <v>6</v>
      </c>
      <c r="V2803">
        <v>3</v>
      </c>
      <c r="W2803">
        <v>4</v>
      </c>
      <c r="X2803">
        <v>1</v>
      </c>
      <c r="Y2803">
        <v>152</v>
      </c>
      <c r="Z2803">
        <v>2</v>
      </c>
      <c r="AC2803" t="s">
        <v>105</v>
      </c>
      <c r="AD2803" t="s">
        <v>105</v>
      </c>
      <c r="AE2803">
        <v>1</v>
      </c>
      <c r="AF2803" t="s">
        <v>105</v>
      </c>
      <c r="AG2803">
        <v>1</v>
      </c>
      <c r="AH2803">
        <v>3</v>
      </c>
      <c r="AI2803">
        <v>5</v>
      </c>
      <c r="AJ2803" t="s">
        <v>105</v>
      </c>
      <c r="AK2803">
        <v>6</v>
      </c>
      <c r="AL2803">
        <v>2</v>
      </c>
      <c r="AM2803">
        <v>6</v>
      </c>
      <c r="AN2803">
        <v>2</v>
      </c>
      <c r="BC2803" t="s">
        <v>105</v>
      </c>
      <c r="BD2803">
        <v>16</v>
      </c>
      <c r="BE2803">
        <v>428</v>
      </c>
      <c r="BF2803">
        <v>428</v>
      </c>
      <c r="BG2803">
        <v>611</v>
      </c>
      <c r="BI2803" t="s">
        <v>106</v>
      </c>
      <c r="BJ2803">
        <v>1</v>
      </c>
      <c r="BL2803" t="s">
        <v>5819</v>
      </c>
      <c r="BM2803" s="4">
        <v>43283.352858796294</v>
      </c>
      <c r="BN2803" s="4">
        <v>43283.385358796295</v>
      </c>
      <c r="BO2803" s="4">
        <v>43283.385358796295</v>
      </c>
      <c r="BP2803" t="s">
        <v>92</v>
      </c>
      <c r="BQ2803" t="s">
        <v>93</v>
      </c>
      <c r="BR2803" t="s">
        <v>94</v>
      </c>
    </row>
    <row r="2804" spans="1:70" x14ac:dyDescent="0.3">
      <c r="A2804" t="str">
        <f>"201942C0100"</f>
        <v>201942C0100</v>
      </c>
      <c r="B2804" t="s">
        <v>5820</v>
      </c>
      <c r="C2804">
        <v>20</v>
      </c>
      <c r="D2804" t="s">
        <v>88</v>
      </c>
      <c r="E2804">
        <v>448</v>
      </c>
      <c r="F2804" t="s">
        <v>5806</v>
      </c>
      <c r="G2804">
        <v>1942</v>
      </c>
      <c r="H2804">
        <v>1</v>
      </c>
      <c r="I2804" t="s">
        <v>98</v>
      </c>
      <c r="J2804">
        <v>0</v>
      </c>
      <c r="K2804">
        <v>2</v>
      </c>
      <c r="L2804">
        <v>5</v>
      </c>
      <c r="M2804">
        <v>203</v>
      </c>
      <c r="N2804">
        <v>429</v>
      </c>
      <c r="O2804">
        <v>0</v>
      </c>
      <c r="P2804">
        <v>429</v>
      </c>
      <c r="Q2804">
        <v>1</v>
      </c>
      <c r="R2804">
        <v>155</v>
      </c>
      <c r="S2804">
        <v>89</v>
      </c>
      <c r="T2804">
        <v>2</v>
      </c>
      <c r="U2804">
        <v>8</v>
      </c>
      <c r="V2804">
        <v>3</v>
      </c>
      <c r="W2804">
        <v>0</v>
      </c>
      <c r="X2804">
        <v>2</v>
      </c>
      <c r="Y2804">
        <v>135</v>
      </c>
      <c r="Z2804">
        <v>1</v>
      </c>
      <c r="AC2804" t="s">
        <v>105</v>
      </c>
      <c r="AD2804" t="s">
        <v>105</v>
      </c>
      <c r="AE2804" t="s">
        <v>105</v>
      </c>
      <c r="AF2804">
        <v>2</v>
      </c>
      <c r="AG2804">
        <v>1</v>
      </c>
      <c r="AH2804">
        <v>4</v>
      </c>
      <c r="AI2804">
        <v>1</v>
      </c>
      <c r="AJ2804">
        <v>0</v>
      </c>
      <c r="AK2804">
        <v>3</v>
      </c>
      <c r="AL2804">
        <v>2</v>
      </c>
      <c r="AM2804" t="s">
        <v>105</v>
      </c>
      <c r="AN2804">
        <v>3</v>
      </c>
      <c r="BC2804" t="s">
        <v>105</v>
      </c>
      <c r="BD2804">
        <v>17</v>
      </c>
      <c r="BE2804">
        <v>429</v>
      </c>
      <c r="BF2804">
        <v>429</v>
      </c>
      <c r="BG2804">
        <v>611</v>
      </c>
      <c r="BI2804" t="s">
        <v>106</v>
      </c>
      <c r="BJ2804">
        <v>1</v>
      </c>
      <c r="BL2804" t="s">
        <v>5821</v>
      </c>
      <c r="BM2804" s="4">
        <v>43283.355497685188</v>
      </c>
      <c r="BN2804" s="4">
        <v>43283.366736111115</v>
      </c>
      <c r="BO2804" s="4">
        <v>43283.366736111115</v>
      </c>
      <c r="BP2804" t="s">
        <v>92</v>
      </c>
      <c r="BQ2804" t="s">
        <v>93</v>
      </c>
      <c r="BR2804" t="s">
        <v>94</v>
      </c>
    </row>
    <row r="2805" spans="1:70" x14ac:dyDescent="0.3">
      <c r="A2805" t="str">
        <f>"201942C0200"</f>
        <v>201942C0200</v>
      </c>
      <c r="B2805" t="s">
        <v>5822</v>
      </c>
      <c r="C2805">
        <v>20</v>
      </c>
      <c r="D2805" t="s">
        <v>88</v>
      </c>
      <c r="E2805">
        <v>448</v>
      </c>
      <c r="F2805" t="s">
        <v>5806</v>
      </c>
      <c r="G2805">
        <v>1942</v>
      </c>
      <c r="H2805">
        <v>2</v>
      </c>
      <c r="I2805" t="s">
        <v>98</v>
      </c>
      <c r="J2805">
        <v>0</v>
      </c>
      <c r="K2805">
        <v>2</v>
      </c>
      <c r="L2805">
        <v>5</v>
      </c>
      <c r="M2805">
        <v>208</v>
      </c>
      <c r="N2805">
        <v>425</v>
      </c>
      <c r="O2805">
        <v>2</v>
      </c>
      <c r="P2805">
        <v>425</v>
      </c>
      <c r="Q2805">
        <v>4</v>
      </c>
      <c r="R2805">
        <v>134</v>
      </c>
      <c r="S2805">
        <v>80</v>
      </c>
      <c r="T2805">
        <v>4</v>
      </c>
      <c r="U2805">
        <v>9</v>
      </c>
      <c r="V2805">
        <v>1</v>
      </c>
      <c r="W2805">
        <v>4</v>
      </c>
      <c r="X2805">
        <v>0</v>
      </c>
      <c r="Y2805">
        <v>161</v>
      </c>
      <c r="Z2805">
        <v>3</v>
      </c>
      <c r="AC2805">
        <v>0</v>
      </c>
      <c r="AD2805">
        <v>1</v>
      </c>
      <c r="AE2805">
        <v>0</v>
      </c>
      <c r="AF2805">
        <v>0</v>
      </c>
      <c r="AG2805">
        <v>1</v>
      </c>
      <c r="AH2805">
        <v>1</v>
      </c>
      <c r="AI2805">
        <v>0</v>
      </c>
      <c r="AJ2805">
        <v>0</v>
      </c>
      <c r="AK2805">
        <v>6</v>
      </c>
      <c r="AL2805">
        <v>1</v>
      </c>
      <c r="AM2805">
        <v>1</v>
      </c>
      <c r="AN2805">
        <v>2</v>
      </c>
      <c r="BC2805">
        <v>0</v>
      </c>
      <c r="BD2805">
        <v>13</v>
      </c>
      <c r="BE2805">
        <v>426</v>
      </c>
      <c r="BF2805">
        <v>426</v>
      </c>
      <c r="BG2805">
        <v>610</v>
      </c>
      <c r="BJ2805">
        <v>1</v>
      </c>
      <c r="BL2805" s="2" t="s">
        <v>5823</v>
      </c>
      <c r="BM2805" s="4">
        <v>43283.165925925925</v>
      </c>
      <c r="BN2805" s="4">
        <v>43283.176689814813</v>
      </c>
      <c r="BO2805" s="4">
        <v>43283.176689814813</v>
      </c>
      <c r="BP2805" t="s">
        <v>92</v>
      </c>
      <c r="BQ2805" t="s">
        <v>93</v>
      </c>
      <c r="BR2805" t="s">
        <v>94</v>
      </c>
    </row>
    <row r="2806" spans="1:70" x14ac:dyDescent="0.3">
      <c r="A2806" t="str">
        <f>"201943B0100"</f>
        <v>201943B0100</v>
      </c>
      <c r="B2806" t="s">
        <v>5824</v>
      </c>
      <c r="C2806">
        <v>20</v>
      </c>
      <c r="D2806" t="s">
        <v>88</v>
      </c>
      <c r="E2806">
        <v>448</v>
      </c>
      <c r="F2806" t="s">
        <v>5806</v>
      </c>
      <c r="G2806">
        <v>1943</v>
      </c>
      <c r="H2806">
        <v>1</v>
      </c>
      <c r="I2806" t="s">
        <v>90</v>
      </c>
      <c r="J2806">
        <v>0</v>
      </c>
      <c r="K2806">
        <v>2</v>
      </c>
      <c r="L2806">
        <v>5</v>
      </c>
      <c r="M2806">
        <v>189</v>
      </c>
      <c r="N2806">
        <v>427</v>
      </c>
      <c r="O2806">
        <v>0</v>
      </c>
      <c r="P2806">
        <v>427</v>
      </c>
      <c r="Q2806">
        <v>1</v>
      </c>
      <c r="R2806">
        <v>101</v>
      </c>
      <c r="S2806">
        <v>136</v>
      </c>
      <c r="T2806">
        <v>59</v>
      </c>
      <c r="U2806">
        <v>3</v>
      </c>
      <c r="V2806">
        <v>1</v>
      </c>
      <c r="W2806">
        <v>2</v>
      </c>
      <c r="X2806">
        <v>3</v>
      </c>
      <c r="Y2806">
        <v>104</v>
      </c>
      <c r="Z2806">
        <v>1</v>
      </c>
      <c r="AC2806" t="s">
        <v>105</v>
      </c>
      <c r="AD2806" t="s">
        <v>105</v>
      </c>
      <c r="AE2806" t="s">
        <v>105</v>
      </c>
      <c r="AF2806" t="s">
        <v>105</v>
      </c>
      <c r="AG2806" t="s">
        <v>105</v>
      </c>
      <c r="AH2806">
        <v>3</v>
      </c>
      <c r="AI2806" t="s">
        <v>105</v>
      </c>
      <c r="AJ2806" t="s">
        <v>105</v>
      </c>
      <c r="AK2806" t="s">
        <v>105</v>
      </c>
      <c r="AL2806" t="s">
        <v>105</v>
      </c>
      <c r="AM2806" t="s">
        <v>105</v>
      </c>
      <c r="AN2806" t="s">
        <v>105</v>
      </c>
      <c r="BC2806" t="s">
        <v>105</v>
      </c>
      <c r="BD2806">
        <v>13</v>
      </c>
      <c r="BE2806">
        <v>427</v>
      </c>
      <c r="BF2806">
        <v>427</v>
      </c>
      <c r="BG2806">
        <v>594</v>
      </c>
      <c r="BI2806" t="s">
        <v>106</v>
      </c>
      <c r="BJ2806">
        <v>1</v>
      </c>
      <c r="BL2806" t="s">
        <v>5825</v>
      </c>
      <c r="BM2806" s="4">
        <v>43283.380509259259</v>
      </c>
      <c r="BN2806" s="4">
        <v>43283.383958333332</v>
      </c>
      <c r="BO2806" s="4">
        <v>43283.383958333332</v>
      </c>
      <c r="BP2806" t="s">
        <v>92</v>
      </c>
      <c r="BQ2806" t="s">
        <v>93</v>
      </c>
      <c r="BR2806" t="s">
        <v>94</v>
      </c>
    </row>
    <row r="2807" spans="1:70" x14ac:dyDescent="0.3">
      <c r="A2807" t="str">
        <f>"201943E0100"</f>
        <v>201943E0100</v>
      </c>
      <c r="B2807" s="2" t="s">
        <v>5826</v>
      </c>
      <c r="C2807">
        <v>20</v>
      </c>
      <c r="D2807" t="s">
        <v>88</v>
      </c>
      <c r="E2807">
        <v>448</v>
      </c>
      <c r="F2807" t="s">
        <v>5806</v>
      </c>
      <c r="G2807">
        <v>1943</v>
      </c>
      <c r="H2807">
        <v>1</v>
      </c>
      <c r="I2807" t="s">
        <v>156</v>
      </c>
      <c r="J2807">
        <v>0</v>
      </c>
      <c r="K2807">
        <v>2</v>
      </c>
      <c r="L2807">
        <v>5</v>
      </c>
      <c r="M2807">
        <v>200</v>
      </c>
      <c r="N2807">
        <v>397</v>
      </c>
      <c r="O2807" t="s">
        <v>105</v>
      </c>
      <c r="P2807">
        <v>387</v>
      </c>
      <c r="Q2807">
        <v>3</v>
      </c>
      <c r="R2807">
        <v>68</v>
      </c>
      <c r="S2807">
        <v>122</v>
      </c>
      <c r="T2807">
        <v>5</v>
      </c>
      <c r="U2807">
        <v>6</v>
      </c>
      <c r="V2807">
        <v>2</v>
      </c>
      <c r="W2807">
        <v>5</v>
      </c>
      <c r="X2807">
        <v>4</v>
      </c>
      <c r="Y2807">
        <v>140</v>
      </c>
      <c r="Z2807">
        <v>4</v>
      </c>
      <c r="AC2807">
        <v>1</v>
      </c>
      <c r="AD2807" t="s">
        <v>105</v>
      </c>
      <c r="AE2807" t="s">
        <v>105</v>
      </c>
      <c r="AF2807">
        <v>1</v>
      </c>
      <c r="AG2807" t="s">
        <v>105</v>
      </c>
      <c r="AH2807">
        <v>3</v>
      </c>
      <c r="AI2807" t="s">
        <v>105</v>
      </c>
      <c r="AJ2807" t="s">
        <v>105</v>
      </c>
      <c r="AK2807">
        <v>9</v>
      </c>
      <c r="AL2807">
        <v>2</v>
      </c>
      <c r="AM2807" t="s">
        <v>105</v>
      </c>
      <c r="AN2807">
        <v>5</v>
      </c>
      <c r="BC2807" t="s">
        <v>105</v>
      </c>
      <c r="BD2807">
        <v>17</v>
      </c>
      <c r="BE2807">
        <v>397</v>
      </c>
      <c r="BF2807">
        <v>397</v>
      </c>
      <c r="BG2807">
        <v>575</v>
      </c>
      <c r="BI2807" t="s">
        <v>106</v>
      </c>
      <c r="BJ2807">
        <v>1</v>
      </c>
      <c r="BL2807" t="s">
        <v>5827</v>
      </c>
      <c r="BM2807" s="4">
        <v>43283.383148148147</v>
      </c>
      <c r="BN2807" s="4">
        <v>43283.386701388888</v>
      </c>
      <c r="BO2807" s="4">
        <v>43283.386701388888</v>
      </c>
      <c r="BP2807" t="s">
        <v>92</v>
      </c>
      <c r="BQ2807" t="s">
        <v>93</v>
      </c>
      <c r="BR2807" t="s">
        <v>94</v>
      </c>
    </row>
    <row r="2808" spans="1:70" x14ac:dyDescent="0.3">
      <c r="A2808" t="str">
        <f>"201944B0100"</f>
        <v>201944B0100</v>
      </c>
      <c r="B2808" t="s">
        <v>5828</v>
      </c>
      <c r="C2808">
        <v>20</v>
      </c>
      <c r="D2808" t="s">
        <v>88</v>
      </c>
      <c r="E2808">
        <v>448</v>
      </c>
      <c r="F2808" t="s">
        <v>5806</v>
      </c>
      <c r="G2808">
        <v>1944</v>
      </c>
      <c r="H2808">
        <v>1</v>
      </c>
      <c r="I2808" t="s">
        <v>90</v>
      </c>
      <c r="J2808">
        <v>0</v>
      </c>
      <c r="K2808">
        <v>2</v>
      </c>
      <c r="L2808">
        <v>5</v>
      </c>
      <c r="M2808">
        <v>184</v>
      </c>
      <c r="N2808">
        <v>771</v>
      </c>
      <c r="O2808">
        <v>387</v>
      </c>
      <c r="P2808">
        <v>384</v>
      </c>
      <c r="Q2808">
        <v>1</v>
      </c>
      <c r="R2808">
        <v>105</v>
      </c>
      <c r="S2808">
        <v>34</v>
      </c>
      <c r="T2808">
        <v>18</v>
      </c>
      <c r="U2808">
        <v>10</v>
      </c>
      <c r="V2808">
        <v>1</v>
      </c>
      <c r="W2808">
        <v>4</v>
      </c>
      <c r="X2808">
        <v>17</v>
      </c>
      <c r="Y2808">
        <v>174</v>
      </c>
      <c r="Z2808">
        <v>2</v>
      </c>
      <c r="AC2808" t="s">
        <v>105</v>
      </c>
      <c r="AD2808" t="s">
        <v>105</v>
      </c>
      <c r="AE2808" t="s">
        <v>105</v>
      </c>
      <c r="AF2808" t="s">
        <v>105</v>
      </c>
      <c r="AG2808">
        <v>2</v>
      </c>
      <c r="AH2808">
        <v>2</v>
      </c>
      <c r="AI2808" t="s">
        <v>105</v>
      </c>
      <c r="AJ2808" t="s">
        <v>105</v>
      </c>
      <c r="AK2808">
        <v>1</v>
      </c>
      <c r="AL2808" t="s">
        <v>105</v>
      </c>
      <c r="AM2808">
        <v>1</v>
      </c>
      <c r="AN2808" t="s">
        <v>105</v>
      </c>
      <c r="BC2808" t="s">
        <v>105</v>
      </c>
      <c r="BD2808">
        <v>12</v>
      </c>
      <c r="BE2808" t="s">
        <v>105</v>
      </c>
      <c r="BF2808">
        <v>384</v>
      </c>
      <c r="BG2808">
        <v>549</v>
      </c>
      <c r="BI2808" t="s">
        <v>106</v>
      </c>
      <c r="BJ2808">
        <v>1</v>
      </c>
      <c r="BL2808" t="s">
        <v>5829</v>
      </c>
      <c r="BM2808" s="4">
        <v>43283.400671296295</v>
      </c>
      <c r="BN2808" s="4">
        <v>43283.405405092592</v>
      </c>
      <c r="BO2808" s="4">
        <v>43283.405405092592</v>
      </c>
      <c r="BP2808" t="s">
        <v>92</v>
      </c>
      <c r="BQ2808" t="s">
        <v>93</v>
      </c>
      <c r="BR2808" t="s">
        <v>94</v>
      </c>
    </row>
    <row r="2809" spans="1:70" x14ac:dyDescent="0.3">
      <c r="A2809" t="str">
        <f>"201944C0100"</f>
        <v>201944C0100</v>
      </c>
      <c r="B2809" t="s">
        <v>5830</v>
      </c>
      <c r="C2809">
        <v>20</v>
      </c>
      <c r="D2809" t="s">
        <v>88</v>
      </c>
      <c r="E2809">
        <v>448</v>
      </c>
      <c r="F2809" t="s">
        <v>5806</v>
      </c>
      <c r="G2809">
        <v>1944</v>
      </c>
      <c r="H2809">
        <v>1</v>
      </c>
      <c r="I2809" t="s">
        <v>98</v>
      </c>
      <c r="J2809">
        <v>0</v>
      </c>
      <c r="K2809">
        <v>2</v>
      </c>
      <c r="L2809">
        <v>5</v>
      </c>
      <c r="M2809">
        <v>193</v>
      </c>
      <c r="N2809">
        <v>376</v>
      </c>
      <c r="O2809">
        <v>2</v>
      </c>
      <c r="P2809">
        <v>376</v>
      </c>
      <c r="Q2809">
        <v>3</v>
      </c>
      <c r="R2809">
        <v>93</v>
      </c>
      <c r="S2809">
        <v>45</v>
      </c>
      <c r="T2809">
        <v>41</v>
      </c>
      <c r="U2809">
        <v>10</v>
      </c>
      <c r="V2809">
        <v>2</v>
      </c>
      <c r="W2809">
        <v>5</v>
      </c>
      <c r="X2809">
        <v>13</v>
      </c>
      <c r="Y2809">
        <v>138</v>
      </c>
      <c r="Z2809">
        <v>3</v>
      </c>
      <c r="AC2809">
        <v>1</v>
      </c>
      <c r="AD2809">
        <v>1</v>
      </c>
      <c r="AE2809">
        <v>0</v>
      </c>
      <c r="AF2809">
        <v>0</v>
      </c>
      <c r="AG2809">
        <v>2</v>
      </c>
      <c r="AH2809">
        <v>2</v>
      </c>
      <c r="AI2809">
        <v>0</v>
      </c>
      <c r="AJ2809">
        <v>0</v>
      </c>
      <c r="AK2809">
        <v>4</v>
      </c>
      <c r="AL2809">
        <v>1</v>
      </c>
      <c r="AM2809">
        <v>0</v>
      </c>
      <c r="AN2809">
        <v>1</v>
      </c>
      <c r="BC2809" t="s">
        <v>105</v>
      </c>
      <c r="BD2809">
        <v>11</v>
      </c>
      <c r="BE2809">
        <v>376</v>
      </c>
      <c r="BF2809">
        <v>376</v>
      </c>
      <c r="BG2809">
        <v>548</v>
      </c>
      <c r="BI2809" t="s">
        <v>106</v>
      </c>
      <c r="BJ2809">
        <v>1</v>
      </c>
      <c r="BL2809" t="s">
        <v>5831</v>
      </c>
      <c r="BM2809" s="4">
        <v>43283.407384259262</v>
      </c>
      <c r="BN2809" s="4">
        <v>43283.412592592591</v>
      </c>
      <c r="BO2809" s="4">
        <v>43283.412592592591</v>
      </c>
      <c r="BP2809" t="s">
        <v>92</v>
      </c>
      <c r="BQ2809" t="s">
        <v>93</v>
      </c>
      <c r="BR2809" t="s">
        <v>94</v>
      </c>
    </row>
    <row r="2810" spans="1:70" x14ac:dyDescent="0.3">
      <c r="A2810" t="str">
        <f>"201945B0100"</f>
        <v>201945B0100</v>
      </c>
      <c r="B2810" t="s">
        <v>5832</v>
      </c>
      <c r="C2810">
        <v>20</v>
      </c>
      <c r="D2810" t="s">
        <v>88</v>
      </c>
      <c r="E2810">
        <v>448</v>
      </c>
      <c r="F2810" t="s">
        <v>5806</v>
      </c>
      <c r="G2810">
        <v>1945</v>
      </c>
      <c r="H2810">
        <v>1</v>
      </c>
      <c r="I2810" t="s">
        <v>90</v>
      </c>
      <c r="J2810">
        <v>0</v>
      </c>
      <c r="K2810">
        <v>2</v>
      </c>
      <c r="L2810">
        <v>5</v>
      </c>
      <c r="M2810">
        <v>251</v>
      </c>
      <c r="N2810">
        <v>483</v>
      </c>
      <c r="O2810">
        <v>0</v>
      </c>
      <c r="P2810">
        <v>483</v>
      </c>
      <c r="Q2810">
        <v>7</v>
      </c>
      <c r="R2810">
        <v>111</v>
      </c>
      <c r="S2810">
        <v>72</v>
      </c>
      <c r="T2810">
        <v>60</v>
      </c>
      <c r="U2810">
        <v>23</v>
      </c>
      <c r="V2810">
        <v>5</v>
      </c>
      <c r="W2810">
        <v>2</v>
      </c>
      <c r="X2810">
        <v>1</v>
      </c>
      <c r="Y2810">
        <v>162</v>
      </c>
      <c r="Z2810">
        <v>4</v>
      </c>
      <c r="AC2810" t="s">
        <v>105</v>
      </c>
      <c r="AD2810">
        <v>1</v>
      </c>
      <c r="AE2810" t="s">
        <v>105</v>
      </c>
      <c r="AF2810">
        <v>1</v>
      </c>
      <c r="AG2810">
        <v>1</v>
      </c>
      <c r="AH2810">
        <v>3</v>
      </c>
      <c r="AI2810" t="s">
        <v>105</v>
      </c>
      <c r="AJ2810" t="s">
        <v>105</v>
      </c>
      <c r="AK2810">
        <v>6</v>
      </c>
      <c r="AL2810" t="s">
        <v>105</v>
      </c>
      <c r="AM2810">
        <v>1</v>
      </c>
      <c r="AN2810" t="s">
        <v>105</v>
      </c>
      <c r="BC2810" t="s">
        <v>105</v>
      </c>
      <c r="BD2810">
        <v>23</v>
      </c>
      <c r="BE2810">
        <v>483</v>
      </c>
      <c r="BF2810">
        <v>483</v>
      </c>
      <c r="BG2810">
        <v>712</v>
      </c>
      <c r="BI2810" t="s">
        <v>106</v>
      </c>
      <c r="BJ2810">
        <v>1</v>
      </c>
      <c r="BL2810" t="s">
        <v>5833</v>
      </c>
      <c r="BM2810" s="4">
        <v>43283.505613425928</v>
      </c>
      <c r="BN2810" s="4">
        <v>43283.511099537034</v>
      </c>
      <c r="BO2810" s="4">
        <v>43283.511099537034</v>
      </c>
      <c r="BP2810" t="s">
        <v>92</v>
      </c>
      <c r="BQ2810" t="s">
        <v>93</v>
      </c>
      <c r="BR2810" t="s">
        <v>94</v>
      </c>
    </row>
    <row r="2811" spans="1:70" x14ac:dyDescent="0.3">
      <c r="A2811" t="str">
        <f>"201946B0100"</f>
        <v>201946B0100</v>
      </c>
      <c r="B2811" t="s">
        <v>5834</v>
      </c>
      <c r="C2811">
        <v>20</v>
      </c>
      <c r="D2811" t="s">
        <v>88</v>
      </c>
      <c r="E2811">
        <v>448</v>
      </c>
      <c r="F2811" t="s">
        <v>5806</v>
      </c>
      <c r="G2811">
        <v>1946</v>
      </c>
      <c r="H2811">
        <v>1</v>
      </c>
      <c r="I2811" t="s">
        <v>90</v>
      </c>
      <c r="J2811">
        <v>0</v>
      </c>
      <c r="K2811">
        <v>2</v>
      </c>
      <c r="L2811">
        <v>5</v>
      </c>
      <c r="BG2811">
        <v>625</v>
      </c>
      <c r="BI2811" t="s">
        <v>122</v>
      </c>
      <c r="BJ2811">
        <v>0</v>
      </c>
      <c r="BL2811" t="s">
        <v>5835</v>
      </c>
      <c r="BM2811" s="4">
        <v>43283.575798611113</v>
      </c>
      <c r="BN2811" s="4">
        <v>43283.578263888892</v>
      </c>
      <c r="BO2811" s="4">
        <v>43283.578263888892</v>
      </c>
      <c r="BP2811" t="s">
        <v>92</v>
      </c>
      <c r="BQ2811" t="s">
        <v>93</v>
      </c>
      <c r="BR2811" t="s">
        <v>94</v>
      </c>
    </row>
    <row r="2812" spans="1:70" x14ac:dyDescent="0.3">
      <c r="A2812" t="str">
        <f>"201946C0100"</f>
        <v>201946C0100</v>
      </c>
      <c r="B2812" t="s">
        <v>5836</v>
      </c>
      <c r="C2812">
        <v>20</v>
      </c>
      <c r="D2812" t="s">
        <v>88</v>
      </c>
      <c r="E2812">
        <v>448</v>
      </c>
      <c r="F2812" t="s">
        <v>5806</v>
      </c>
      <c r="G2812">
        <v>1946</v>
      </c>
      <c r="H2812">
        <v>1</v>
      </c>
      <c r="I2812" t="s">
        <v>98</v>
      </c>
      <c r="J2812">
        <v>0</v>
      </c>
      <c r="K2812">
        <v>2</v>
      </c>
      <c r="L2812">
        <v>5</v>
      </c>
      <c r="M2812" t="s">
        <v>105</v>
      </c>
      <c r="N2812" t="s">
        <v>105</v>
      </c>
      <c r="O2812" t="s">
        <v>105</v>
      </c>
      <c r="P2812" t="s">
        <v>105</v>
      </c>
      <c r="Q2812">
        <v>4</v>
      </c>
      <c r="R2812">
        <v>70</v>
      </c>
      <c r="S2812">
        <v>141</v>
      </c>
      <c r="T2812">
        <v>37</v>
      </c>
      <c r="U2812">
        <v>8</v>
      </c>
      <c r="V2812">
        <v>4</v>
      </c>
      <c r="W2812">
        <v>5</v>
      </c>
      <c r="X2812">
        <v>3</v>
      </c>
      <c r="Y2812">
        <v>129</v>
      </c>
      <c r="Z2812">
        <v>2</v>
      </c>
      <c r="AC2812">
        <v>1</v>
      </c>
      <c r="AD2812">
        <v>1</v>
      </c>
      <c r="AE2812">
        <v>0</v>
      </c>
      <c r="AF2812">
        <v>0</v>
      </c>
      <c r="AG2812">
        <v>0</v>
      </c>
      <c r="AH2812">
        <v>4</v>
      </c>
      <c r="AI2812">
        <v>0</v>
      </c>
      <c r="AJ2812">
        <v>0</v>
      </c>
      <c r="AK2812">
        <v>6</v>
      </c>
      <c r="AL2812">
        <v>3</v>
      </c>
      <c r="AM2812">
        <v>0</v>
      </c>
      <c r="AN2812">
        <v>0</v>
      </c>
      <c r="BC2812" t="s">
        <v>105</v>
      </c>
      <c r="BD2812">
        <v>9</v>
      </c>
      <c r="BE2812" t="s">
        <v>127</v>
      </c>
      <c r="BF2812">
        <v>427</v>
      </c>
      <c r="BG2812">
        <v>624</v>
      </c>
      <c r="BI2812" t="s">
        <v>106</v>
      </c>
      <c r="BJ2812">
        <v>1</v>
      </c>
      <c r="BL2812" t="s">
        <v>5837</v>
      </c>
      <c r="BM2812" s="4">
        <v>43283.219259259262</v>
      </c>
      <c r="BN2812" s="4">
        <v>43283.240949074076</v>
      </c>
      <c r="BO2812" s="4">
        <v>43283.240949074076</v>
      </c>
      <c r="BP2812" t="s">
        <v>92</v>
      </c>
      <c r="BQ2812" t="s">
        <v>93</v>
      </c>
      <c r="BR2812" t="s">
        <v>94</v>
      </c>
    </row>
    <row r="2813" spans="1:70" x14ac:dyDescent="0.3">
      <c r="A2813" t="str">
        <f>"201947B0100"</f>
        <v>201947B0100</v>
      </c>
      <c r="B2813" t="s">
        <v>5838</v>
      </c>
      <c r="C2813">
        <v>20</v>
      </c>
      <c r="D2813" t="s">
        <v>88</v>
      </c>
      <c r="E2813">
        <v>448</v>
      </c>
      <c r="F2813" t="s">
        <v>5806</v>
      </c>
      <c r="G2813">
        <v>1947</v>
      </c>
      <c r="H2813">
        <v>1</v>
      </c>
      <c r="I2813" t="s">
        <v>90</v>
      </c>
      <c r="J2813">
        <v>0</v>
      </c>
      <c r="K2813">
        <v>2</v>
      </c>
      <c r="L2813">
        <v>5</v>
      </c>
      <c r="M2813">
        <v>290</v>
      </c>
      <c r="N2813">
        <v>306</v>
      </c>
      <c r="O2813">
        <v>0</v>
      </c>
      <c r="P2813">
        <v>312</v>
      </c>
      <c r="Q2813">
        <v>6</v>
      </c>
      <c r="R2813">
        <v>14</v>
      </c>
      <c r="S2813">
        <v>26</v>
      </c>
      <c r="T2813">
        <v>4</v>
      </c>
      <c r="U2813">
        <v>16</v>
      </c>
      <c r="V2813">
        <v>1</v>
      </c>
      <c r="W2813">
        <v>94</v>
      </c>
      <c r="X2813">
        <v>1</v>
      </c>
      <c r="Y2813">
        <v>98</v>
      </c>
      <c r="Z2813">
        <v>5</v>
      </c>
      <c r="AC2813">
        <v>1</v>
      </c>
      <c r="AD2813">
        <v>0</v>
      </c>
      <c r="AE2813">
        <v>0</v>
      </c>
      <c r="AF2813">
        <v>0</v>
      </c>
      <c r="AG2813">
        <v>0</v>
      </c>
      <c r="AH2813">
        <v>0</v>
      </c>
      <c r="AI2813">
        <v>0</v>
      </c>
      <c r="AJ2813">
        <v>0</v>
      </c>
      <c r="AK2813">
        <v>3</v>
      </c>
      <c r="AL2813">
        <v>0</v>
      </c>
      <c r="AM2813">
        <v>0</v>
      </c>
      <c r="AN2813">
        <v>0</v>
      </c>
      <c r="BC2813">
        <v>0</v>
      </c>
      <c r="BD2813">
        <v>43</v>
      </c>
      <c r="BE2813">
        <v>312</v>
      </c>
      <c r="BF2813">
        <v>312</v>
      </c>
      <c r="BG2813">
        <v>574</v>
      </c>
      <c r="BJ2813">
        <v>1</v>
      </c>
      <c r="BL2813" t="s">
        <v>5839</v>
      </c>
      <c r="BM2813" s="4">
        <v>43283.507708333331</v>
      </c>
      <c r="BN2813" s="4">
        <v>43283.513692129629</v>
      </c>
      <c r="BO2813" s="4">
        <v>43283.513692129629</v>
      </c>
      <c r="BP2813" t="s">
        <v>92</v>
      </c>
      <c r="BQ2813" t="s">
        <v>93</v>
      </c>
      <c r="BR2813" t="s">
        <v>94</v>
      </c>
    </row>
    <row r="2814" spans="1:70" x14ac:dyDescent="0.3">
      <c r="A2814" t="str">
        <f>"201947C0100"</f>
        <v>201947C0100</v>
      </c>
      <c r="B2814" t="s">
        <v>5840</v>
      </c>
      <c r="C2814">
        <v>20</v>
      </c>
      <c r="D2814" t="s">
        <v>88</v>
      </c>
      <c r="E2814">
        <v>448</v>
      </c>
      <c r="F2814" t="s">
        <v>5806</v>
      </c>
      <c r="G2814">
        <v>1947</v>
      </c>
      <c r="H2814">
        <v>1</v>
      </c>
      <c r="I2814" t="s">
        <v>98</v>
      </c>
      <c r="J2814">
        <v>0</v>
      </c>
      <c r="K2814">
        <v>2</v>
      </c>
      <c r="L2814">
        <v>5</v>
      </c>
      <c r="M2814">
        <v>304</v>
      </c>
      <c r="N2814">
        <v>291</v>
      </c>
      <c r="O2814">
        <v>0</v>
      </c>
      <c r="P2814">
        <v>291</v>
      </c>
      <c r="Q2814">
        <v>3</v>
      </c>
      <c r="R2814">
        <v>10</v>
      </c>
      <c r="S2814">
        <v>37</v>
      </c>
      <c r="T2814">
        <v>5</v>
      </c>
      <c r="U2814">
        <v>5</v>
      </c>
      <c r="V2814">
        <v>1</v>
      </c>
      <c r="W2814">
        <v>114</v>
      </c>
      <c r="X2814">
        <v>4</v>
      </c>
      <c r="Y2814">
        <v>67</v>
      </c>
      <c r="Z2814">
        <v>2</v>
      </c>
      <c r="AC2814">
        <v>0</v>
      </c>
      <c r="AD2814">
        <v>0</v>
      </c>
      <c r="AE2814">
        <v>0</v>
      </c>
      <c r="AF2814">
        <v>1</v>
      </c>
      <c r="AG2814">
        <v>0</v>
      </c>
      <c r="AH2814">
        <v>0</v>
      </c>
      <c r="AI2814">
        <v>0</v>
      </c>
      <c r="AJ2814">
        <v>0</v>
      </c>
      <c r="AK2814">
        <v>1</v>
      </c>
      <c r="AL2814">
        <v>1</v>
      </c>
      <c r="AM2814">
        <v>0</v>
      </c>
      <c r="AN2814">
        <v>2</v>
      </c>
      <c r="BC2814">
        <v>0</v>
      </c>
      <c r="BD2814">
        <v>37</v>
      </c>
      <c r="BE2814">
        <v>291</v>
      </c>
      <c r="BF2814">
        <v>290</v>
      </c>
      <c r="BG2814">
        <v>573</v>
      </c>
      <c r="BJ2814">
        <v>1</v>
      </c>
      <c r="BL2814" t="s">
        <v>5841</v>
      </c>
      <c r="BM2814" s="4">
        <v>43283.510289351849</v>
      </c>
      <c r="BN2814" s="4">
        <v>43283.513969907406</v>
      </c>
      <c r="BO2814" s="4">
        <v>43283.513969907406</v>
      </c>
      <c r="BP2814" t="s">
        <v>92</v>
      </c>
      <c r="BQ2814" t="s">
        <v>93</v>
      </c>
      <c r="BR2814" t="s">
        <v>94</v>
      </c>
    </row>
    <row r="2815" spans="1:70" x14ac:dyDescent="0.3">
      <c r="A2815" t="str">
        <f>"201948B0100"</f>
        <v>201948B0100</v>
      </c>
      <c r="B2815" t="s">
        <v>5842</v>
      </c>
      <c r="C2815">
        <v>20</v>
      </c>
      <c r="D2815" t="s">
        <v>88</v>
      </c>
      <c r="E2815">
        <v>448</v>
      </c>
      <c r="F2815" t="s">
        <v>5806</v>
      </c>
      <c r="G2815">
        <v>1948</v>
      </c>
      <c r="H2815">
        <v>1</v>
      </c>
      <c r="I2815" t="s">
        <v>90</v>
      </c>
      <c r="J2815">
        <v>0</v>
      </c>
      <c r="K2815">
        <v>2</v>
      </c>
      <c r="L2815">
        <v>5</v>
      </c>
      <c r="M2815">
        <v>125</v>
      </c>
      <c r="N2815">
        <v>364</v>
      </c>
      <c r="O2815">
        <v>0</v>
      </c>
      <c r="P2815">
        <v>364</v>
      </c>
      <c r="Q2815">
        <v>0</v>
      </c>
      <c r="R2815">
        <v>127</v>
      </c>
      <c r="S2815">
        <v>63</v>
      </c>
      <c r="T2815">
        <v>3</v>
      </c>
      <c r="U2815">
        <v>6</v>
      </c>
      <c r="V2815">
        <v>0</v>
      </c>
      <c r="W2815">
        <v>2</v>
      </c>
      <c r="X2815">
        <v>0</v>
      </c>
      <c r="Y2815">
        <v>135</v>
      </c>
      <c r="Z2815">
        <v>4</v>
      </c>
      <c r="AC2815">
        <v>0</v>
      </c>
      <c r="AD2815">
        <v>0</v>
      </c>
      <c r="AE2815">
        <v>0</v>
      </c>
      <c r="AF2815">
        <v>0</v>
      </c>
      <c r="AG2815">
        <v>0</v>
      </c>
      <c r="AH2815">
        <v>4</v>
      </c>
      <c r="AI2815">
        <v>0</v>
      </c>
      <c r="AJ2815">
        <v>0</v>
      </c>
      <c r="AK2815">
        <v>2</v>
      </c>
      <c r="AL2815">
        <v>1</v>
      </c>
      <c r="AM2815">
        <v>0</v>
      </c>
      <c r="AN2815">
        <v>1</v>
      </c>
      <c r="BC2815">
        <v>0</v>
      </c>
      <c r="BD2815">
        <v>16</v>
      </c>
      <c r="BE2815">
        <v>364</v>
      </c>
      <c r="BF2815">
        <v>364</v>
      </c>
      <c r="BG2815">
        <v>467</v>
      </c>
      <c r="BJ2815">
        <v>1</v>
      </c>
      <c r="BL2815" t="s">
        <v>5843</v>
      </c>
      <c r="BM2815" s="4">
        <v>43283.495937500003</v>
      </c>
      <c r="BN2815" s="4">
        <v>43283.499791666669</v>
      </c>
      <c r="BO2815" s="4">
        <v>43283.499791666669</v>
      </c>
      <c r="BP2815" t="s">
        <v>92</v>
      </c>
      <c r="BQ2815" t="s">
        <v>93</v>
      </c>
      <c r="BR2815" t="s">
        <v>94</v>
      </c>
    </row>
    <row r="2816" spans="1:70" x14ac:dyDescent="0.3">
      <c r="A2816" t="str">
        <f>"201948E0100"</f>
        <v>201948E0100</v>
      </c>
      <c r="B2816" s="2" t="s">
        <v>5844</v>
      </c>
      <c r="C2816">
        <v>20</v>
      </c>
      <c r="D2816" t="s">
        <v>88</v>
      </c>
      <c r="E2816">
        <v>448</v>
      </c>
      <c r="F2816" t="s">
        <v>5806</v>
      </c>
      <c r="G2816">
        <v>1948</v>
      </c>
      <c r="H2816">
        <v>1</v>
      </c>
      <c r="I2816" t="s">
        <v>156</v>
      </c>
      <c r="J2816">
        <v>0</v>
      </c>
      <c r="K2816">
        <v>2</v>
      </c>
      <c r="L2816">
        <v>5</v>
      </c>
      <c r="M2816">
        <v>83</v>
      </c>
      <c r="N2816">
        <v>139</v>
      </c>
      <c r="O2816">
        <v>0</v>
      </c>
      <c r="P2816">
        <v>139</v>
      </c>
      <c r="Q2816">
        <v>0</v>
      </c>
      <c r="R2816">
        <v>71</v>
      </c>
      <c r="S2816">
        <v>29</v>
      </c>
      <c r="T2816">
        <v>1</v>
      </c>
      <c r="U2816">
        <v>1</v>
      </c>
      <c r="V2816">
        <v>0</v>
      </c>
      <c r="W2816">
        <v>2</v>
      </c>
      <c r="X2816">
        <v>0</v>
      </c>
      <c r="Y2816">
        <v>26</v>
      </c>
      <c r="Z2816">
        <v>1</v>
      </c>
      <c r="AC2816">
        <v>0</v>
      </c>
      <c r="AD2816">
        <v>0</v>
      </c>
      <c r="AE2816">
        <v>0</v>
      </c>
      <c r="AF2816">
        <v>0</v>
      </c>
      <c r="AG2816">
        <v>1</v>
      </c>
      <c r="AH2816">
        <v>4</v>
      </c>
      <c r="AI2816">
        <v>0</v>
      </c>
      <c r="AJ2816">
        <v>0</v>
      </c>
      <c r="AK2816">
        <v>1</v>
      </c>
      <c r="AL2816">
        <v>0</v>
      </c>
      <c r="AM2816">
        <v>0</v>
      </c>
      <c r="AN2816">
        <v>0</v>
      </c>
      <c r="BC2816">
        <v>0</v>
      </c>
      <c r="BD2816">
        <v>2</v>
      </c>
      <c r="BE2816">
        <v>139</v>
      </c>
      <c r="BF2816">
        <v>139</v>
      </c>
      <c r="BG2816">
        <v>200</v>
      </c>
      <c r="BJ2816">
        <v>1</v>
      </c>
      <c r="BL2816" t="s">
        <v>5845</v>
      </c>
      <c r="BM2816" s="4">
        <v>43283.496863425928</v>
      </c>
      <c r="BN2816" s="4">
        <v>43283.500879629632</v>
      </c>
      <c r="BO2816" s="4">
        <v>43283.500879629632</v>
      </c>
      <c r="BP2816" t="s">
        <v>92</v>
      </c>
      <c r="BQ2816" t="s">
        <v>93</v>
      </c>
      <c r="BR2816" t="s">
        <v>94</v>
      </c>
    </row>
    <row r="2817" spans="1:70" x14ac:dyDescent="0.3">
      <c r="A2817" t="str">
        <f>"201949B0100"</f>
        <v>201949B0100</v>
      </c>
      <c r="B2817" t="s">
        <v>5846</v>
      </c>
      <c r="C2817">
        <v>20</v>
      </c>
      <c r="D2817" t="s">
        <v>88</v>
      </c>
      <c r="E2817">
        <v>448</v>
      </c>
      <c r="F2817" t="s">
        <v>5806</v>
      </c>
      <c r="G2817">
        <v>1949</v>
      </c>
      <c r="H2817">
        <v>1</v>
      </c>
      <c r="I2817" t="s">
        <v>90</v>
      </c>
      <c r="J2817">
        <v>0</v>
      </c>
      <c r="K2817">
        <v>2</v>
      </c>
      <c r="L2817">
        <v>5</v>
      </c>
      <c r="M2817">
        <v>244</v>
      </c>
      <c r="N2817" t="s">
        <v>105</v>
      </c>
      <c r="O2817" t="s">
        <v>105</v>
      </c>
      <c r="P2817" t="s">
        <v>105</v>
      </c>
      <c r="Q2817">
        <v>5</v>
      </c>
      <c r="R2817">
        <v>213</v>
      </c>
      <c r="S2817">
        <v>73</v>
      </c>
      <c r="T2817">
        <v>3</v>
      </c>
      <c r="U2817">
        <v>4</v>
      </c>
      <c r="V2817">
        <v>2</v>
      </c>
      <c r="W2817">
        <v>2</v>
      </c>
      <c r="X2817">
        <v>3</v>
      </c>
      <c r="Y2817">
        <v>74</v>
      </c>
      <c r="Z2817">
        <v>3</v>
      </c>
      <c r="AC2817">
        <v>0</v>
      </c>
      <c r="AD2817">
        <v>0</v>
      </c>
      <c r="AE2817">
        <v>0</v>
      </c>
      <c r="AF2817">
        <v>0</v>
      </c>
      <c r="AG2817">
        <v>1</v>
      </c>
      <c r="AH2817">
        <v>3</v>
      </c>
      <c r="AI2817">
        <v>1</v>
      </c>
      <c r="AJ2817">
        <v>0</v>
      </c>
      <c r="AK2817">
        <v>1</v>
      </c>
      <c r="AL2817">
        <v>0</v>
      </c>
      <c r="AM2817">
        <v>0</v>
      </c>
      <c r="AN2817">
        <v>0</v>
      </c>
      <c r="BC2817" t="s">
        <v>105</v>
      </c>
      <c r="BD2817">
        <v>17</v>
      </c>
      <c r="BE2817">
        <v>391</v>
      </c>
      <c r="BF2817">
        <v>405</v>
      </c>
      <c r="BG2817">
        <v>628</v>
      </c>
      <c r="BI2817" t="s">
        <v>106</v>
      </c>
      <c r="BJ2817">
        <v>1</v>
      </c>
      <c r="BL2817" t="s">
        <v>5847</v>
      </c>
      <c r="BM2817" s="4">
        <v>43283.499050925922</v>
      </c>
      <c r="BN2817" s="4">
        <v>43283.506863425922</v>
      </c>
      <c r="BO2817" s="4">
        <v>43283.506863425922</v>
      </c>
      <c r="BP2817" t="s">
        <v>92</v>
      </c>
      <c r="BQ2817" t="s">
        <v>93</v>
      </c>
      <c r="BR2817" t="s">
        <v>94</v>
      </c>
    </row>
    <row r="2818" spans="1:70" x14ac:dyDescent="0.3">
      <c r="A2818" t="str">
        <f>"201971B0100"</f>
        <v>201971B0100</v>
      </c>
      <c r="B2818" t="s">
        <v>5848</v>
      </c>
      <c r="C2818">
        <v>20</v>
      </c>
      <c r="D2818" t="s">
        <v>88</v>
      </c>
      <c r="E2818">
        <v>456</v>
      </c>
      <c r="F2818" t="s">
        <v>5849</v>
      </c>
      <c r="G2818">
        <v>1971</v>
      </c>
      <c r="H2818">
        <v>1</v>
      </c>
      <c r="I2818" t="s">
        <v>90</v>
      </c>
      <c r="J2818">
        <v>0</v>
      </c>
      <c r="K2818">
        <v>2</v>
      </c>
      <c r="L2818">
        <v>5</v>
      </c>
      <c r="M2818">
        <v>264</v>
      </c>
      <c r="N2818">
        <v>448</v>
      </c>
      <c r="O2818">
        <v>0</v>
      </c>
      <c r="P2818">
        <v>448</v>
      </c>
      <c r="Q2818">
        <v>166</v>
      </c>
      <c r="R2818">
        <v>232</v>
      </c>
      <c r="S2818">
        <v>7</v>
      </c>
      <c r="T2818">
        <v>0</v>
      </c>
      <c r="U2818">
        <v>2</v>
      </c>
      <c r="V2818">
        <v>1</v>
      </c>
      <c r="X2818">
        <v>1</v>
      </c>
      <c r="Y2818">
        <v>7</v>
      </c>
      <c r="Z2818">
        <v>0</v>
      </c>
      <c r="AC2818">
        <v>4</v>
      </c>
      <c r="AD2818">
        <v>0</v>
      </c>
      <c r="AE2818">
        <v>0</v>
      </c>
      <c r="AF2818">
        <v>0</v>
      </c>
      <c r="AG2818">
        <v>0</v>
      </c>
      <c r="AH2818">
        <v>0</v>
      </c>
      <c r="AI2818">
        <v>0</v>
      </c>
      <c r="AJ2818">
        <v>0</v>
      </c>
      <c r="AK2818">
        <v>2</v>
      </c>
      <c r="AL2818">
        <v>0</v>
      </c>
      <c r="AM2818">
        <v>0</v>
      </c>
      <c r="AN2818">
        <v>0</v>
      </c>
      <c r="BC2818" t="s">
        <v>105</v>
      </c>
      <c r="BD2818">
        <v>26</v>
      </c>
      <c r="BE2818">
        <v>448</v>
      </c>
      <c r="BF2818">
        <v>448</v>
      </c>
      <c r="BG2818">
        <v>692</v>
      </c>
      <c r="BI2818" t="s">
        <v>106</v>
      </c>
      <c r="BJ2818">
        <v>1</v>
      </c>
      <c r="BL2818" t="s">
        <v>5850</v>
      </c>
      <c r="BM2818" s="4">
        <v>43283.272916666669</v>
      </c>
      <c r="BN2818" s="4">
        <v>43283.299629629626</v>
      </c>
      <c r="BO2818" s="4">
        <v>43283.299629629626</v>
      </c>
      <c r="BP2818" t="s">
        <v>92</v>
      </c>
      <c r="BQ2818" t="s">
        <v>93</v>
      </c>
      <c r="BR2818" t="s">
        <v>94</v>
      </c>
    </row>
    <row r="2819" spans="1:70" x14ac:dyDescent="0.3">
      <c r="A2819" t="str">
        <f>"201971C0100"</f>
        <v>201971C0100</v>
      </c>
      <c r="B2819" t="s">
        <v>5851</v>
      </c>
      <c r="C2819">
        <v>20</v>
      </c>
      <c r="D2819" t="s">
        <v>88</v>
      </c>
      <c r="E2819">
        <v>456</v>
      </c>
      <c r="F2819" t="s">
        <v>5849</v>
      </c>
      <c r="G2819">
        <v>1971</v>
      </c>
      <c r="H2819">
        <v>1</v>
      </c>
      <c r="I2819" t="s">
        <v>98</v>
      </c>
      <c r="J2819">
        <v>0</v>
      </c>
      <c r="K2819">
        <v>2</v>
      </c>
      <c r="L2819">
        <v>5</v>
      </c>
      <c r="M2819">
        <v>250</v>
      </c>
      <c r="N2819" t="s">
        <v>105</v>
      </c>
      <c r="O2819" t="s">
        <v>105</v>
      </c>
      <c r="P2819" t="s">
        <v>105</v>
      </c>
      <c r="Q2819">
        <v>221</v>
      </c>
      <c r="R2819">
        <v>190</v>
      </c>
      <c r="S2819">
        <v>4</v>
      </c>
      <c r="T2819">
        <v>1</v>
      </c>
      <c r="U2819">
        <v>0</v>
      </c>
      <c r="V2819">
        <v>1</v>
      </c>
      <c r="X2819">
        <v>2</v>
      </c>
      <c r="Y2819">
        <v>12</v>
      </c>
      <c r="Z2819">
        <v>1</v>
      </c>
      <c r="AC2819">
        <v>2</v>
      </c>
      <c r="AD2819">
        <v>3</v>
      </c>
      <c r="AE2819">
        <v>0</v>
      </c>
      <c r="AF2819">
        <v>0</v>
      </c>
      <c r="AG2819">
        <v>1</v>
      </c>
      <c r="AH2819">
        <v>6</v>
      </c>
      <c r="AI2819">
        <v>0</v>
      </c>
      <c r="AJ2819">
        <v>1</v>
      </c>
      <c r="AK2819">
        <v>0</v>
      </c>
      <c r="AL2819">
        <v>1</v>
      </c>
      <c r="AM2819">
        <v>0</v>
      </c>
      <c r="AN2819">
        <v>0</v>
      </c>
      <c r="BC2819">
        <v>0</v>
      </c>
      <c r="BD2819">
        <v>22</v>
      </c>
      <c r="BE2819" t="s">
        <v>105</v>
      </c>
      <c r="BF2819">
        <v>468</v>
      </c>
      <c r="BG2819">
        <v>692</v>
      </c>
      <c r="BJ2819">
        <v>1</v>
      </c>
      <c r="BL2819" t="s">
        <v>5852</v>
      </c>
      <c r="BM2819" s="4">
        <v>43283.272916666669</v>
      </c>
      <c r="BN2819" s="4">
        <v>43283.300219907411</v>
      </c>
      <c r="BO2819" s="4">
        <v>43283.300219907411</v>
      </c>
      <c r="BP2819" t="s">
        <v>92</v>
      </c>
      <c r="BQ2819" t="s">
        <v>93</v>
      </c>
      <c r="BR2819" t="s">
        <v>94</v>
      </c>
    </row>
    <row r="2820" spans="1:70" x14ac:dyDescent="0.3">
      <c r="A2820" t="str">
        <f>"201972B0100"</f>
        <v>201972B0100</v>
      </c>
      <c r="B2820" t="s">
        <v>5853</v>
      </c>
      <c r="C2820">
        <v>20</v>
      </c>
      <c r="D2820" t="s">
        <v>88</v>
      </c>
      <c r="E2820">
        <v>456</v>
      </c>
      <c r="F2820" t="s">
        <v>5849</v>
      </c>
      <c r="G2820">
        <v>1972</v>
      </c>
      <c r="H2820">
        <v>1</v>
      </c>
      <c r="I2820" t="s">
        <v>90</v>
      </c>
      <c r="J2820">
        <v>0</v>
      </c>
      <c r="K2820">
        <v>2</v>
      </c>
      <c r="L2820">
        <v>5</v>
      </c>
      <c r="M2820">
        <v>216</v>
      </c>
      <c r="N2820">
        <v>299</v>
      </c>
      <c r="O2820">
        <v>2</v>
      </c>
      <c r="P2820">
        <v>299</v>
      </c>
      <c r="Q2820">
        <v>77</v>
      </c>
      <c r="R2820">
        <v>188</v>
      </c>
      <c r="S2820">
        <v>4</v>
      </c>
      <c r="T2820">
        <v>2</v>
      </c>
      <c r="U2820">
        <v>5</v>
      </c>
      <c r="V2820">
        <v>0</v>
      </c>
      <c r="X2820">
        <v>0</v>
      </c>
      <c r="Y2820">
        <v>10</v>
      </c>
      <c r="Z2820">
        <v>0</v>
      </c>
      <c r="AC2820">
        <v>1</v>
      </c>
      <c r="AD2820">
        <v>0</v>
      </c>
      <c r="AE2820">
        <v>1</v>
      </c>
      <c r="AF2820">
        <v>0</v>
      </c>
      <c r="AG2820">
        <v>0</v>
      </c>
      <c r="AH2820">
        <v>2</v>
      </c>
      <c r="AI2820">
        <v>0</v>
      </c>
      <c r="AJ2820">
        <v>0</v>
      </c>
      <c r="AK2820">
        <v>1</v>
      </c>
      <c r="AL2820">
        <v>0</v>
      </c>
      <c r="AM2820">
        <v>0</v>
      </c>
      <c r="AN2820">
        <v>0</v>
      </c>
      <c r="BC2820">
        <v>0</v>
      </c>
      <c r="BD2820">
        <v>8</v>
      </c>
      <c r="BE2820">
        <v>299</v>
      </c>
      <c r="BF2820">
        <v>299</v>
      </c>
      <c r="BG2820">
        <v>494</v>
      </c>
      <c r="BJ2820">
        <v>1</v>
      </c>
      <c r="BL2820" t="s">
        <v>5854</v>
      </c>
      <c r="BM2820" s="4">
        <v>43283.272222222222</v>
      </c>
      <c r="BN2820" s="4">
        <v>43283.301400462966</v>
      </c>
      <c r="BO2820" s="4">
        <v>43283.301400462966</v>
      </c>
      <c r="BP2820" t="s">
        <v>92</v>
      </c>
      <c r="BQ2820" t="s">
        <v>93</v>
      </c>
      <c r="BR2820" t="s">
        <v>94</v>
      </c>
    </row>
    <row r="2821" spans="1:70" x14ac:dyDescent="0.3">
      <c r="A2821" t="str">
        <f>"201973B0100"</f>
        <v>201973B0100</v>
      </c>
      <c r="B2821" t="s">
        <v>5855</v>
      </c>
      <c r="C2821">
        <v>20</v>
      </c>
      <c r="D2821" t="s">
        <v>88</v>
      </c>
      <c r="E2821">
        <v>457</v>
      </c>
      <c r="F2821" t="s">
        <v>5856</v>
      </c>
      <c r="G2821">
        <v>1973</v>
      </c>
      <c r="H2821">
        <v>1</v>
      </c>
      <c r="I2821" t="s">
        <v>90</v>
      </c>
      <c r="J2821">
        <v>0</v>
      </c>
      <c r="K2821">
        <v>1</v>
      </c>
      <c r="L2821">
        <v>5</v>
      </c>
      <c r="M2821">
        <v>112</v>
      </c>
      <c r="N2821">
        <v>440</v>
      </c>
      <c r="O2821">
        <v>0</v>
      </c>
      <c r="P2821">
        <v>440</v>
      </c>
      <c r="Q2821">
        <v>221</v>
      </c>
      <c r="R2821">
        <v>175</v>
      </c>
      <c r="S2821">
        <v>15</v>
      </c>
      <c r="T2821">
        <v>0</v>
      </c>
      <c r="U2821">
        <v>0</v>
      </c>
      <c r="V2821">
        <v>1</v>
      </c>
      <c r="X2821">
        <v>0</v>
      </c>
      <c r="Y2821">
        <v>7</v>
      </c>
      <c r="Z2821">
        <v>0</v>
      </c>
      <c r="AC2821">
        <v>1</v>
      </c>
      <c r="AD2821">
        <v>3</v>
      </c>
      <c r="AE2821">
        <v>0</v>
      </c>
      <c r="AF2821">
        <v>0</v>
      </c>
      <c r="AG2821">
        <v>1</v>
      </c>
      <c r="AH2821">
        <v>4</v>
      </c>
      <c r="AI2821">
        <v>0</v>
      </c>
      <c r="AJ2821">
        <v>0</v>
      </c>
      <c r="AK2821">
        <v>0</v>
      </c>
      <c r="AL2821">
        <v>0</v>
      </c>
      <c r="AM2821">
        <v>0</v>
      </c>
      <c r="AN2821">
        <v>0</v>
      </c>
      <c r="BC2821">
        <v>0</v>
      </c>
      <c r="BD2821">
        <v>12</v>
      </c>
      <c r="BE2821">
        <v>440</v>
      </c>
      <c r="BF2821">
        <v>440</v>
      </c>
      <c r="BG2821">
        <v>530</v>
      </c>
      <c r="BJ2821">
        <v>1</v>
      </c>
      <c r="BL2821" t="s">
        <v>5857</v>
      </c>
      <c r="BM2821" s="4">
        <v>43283.168055555558</v>
      </c>
      <c r="BN2821" s="4">
        <v>43283.182650462964</v>
      </c>
      <c r="BO2821" s="4">
        <v>43283.182650462964</v>
      </c>
      <c r="BP2821" t="s">
        <v>92</v>
      </c>
      <c r="BQ2821" t="s">
        <v>93</v>
      </c>
      <c r="BR2821" t="s">
        <v>94</v>
      </c>
    </row>
    <row r="2822" spans="1:70" x14ac:dyDescent="0.3">
      <c r="A2822" t="str">
        <f>"201974B0100"</f>
        <v>201974B0100</v>
      </c>
      <c r="B2822" t="s">
        <v>5858</v>
      </c>
      <c r="C2822">
        <v>20</v>
      </c>
      <c r="D2822" t="s">
        <v>88</v>
      </c>
      <c r="E2822">
        <v>457</v>
      </c>
      <c r="F2822" t="s">
        <v>5856</v>
      </c>
      <c r="G2822">
        <v>1974</v>
      </c>
      <c r="H2822">
        <v>1</v>
      </c>
      <c r="I2822" t="s">
        <v>90</v>
      </c>
      <c r="J2822">
        <v>0</v>
      </c>
      <c r="K2822">
        <v>1</v>
      </c>
      <c r="L2822">
        <v>5</v>
      </c>
      <c r="M2822">
        <v>123</v>
      </c>
      <c r="N2822">
        <v>365</v>
      </c>
      <c r="O2822">
        <v>3</v>
      </c>
      <c r="P2822">
        <v>365</v>
      </c>
      <c r="Q2822">
        <v>198</v>
      </c>
      <c r="R2822">
        <v>142</v>
      </c>
      <c r="S2822">
        <v>2</v>
      </c>
      <c r="T2822">
        <v>0</v>
      </c>
      <c r="U2822">
        <v>0</v>
      </c>
      <c r="V2822">
        <v>0</v>
      </c>
      <c r="X2822">
        <v>0</v>
      </c>
      <c r="Y2822">
        <v>4</v>
      </c>
      <c r="Z2822">
        <v>0</v>
      </c>
      <c r="AC2822">
        <v>1</v>
      </c>
      <c r="AD2822">
        <v>6</v>
      </c>
      <c r="AE2822">
        <v>0</v>
      </c>
      <c r="AF2822">
        <v>0</v>
      </c>
      <c r="AG2822">
        <v>0</v>
      </c>
      <c r="AH2822">
        <v>2</v>
      </c>
      <c r="AI2822">
        <v>0</v>
      </c>
      <c r="AJ2822">
        <v>0</v>
      </c>
      <c r="AK2822">
        <v>0</v>
      </c>
      <c r="AL2822">
        <v>1</v>
      </c>
      <c r="AM2822">
        <v>0</v>
      </c>
      <c r="AN2822">
        <v>0</v>
      </c>
      <c r="BC2822">
        <v>0</v>
      </c>
      <c r="BD2822">
        <v>9</v>
      </c>
      <c r="BE2822">
        <v>365</v>
      </c>
      <c r="BF2822">
        <v>365</v>
      </c>
      <c r="BG2822">
        <v>466</v>
      </c>
      <c r="BJ2822">
        <v>1</v>
      </c>
      <c r="BL2822" t="s">
        <v>5859</v>
      </c>
      <c r="BM2822" s="4">
        <v>43283.167361111111</v>
      </c>
      <c r="BN2822" s="4">
        <v>43283.180150462962</v>
      </c>
      <c r="BO2822" s="4">
        <v>43283.180150462962</v>
      </c>
      <c r="BP2822" t="s">
        <v>92</v>
      </c>
      <c r="BQ2822" t="s">
        <v>93</v>
      </c>
      <c r="BR2822" t="s">
        <v>94</v>
      </c>
    </row>
    <row r="2823" spans="1:70" x14ac:dyDescent="0.3">
      <c r="A2823" t="str">
        <f>"201975B0100"</f>
        <v>201975B0100</v>
      </c>
      <c r="B2823" t="s">
        <v>5860</v>
      </c>
      <c r="C2823">
        <v>20</v>
      </c>
      <c r="D2823" t="s">
        <v>88</v>
      </c>
      <c r="E2823">
        <v>457</v>
      </c>
      <c r="F2823" t="s">
        <v>5856</v>
      </c>
      <c r="G2823">
        <v>1975</v>
      </c>
      <c r="H2823">
        <v>1</v>
      </c>
      <c r="I2823" t="s">
        <v>90</v>
      </c>
      <c r="J2823">
        <v>0</v>
      </c>
      <c r="K2823">
        <v>2</v>
      </c>
      <c r="L2823">
        <v>5</v>
      </c>
      <c r="M2823">
        <v>124</v>
      </c>
      <c r="N2823">
        <v>413</v>
      </c>
      <c r="O2823">
        <v>8</v>
      </c>
      <c r="P2823">
        <v>413</v>
      </c>
      <c r="Q2823">
        <v>168</v>
      </c>
      <c r="R2823">
        <v>198</v>
      </c>
      <c r="S2823">
        <v>5</v>
      </c>
      <c r="T2823">
        <v>1</v>
      </c>
      <c r="U2823">
        <v>3</v>
      </c>
      <c r="V2823">
        <v>3</v>
      </c>
      <c r="X2823">
        <v>3</v>
      </c>
      <c r="Y2823">
        <v>11</v>
      </c>
      <c r="Z2823">
        <v>0</v>
      </c>
      <c r="AC2823">
        <v>1</v>
      </c>
      <c r="AD2823">
        <v>1</v>
      </c>
      <c r="AE2823">
        <v>0</v>
      </c>
      <c r="AF2823">
        <v>0</v>
      </c>
      <c r="AG2823">
        <v>0</v>
      </c>
      <c r="AH2823">
        <v>1</v>
      </c>
      <c r="AI2823">
        <v>1</v>
      </c>
      <c r="AJ2823">
        <v>0</v>
      </c>
      <c r="AK2823">
        <v>0</v>
      </c>
      <c r="AL2823">
        <v>0</v>
      </c>
      <c r="AM2823">
        <v>0</v>
      </c>
      <c r="AN2823">
        <v>0</v>
      </c>
      <c r="BC2823">
        <v>0</v>
      </c>
      <c r="BD2823">
        <v>17</v>
      </c>
      <c r="BE2823">
        <v>413</v>
      </c>
      <c r="BF2823">
        <v>413</v>
      </c>
      <c r="BG2823">
        <v>515</v>
      </c>
      <c r="BJ2823">
        <v>1</v>
      </c>
      <c r="BL2823" t="s">
        <v>5861</v>
      </c>
      <c r="BM2823" s="4">
        <v>43283.167361111111</v>
      </c>
      <c r="BN2823" s="4">
        <v>43283.184710648151</v>
      </c>
      <c r="BO2823" s="4">
        <v>43283.184710648151</v>
      </c>
      <c r="BP2823" t="s">
        <v>92</v>
      </c>
      <c r="BQ2823" t="s">
        <v>93</v>
      </c>
      <c r="BR2823" t="s">
        <v>94</v>
      </c>
    </row>
    <row r="2824" spans="1:70" x14ac:dyDescent="0.3">
      <c r="A2824" t="str">
        <f>"201978B0100"</f>
        <v>201978B0100</v>
      </c>
      <c r="B2824" t="s">
        <v>5862</v>
      </c>
      <c r="C2824">
        <v>20</v>
      </c>
      <c r="D2824" t="s">
        <v>88</v>
      </c>
      <c r="E2824">
        <v>459</v>
      </c>
      <c r="F2824" t="s">
        <v>5863</v>
      </c>
      <c r="G2824">
        <v>1978</v>
      </c>
      <c r="H2824">
        <v>1</v>
      </c>
      <c r="I2824" t="s">
        <v>90</v>
      </c>
      <c r="J2824">
        <v>0</v>
      </c>
      <c r="K2824">
        <v>2</v>
      </c>
      <c r="L2824">
        <v>5</v>
      </c>
      <c r="M2824">
        <v>146</v>
      </c>
      <c r="N2824">
        <v>406</v>
      </c>
      <c r="O2824">
        <v>5</v>
      </c>
      <c r="P2824">
        <v>403</v>
      </c>
      <c r="Q2824">
        <v>0</v>
      </c>
      <c r="R2824">
        <v>156</v>
      </c>
      <c r="S2824">
        <v>0</v>
      </c>
      <c r="T2824">
        <v>4</v>
      </c>
      <c r="U2824">
        <v>5</v>
      </c>
      <c r="V2824">
        <v>1</v>
      </c>
      <c r="W2824">
        <v>124</v>
      </c>
      <c r="X2824">
        <v>2</v>
      </c>
      <c r="Y2824">
        <v>82</v>
      </c>
      <c r="Z2824">
        <v>6</v>
      </c>
      <c r="AC2824">
        <v>0</v>
      </c>
      <c r="AD2824">
        <v>0</v>
      </c>
      <c r="AE2824">
        <v>0</v>
      </c>
      <c r="AF2824">
        <v>0</v>
      </c>
      <c r="AG2824">
        <v>3</v>
      </c>
      <c r="AH2824">
        <v>3</v>
      </c>
      <c r="AI2824">
        <v>0</v>
      </c>
      <c r="AJ2824">
        <v>0</v>
      </c>
      <c r="AK2824">
        <v>1</v>
      </c>
      <c r="AL2824">
        <v>2</v>
      </c>
      <c r="AM2824">
        <v>0</v>
      </c>
      <c r="AN2824">
        <v>2</v>
      </c>
      <c r="BC2824">
        <v>0</v>
      </c>
      <c r="BD2824">
        <v>15</v>
      </c>
      <c r="BE2824">
        <v>406</v>
      </c>
      <c r="BF2824">
        <v>406</v>
      </c>
      <c r="BG2824">
        <v>530</v>
      </c>
      <c r="BJ2824">
        <v>1</v>
      </c>
      <c r="BL2824" t="s">
        <v>5864</v>
      </c>
      <c r="BM2824" s="4">
        <v>43283.543749999997</v>
      </c>
      <c r="BN2824" s="4">
        <v>43283.548877314817</v>
      </c>
      <c r="BO2824" s="4">
        <v>43283.548877314817</v>
      </c>
      <c r="BP2824" t="s">
        <v>92</v>
      </c>
      <c r="BQ2824" t="s">
        <v>93</v>
      </c>
      <c r="BR2824" t="s">
        <v>94</v>
      </c>
    </row>
    <row r="2825" spans="1:70" x14ac:dyDescent="0.3">
      <c r="A2825" t="str">
        <f>"201978C0100"</f>
        <v>201978C0100</v>
      </c>
      <c r="B2825" t="s">
        <v>5865</v>
      </c>
      <c r="C2825">
        <v>20</v>
      </c>
      <c r="D2825" t="s">
        <v>88</v>
      </c>
      <c r="E2825">
        <v>459</v>
      </c>
      <c r="F2825" t="s">
        <v>5863</v>
      </c>
      <c r="G2825">
        <v>1978</v>
      </c>
      <c r="H2825">
        <v>1</v>
      </c>
      <c r="I2825" t="s">
        <v>98</v>
      </c>
      <c r="J2825">
        <v>0</v>
      </c>
      <c r="K2825">
        <v>2</v>
      </c>
      <c r="L2825">
        <v>5</v>
      </c>
      <c r="M2825">
        <v>125</v>
      </c>
      <c r="N2825">
        <v>425</v>
      </c>
      <c r="O2825">
        <v>1</v>
      </c>
      <c r="P2825">
        <v>427</v>
      </c>
      <c r="Q2825">
        <v>0</v>
      </c>
      <c r="R2825">
        <v>202</v>
      </c>
      <c r="S2825">
        <v>1</v>
      </c>
      <c r="T2825">
        <v>0</v>
      </c>
      <c r="U2825">
        <v>2</v>
      </c>
      <c r="V2825">
        <v>1</v>
      </c>
      <c r="W2825">
        <v>109</v>
      </c>
      <c r="X2825">
        <v>1</v>
      </c>
      <c r="Y2825">
        <v>85</v>
      </c>
      <c r="Z2825">
        <v>5</v>
      </c>
      <c r="AC2825">
        <v>0</v>
      </c>
      <c r="AD2825">
        <v>1</v>
      </c>
      <c r="AE2825">
        <v>0</v>
      </c>
      <c r="AF2825">
        <v>0</v>
      </c>
      <c r="AG2825">
        <v>0</v>
      </c>
      <c r="AH2825">
        <v>1</v>
      </c>
      <c r="AI2825">
        <v>1</v>
      </c>
      <c r="AJ2825">
        <v>0</v>
      </c>
      <c r="AK2825">
        <v>2</v>
      </c>
      <c r="AL2825">
        <v>1</v>
      </c>
      <c r="AM2825">
        <v>0</v>
      </c>
      <c r="AN2825">
        <v>0</v>
      </c>
      <c r="BC2825">
        <v>0</v>
      </c>
      <c r="BD2825">
        <v>15</v>
      </c>
      <c r="BE2825">
        <v>427</v>
      </c>
      <c r="BF2825">
        <v>427</v>
      </c>
      <c r="BG2825">
        <v>529</v>
      </c>
      <c r="BJ2825">
        <v>1</v>
      </c>
      <c r="BL2825" t="s">
        <v>5866</v>
      </c>
      <c r="BM2825" s="4">
        <v>43283.543749999997</v>
      </c>
      <c r="BN2825" s="4">
        <v>43283.549849537034</v>
      </c>
      <c r="BO2825" s="4">
        <v>43283.549849537034</v>
      </c>
      <c r="BP2825" t="s">
        <v>92</v>
      </c>
      <c r="BQ2825" t="s">
        <v>93</v>
      </c>
      <c r="BR2825" t="s">
        <v>94</v>
      </c>
    </row>
    <row r="2826" spans="1:70" x14ac:dyDescent="0.3">
      <c r="A2826" t="str">
        <f>"201979B0100"</f>
        <v>201979B0100</v>
      </c>
      <c r="B2826" t="s">
        <v>5867</v>
      </c>
      <c r="C2826">
        <v>20</v>
      </c>
      <c r="D2826" t="s">
        <v>88</v>
      </c>
      <c r="E2826">
        <v>459</v>
      </c>
      <c r="F2826" t="s">
        <v>5863</v>
      </c>
      <c r="G2826">
        <v>1979</v>
      </c>
      <c r="H2826">
        <v>1</v>
      </c>
      <c r="I2826" t="s">
        <v>90</v>
      </c>
      <c r="J2826">
        <v>0</v>
      </c>
      <c r="K2826">
        <v>2</v>
      </c>
      <c r="L2826">
        <v>5</v>
      </c>
      <c r="M2826">
        <v>205</v>
      </c>
      <c r="N2826">
        <v>532</v>
      </c>
      <c r="O2826">
        <v>1</v>
      </c>
      <c r="P2826">
        <v>532</v>
      </c>
      <c r="Q2826">
        <v>2</v>
      </c>
      <c r="R2826">
        <v>255</v>
      </c>
      <c r="S2826">
        <v>4</v>
      </c>
      <c r="T2826">
        <v>2</v>
      </c>
      <c r="U2826">
        <v>9</v>
      </c>
      <c r="V2826">
        <v>1</v>
      </c>
      <c r="W2826">
        <v>127</v>
      </c>
      <c r="X2826">
        <v>2</v>
      </c>
      <c r="Y2826">
        <v>6</v>
      </c>
      <c r="Z2826">
        <v>8</v>
      </c>
      <c r="AC2826">
        <v>0</v>
      </c>
      <c r="AD2826">
        <v>0</v>
      </c>
      <c r="AE2826">
        <v>1</v>
      </c>
      <c r="AF2826">
        <v>0</v>
      </c>
      <c r="AG2826">
        <v>0</v>
      </c>
      <c r="AH2826">
        <v>2</v>
      </c>
      <c r="AI2826">
        <v>0</v>
      </c>
      <c r="AJ2826">
        <v>0</v>
      </c>
      <c r="AK2826">
        <v>0</v>
      </c>
      <c r="AL2826">
        <v>0</v>
      </c>
      <c r="AM2826">
        <v>0</v>
      </c>
      <c r="AN2826">
        <v>0</v>
      </c>
      <c r="BC2826">
        <v>0</v>
      </c>
      <c r="BD2826">
        <v>13</v>
      </c>
      <c r="BE2826">
        <v>532</v>
      </c>
      <c r="BF2826">
        <v>432</v>
      </c>
      <c r="BG2826">
        <v>716</v>
      </c>
      <c r="BJ2826">
        <v>1</v>
      </c>
      <c r="BL2826" t="s">
        <v>5868</v>
      </c>
      <c r="BM2826" s="4">
        <v>43283.544444444444</v>
      </c>
      <c r="BN2826" s="4">
        <v>43283.54996527778</v>
      </c>
      <c r="BO2826" s="4">
        <v>43283.54996527778</v>
      </c>
      <c r="BP2826" t="s">
        <v>92</v>
      </c>
      <c r="BQ2826" t="s">
        <v>93</v>
      </c>
      <c r="BR2826" t="s">
        <v>94</v>
      </c>
    </row>
    <row r="2827" spans="1:70" x14ac:dyDescent="0.3">
      <c r="A2827" t="str">
        <f>"201980B0100"</f>
        <v>201980B0100</v>
      </c>
      <c r="B2827" t="s">
        <v>5869</v>
      </c>
      <c r="C2827">
        <v>20</v>
      </c>
      <c r="D2827" t="s">
        <v>88</v>
      </c>
      <c r="E2827">
        <v>459</v>
      </c>
      <c r="F2827" t="s">
        <v>5863</v>
      </c>
      <c r="G2827">
        <v>1980</v>
      </c>
      <c r="H2827">
        <v>1</v>
      </c>
      <c r="I2827" t="s">
        <v>90</v>
      </c>
      <c r="J2827">
        <v>0</v>
      </c>
      <c r="K2827">
        <v>2</v>
      </c>
      <c r="L2827">
        <v>5</v>
      </c>
      <c r="M2827">
        <v>79</v>
      </c>
      <c r="N2827">
        <v>257</v>
      </c>
      <c r="O2827">
        <v>0</v>
      </c>
      <c r="P2827" t="s">
        <v>105</v>
      </c>
      <c r="Q2827" t="s">
        <v>105</v>
      </c>
      <c r="R2827">
        <v>66</v>
      </c>
      <c r="S2827" t="s">
        <v>105</v>
      </c>
      <c r="T2827">
        <v>2</v>
      </c>
      <c r="U2827">
        <v>2</v>
      </c>
      <c r="V2827" t="s">
        <v>105</v>
      </c>
      <c r="W2827">
        <v>134</v>
      </c>
      <c r="X2827" t="s">
        <v>105</v>
      </c>
      <c r="Y2827">
        <v>34</v>
      </c>
      <c r="Z2827">
        <v>1</v>
      </c>
      <c r="AC2827" t="s">
        <v>105</v>
      </c>
      <c r="AD2827" t="s">
        <v>105</v>
      </c>
      <c r="AE2827" t="s">
        <v>105</v>
      </c>
      <c r="AF2827" t="s">
        <v>105</v>
      </c>
      <c r="AG2827">
        <v>1</v>
      </c>
      <c r="AH2827" t="s">
        <v>105</v>
      </c>
      <c r="AI2827" t="s">
        <v>105</v>
      </c>
      <c r="AJ2827" t="s">
        <v>105</v>
      </c>
      <c r="AK2827" t="s">
        <v>105</v>
      </c>
      <c r="AL2827" t="s">
        <v>105</v>
      </c>
      <c r="AM2827" t="s">
        <v>105</v>
      </c>
      <c r="AN2827" t="s">
        <v>105</v>
      </c>
      <c r="BC2827" t="s">
        <v>105</v>
      </c>
      <c r="BD2827">
        <v>18</v>
      </c>
      <c r="BE2827">
        <v>258</v>
      </c>
      <c r="BF2827">
        <v>258</v>
      </c>
      <c r="BG2827">
        <v>315</v>
      </c>
      <c r="BI2827" t="s">
        <v>106</v>
      </c>
      <c r="BJ2827">
        <v>1</v>
      </c>
      <c r="BL2827" t="s">
        <v>5870</v>
      </c>
      <c r="BM2827" s="4">
        <v>43283.544444444444</v>
      </c>
      <c r="BN2827" s="4">
        <v>43283.551423611112</v>
      </c>
      <c r="BO2827" s="4">
        <v>43283.551423611112</v>
      </c>
      <c r="BP2827" t="s">
        <v>92</v>
      </c>
      <c r="BQ2827" t="s">
        <v>93</v>
      </c>
      <c r="BR2827" t="s">
        <v>94</v>
      </c>
    </row>
    <row r="2828" spans="1:70" x14ac:dyDescent="0.3">
      <c r="A2828" t="str">
        <f>"201981B0100"</f>
        <v>201981B0100</v>
      </c>
      <c r="B2828" t="s">
        <v>5871</v>
      </c>
      <c r="C2828">
        <v>20</v>
      </c>
      <c r="D2828" t="s">
        <v>88</v>
      </c>
      <c r="E2828">
        <v>459</v>
      </c>
      <c r="F2828" t="s">
        <v>5863</v>
      </c>
      <c r="G2828">
        <v>1981</v>
      </c>
      <c r="H2828">
        <v>1</v>
      </c>
      <c r="I2828" t="s">
        <v>90</v>
      </c>
      <c r="J2828">
        <v>0</v>
      </c>
      <c r="K2828">
        <v>2</v>
      </c>
      <c r="L2828">
        <v>5</v>
      </c>
      <c r="M2828">
        <v>72</v>
      </c>
      <c r="N2828">
        <v>148</v>
      </c>
      <c r="O2828">
        <v>1</v>
      </c>
      <c r="P2828">
        <v>148</v>
      </c>
      <c r="Q2828">
        <v>2</v>
      </c>
      <c r="R2828">
        <v>61</v>
      </c>
      <c r="S2828">
        <v>6</v>
      </c>
      <c r="T2828">
        <v>2</v>
      </c>
      <c r="U2828">
        <v>2</v>
      </c>
      <c r="V2828">
        <v>0</v>
      </c>
      <c r="W2828">
        <v>46</v>
      </c>
      <c r="X2828">
        <v>1</v>
      </c>
      <c r="Y2828">
        <v>16</v>
      </c>
      <c r="Z2828">
        <v>1</v>
      </c>
      <c r="AC2828">
        <v>1</v>
      </c>
      <c r="AD2828" t="s">
        <v>105</v>
      </c>
      <c r="AE2828" t="s">
        <v>105</v>
      </c>
      <c r="AF2828" t="s">
        <v>105</v>
      </c>
      <c r="AG2828">
        <v>1</v>
      </c>
      <c r="AH2828" t="s">
        <v>105</v>
      </c>
      <c r="AI2828" t="s">
        <v>105</v>
      </c>
      <c r="AJ2828" t="s">
        <v>105</v>
      </c>
      <c r="AK2828" t="s">
        <v>105</v>
      </c>
      <c r="AL2828" t="s">
        <v>105</v>
      </c>
      <c r="AM2828" t="s">
        <v>105</v>
      </c>
      <c r="AN2828">
        <v>1</v>
      </c>
      <c r="BC2828" t="s">
        <v>105</v>
      </c>
      <c r="BD2828">
        <v>8</v>
      </c>
      <c r="BE2828">
        <v>148</v>
      </c>
      <c r="BF2828">
        <v>148</v>
      </c>
      <c r="BG2828">
        <v>198</v>
      </c>
      <c r="BI2828" t="s">
        <v>106</v>
      </c>
      <c r="BJ2828">
        <v>1</v>
      </c>
      <c r="BL2828" t="s">
        <v>5872</v>
      </c>
      <c r="BM2828" s="4">
        <v>43283.544444444444</v>
      </c>
      <c r="BN2828" s="4">
        <v>43283.551828703705</v>
      </c>
      <c r="BO2828" s="4">
        <v>43283.551828703705</v>
      </c>
      <c r="BP2828" t="s">
        <v>92</v>
      </c>
      <c r="BQ2828" t="s">
        <v>93</v>
      </c>
      <c r="BR2828" t="s">
        <v>94</v>
      </c>
    </row>
    <row r="2829" spans="1:70" x14ac:dyDescent="0.3">
      <c r="A2829" t="str">
        <f>"201982B0100"</f>
        <v>201982B0100</v>
      </c>
      <c r="B2829" t="s">
        <v>5873</v>
      </c>
      <c r="C2829">
        <v>20</v>
      </c>
      <c r="D2829" t="s">
        <v>88</v>
      </c>
      <c r="E2829">
        <v>459</v>
      </c>
      <c r="F2829" t="s">
        <v>5863</v>
      </c>
      <c r="G2829">
        <v>1982</v>
      </c>
      <c r="H2829">
        <v>1</v>
      </c>
      <c r="I2829" t="s">
        <v>90</v>
      </c>
      <c r="J2829">
        <v>0</v>
      </c>
      <c r="K2829">
        <v>2</v>
      </c>
      <c r="L2829">
        <v>5</v>
      </c>
      <c r="M2829">
        <v>90</v>
      </c>
      <c r="N2829">
        <v>229</v>
      </c>
      <c r="O2829">
        <v>1</v>
      </c>
      <c r="P2829">
        <v>228</v>
      </c>
      <c r="Q2829">
        <v>0</v>
      </c>
      <c r="R2829">
        <v>87</v>
      </c>
      <c r="S2829">
        <v>1</v>
      </c>
      <c r="T2829">
        <v>1</v>
      </c>
      <c r="U2829">
        <v>2</v>
      </c>
      <c r="V2829">
        <v>1</v>
      </c>
      <c r="W2829">
        <v>71</v>
      </c>
      <c r="X2829">
        <v>0</v>
      </c>
      <c r="Y2829">
        <v>45</v>
      </c>
      <c r="Z2829">
        <v>0</v>
      </c>
      <c r="AC2829">
        <v>0</v>
      </c>
      <c r="AD2829">
        <v>0</v>
      </c>
      <c r="AE2829">
        <v>0</v>
      </c>
      <c r="AF2829">
        <v>0</v>
      </c>
      <c r="AG2829">
        <v>1</v>
      </c>
      <c r="AH2829">
        <v>0</v>
      </c>
      <c r="AI2829">
        <v>0</v>
      </c>
      <c r="AJ2829">
        <v>0</v>
      </c>
      <c r="AK2829">
        <v>0</v>
      </c>
      <c r="AL2829">
        <v>0</v>
      </c>
      <c r="AM2829">
        <v>0</v>
      </c>
      <c r="AN2829">
        <v>0</v>
      </c>
      <c r="BC2829">
        <v>0</v>
      </c>
      <c r="BD2829">
        <v>19</v>
      </c>
      <c r="BE2829">
        <v>228</v>
      </c>
      <c r="BF2829">
        <v>228</v>
      </c>
      <c r="BG2829">
        <v>296</v>
      </c>
      <c r="BJ2829">
        <v>1</v>
      </c>
      <c r="BL2829" t="s">
        <v>5874</v>
      </c>
      <c r="BM2829" s="4">
        <v>43283.544444444444</v>
      </c>
      <c r="BN2829" s="4">
        <v>43283.551412037035</v>
      </c>
      <c r="BO2829" s="4">
        <v>43283.551412037035</v>
      </c>
      <c r="BP2829" t="s">
        <v>92</v>
      </c>
      <c r="BQ2829" t="s">
        <v>93</v>
      </c>
      <c r="BR2829" t="s">
        <v>94</v>
      </c>
    </row>
    <row r="2830" spans="1:70" x14ac:dyDescent="0.3">
      <c r="A2830" t="str">
        <f>"201983B0100"</f>
        <v>201983B0100</v>
      </c>
      <c r="B2830" t="s">
        <v>5875</v>
      </c>
      <c r="C2830">
        <v>20</v>
      </c>
      <c r="D2830" t="s">
        <v>88</v>
      </c>
      <c r="E2830">
        <v>459</v>
      </c>
      <c r="F2830" t="s">
        <v>5863</v>
      </c>
      <c r="G2830">
        <v>1983</v>
      </c>
      <c r="H2830">
        <v>1</v>
      </c>
      <c r="I2830" t="s">
        <v>90</v>
      </c>
      <c r="J2830">
        <v>0</v>
      </c>
      <c r="K2830">
        <v>2</v>
      </c>
      <c r="L2830">
        <v>5</v>
      </c>
      <c r="M2830">
        <v>53</v>
      </c>
      <c r="N2830">
        <v>161</v>
      </c>
      <c r="O2830">
        <v>6</v>
      </c>
      <c r="P2830">
        <v>161</v>
      </c>
      <c r="Q2830">
        <v>2</v>
      </c>
      <c r="R2830">
        <v>45</v>
      </c>
      <c r="S2830">
        <v>1</v>
      </c>
      <c r="T2830">
        <v>0</v>
      </c>
      <c r="U2830">
        <v>2</v>
      </c>
      <c r="V2830">
        <v>0</v>
      </c>
      <c r="W2830">
        <v>56</v>
      </c>
      <c r="X2830">
        <v>0</v>
      </c>
      <c r="Y2830">
        <v>35</v>
      </c>
      <c r="Z2830">
        <v>1</v>
      </c>
      <c r="AC2830">
        <v>0</v>
      </c>
      <c r="AD2830">
        <v>0</v>
      </c>
      <c r="AE2830">
        <v>0</v>
      </c>
      <c r="AF2830">
        <v>0</v>
      </c>
      <c r="AG2830">
        <v>2</v>
      </c>
      <c r="AH2830">
        <v>2</v>
      </c>
      <c r="AI2830">
        <v>1</v>
      </c>
      <c r="AJ2830">
        <v>0</v>
      </c>
      <c r="AK2830">
        <v>1</v>
      </c>
      <c r="AL2830">
        <v>0</v>
      </c>
      <c r="AM2830">
        <v>0</v>
      </c>
      <c r="AN2830">
        <v>0</v>
      </c>
      <c r="BC2830">
        <v>0</v>
      </c>
      <c r="BD2830">
        <v>13</v>
      </c>
      <c r="BE2830">
        <v>161</v>
      </c>
      <c r="BF2830">
        <v>161</v>
      </c>
      <c r="BG2830">
        <v>192</v>
      </c>
      <c r="BJ2830">
        <v>1</v>
      </c>
      <c r="BL2830" t="s">
        <v>5876</v>
      </c>
      <c r="BM2830" s="4">
        <v>43283.545138888891</v>
      </c>
      <c r="BN2830" s="4">
        <v>43283.55133101852</v>
      </c>
      <c r="BO2830" s="4">
        <v>43283.55133101852</v>
      </c>
      <c r="BP2830" t="s">
        <v>92</v>
      </c>
      <c r="BQ2830" t="s">
        <v>93</v>
      </c>
      <c r="BR2830" t="s">
        <v>94</v>
      </c>
    </row>
    <row r="2831" spans="1:70" x14ac:dyDescent="0.3">
      <c r="A2831" t="str">
        <f>"201984B0100"</f>
        <v>201984B0100</v>
      </c>
      <c r="B2831" t="s">
        <v>5877</v>
      </c>
      <c r="C2831">
        <v>20</v>
      </c>
      <c r="D2831" t="s">
        <v>88</v>
      </c>
      <c r="E2831">
        <v>459</v>
      </c>
      <c r="F2831" t="s">
        <v>5863</v>
      </c>
      <c r="G2831">
        <v>1984</v>
      </c>
      <c r="H2831">
        <v>1</v>
      </c>
      <c r="I2831" t="s">
        <v>90</v>
      </c>
      <c r="J2831">
        <v>0</v>
      </c>
      <c r="K2831">
        <v>2</v>
      </c>
      <c r="L2831">
        <v>5</v>
      </c>
      <c r="M2831">
        <v>41</v>
      </c>
      <c r="N2831" t="s">
        <v>127</v>
      </c>
      <c r="O2831">
        <v>2</v>
      </c>
      <c r="P2831">
        <v>88</v>
      </c>
      <c r="Q2831">
        <v>1</v>
      </c>
      <c r="R2831">
        <v>18</v>
      </c>
      <c r="S2831">
        <v>2</v>
      </c>
      <c r="T2831">
        <v>0</v>
      </c>
      <c r="U2831">
        <v>2</v>
      </c>
      <c r="V2831">
        <v>0</v>
      </c>
      <c r="W2831">
        <v>61</v>
      </c>
      <c r="X2831">
        <v>0</v>
      </c>
      <c r="Y2831">
        <v>3</v>
      </c>
      <c r="Z2831">
        <v>0</v>
      </c>
      <c r="AC2831">
        <v>0</v>
      </c>
      <c r="AD2831">
        <v>0</v>
      </c>
      <c r="AE2831">
        <v>0</v>
      </c>
      <c r="AF2831">
        <v>0</v>
      </c>
      <c r="AG2831">
        <v>0</v>
      </c>
      <c r="AH2831">
        <v>0</v>
      </c>
      <c r="AI2831">
        <v>0</v>
      </c>
      <c r="AJ2831">
        <v>0</v>
      </c>
      <c r="AK2831">
        <v>0</v>
      </c>
      <c r="AL2831">
        <v>0</v>
      </c>
      <c r="AM2831">
        <v>0</v>
      </c>
      <c r="AN2831">
        <v>0</v>
      </c>
      <c r="BC2831">
        <v>2</v>
      </c>
      <c r="BD2831">
        <v>1</v>
      </c>
      <c r="BE2831">
        <v>88</v>
      </c>
      <c r="BF2831">
        <v>90</v>
      </c>
      <c r="BG2831">
        <v>107</v>
      </c>
      <c r="BJ2831">
        <v>1</v>
      </c>
      <c r="BL2831" t="s">
        <v>5878</v>
      </c>
      <c r="BM2831" s="4">
        <v>43283.545138888891</v>
      </c>
      <c r="BN2831" s="4">
        <v>43283.550081018519</v>
      </c>
      <c r="BO2831" s="4">
        <v>43283.550081018519</v>
      </c>
      <c r="BP2831" t="s">
        <v>92</v>
      </c>
      <c r="BQ2831" t="s">
        <v>93</v>
      </c>
      <c r="BR2831" t="s">
        <v>94</v>
      </c>
    </row>
    <row r="2832" spans="1:70" x14ac:dyDescent="0.3">
      <c r="A2832" t="str">
        <f>"201985B0100"</f>
        <v>201985B0100</v>
      </c>
      <c r="B2832" t="s">
        <v>5879</v>
      </c>
      <c r="C2832">
        <v>20</v>
      </c>
      <c r="D2832" t="s">
        <v>88</v>
      </c>
      <c r="E2832">
        <v>459</v>
      </c>
      <c r="F2832" t="s">
        <v>5863</v>
      </c>
      <c r="G2832">
        <v>1985</v>
      </c>
      <c r="H2832">
        <v>1</v>
      </c>
      <c r="I2832" t="s">
        <v>90</v>
      </c>
      <c r="J2832">
        <v>0</v>
      </c>
      <c r="K2832">
        <v>2</v>
      </c>
      <c r="L2832">
        <v>5</v>
      </c>
      <c r="M2832">
        <v>70</v>
      </c>
      <c r="N2832">
        <v>171</v>
      </c>
      <c r="O2832">
        <v>0</v>
      </c>
      <c r="P2832">
        <v>171</v>
      </c>
      <c r="Q2832">
        <v>0</v>
      </c>
      <c r="R2832">
        <v>44</v>
      </c>
      <c r="S2832">
        <v>2</v>
      </c>
      <c r="T2832">
        <v>1</v>
      </c>
      <c r="U2832">
        <v>19</v>
      </c>
      <c r="V2832">
        <v>1</v>
      </c>
      <c r="W2832">
        <v>55</v>
      </c>
      <c r="X2832">
        <v>2</v>
      </c>
      <c r="Y2832">
        <v>32</v>
      </c>
      <c r="Z2832">
        <v>1</v>
      </c>
      <c r="AC2832">
        <v>0</v>
      </c>
      <c r="AD2832">
        <v>0</v>
      </c>
      <c r="AE2832">
        <v>0</v>
      </c>
      <c r="AF2832">
        <v>0</v>
      </c>
      <c r="AG2832">
        <v>0</v>
      </c>
      <c r="AH2832">
        <v>0</v>
      </c>
      <c r="AI2832">
        <v>0</v>
      </c>
      <c r="AJ2832">
        <v>0</v>
      </c>
      <c r="AK2832">
        <v>1</v>
      </c>
      <c r="AL2832">
        <v>1</v>
      </c>
      <c r="AM2832">
        <v>0</v>
      </c>
      <c r="AN2832">
        <v>0</v>
      </c>
      <c r="BC2832">
        <v>0</v>
      </c>
      <c r="BD2832">
        <v>12</v>
      </c>
      <c r="BE2832" t="s">
        <v>105</v>
      </c>
      <c r="BF2832">
        <v>171</v>
      </c>
      <c r="BG2832">
        <v>219</v>
      </c>
      <c r="BJ2832">
        <v>1</v>
      </c>
      <c r="BL2832" t="s">
        <v>5880</v>
      </c>
      <c r="BM2832" s="4">
        <v>43283.545138888891</v>
      </c>
      <c r="BN2832" s="4">
        <v>43283.550474537034</v>
      </c>
      <c r="BO2832" s="4">
        <v>43283.550474537034</v>
      </c>
      <c r="BP2832" t="s">
        <v>92</v>
      </c>
      <c r="BQ2832" t="s">
        <v>93</v>
      </c>
      <c r="BR2832" t="s">
        <v>94</v>
      </c>
    </row>
    <row r="2833" spans="1:70" x14ac:dyDescent="0.3">
      <c r="A2833" t="str">
        <f>"201986B0100"</f>
        <v>201986B0100</v>
      </c>
      <c r="B2833" t="s">
        <v>5881</v>
      </c>
      <c r="C2833">
        <v>20</v>
      </c>
      <c r="D2833" t="s">
        <v>88</v>
      </c>
      <c r="E2833">
        <v>459</v>
      </c>
      <c r="F2833" t="s">
        <v>5863</v>
      </c>
      <c r="G2833">
        <v>1986</v>
      </c>
      <c r="H2833">
        <v>1</v>
      </c>
      <c r="I2833" t="s">
        <v>90</v>
      </c>
      <c r="J2833">
        <v>0</v>
      </c>
      <c r="K2833">
        <v>2</v>
      </c>
      <c r="L2833">
        <v>5</v>
      </c>
      <c r="M2833">
        <v>73</v>
      </c>
      <c r="N2833">
        <v>225</v>
      </c>
      <c r="O2833">
        <v>1</v>
      </c>
      <c r="P2833">
        <v>225</v>
      </c>
      <c r="Q2833">
        <v>1</v>
      </c>
      <c r="R2833">
        <v>82</v>
      </c>
      <c r="S2833">
        <v>1</v>
      </c>
      <c r="T2833">
        <v>2</v>
      </c>
      <c r="U2833">
        <v>1</v>
      </c>
      <c r="V2833">
        <v>0</v>
      </c>
      <c r="W2833">
        <v>102</v>
      </c>
      <c r="X2833">
        <v>3</v>
      </c>
      <c r="Y2833">
        <v>13</v>
      </c>
      <c r="Z2833">
        <v>1</v>
      </c>
      <c r="AC2833">
        <v>0</v>
      </c>
      <c r="AD2833">
        <v>0</v>
      </c>
      <c r="AE2833">
        <v>0</v>
      </c>
      <c r="AF2833">
        <v>0</v>
      </c>
      <c r="AG2833">
        <v>1</v>
      </c>
      <c r="AH2833">
        <v>5</v>
      </c>
      <c r="AI2833">
        <v>0</v>
      </c>
      <c r="AJ2833">
        <v>0</v>
      </c>
      <c r="AK2833">
        <v>1</v>
      </c>
      <c r="AL2833">
        <v>1</v>
      </c>
      <c r="AM2833">
        <v>0</v>
      </c>
      <c r="AN2833">
        <v>0</v>
      </c>
      <c r="BC2833">
        <v>0</v>
      </c>
      <c r="BD2833">
        <v>11</v>
      </c>
      <c r="BE2833">
        <v>225</v>
      </c>
      <c r="BF2833">
        <v>225</v>
      </c>
      <c r="BG2833">
        <v>284</v>
      </c>
      <c r="BJ2833">
        <v>1</v>
      </c>
      <c r="BL2833" t="s">
        <v>5882</v>
      </c>
      <c r="BM2833" s="4">
        <v>43283.545138888891</v>
      </c>
      <c r="BN2833" s="4">
        <v>43283.551168981481</v>
      </c>
      <c r="BO2833" s="4">
        <v>43283.551168981481</v>
      </c>
      <c r="BP2833" t="s">
        <v>92</v>
      </c>
      <c r="BQ2833" t="s">
        <v>93</v>
      </c>
      <c r="BR2833" t="s">
        <v>94</v>
      </c>
    </row>
    <row r="2834" spans="1:70" x14ac:dyDescent="0.3">
      <c r="A2834" t="str">
        <f>"201995B0100"</f>
        <v>201995B0100</v>
      </c>
      <c r="B2834" t="s">
        <v>5883</v>
      </c>
      <c r="C2834">
        <v>20</v>
      </c>
      <c r="D2834" t="s">
        <v>88</v>
      </c>
      <c r="E2834">
        <v>463</v>
      </c>
      <c r="F2834" t="s">
        <v>5884</v>
      </c>
      <c r="G2834">
        <v>1995</v>
      </c>
      <c r="H2834">
        <v>1</v>
      </c>
      <c r="I2834" t="s">
        <v>90</v>
      </c>
      <c r="J2834">
        <v>0</v>
      </c>
      <c r="K2834">
        <v>2</v>
      </c>
      <c r="L2834">
        <v>5</v>
      </c>
      <c r="M2834">
        <v>185</v>
      </c>
      <c r="N2834">
        <v>403</v>
      </c>
      <c r="O2834">
        <v>0</v>
      </c>
      <c r="P2834">
        <v>403</v>
      </c>
      <c r="Q2834">
        <v>76</v>
      </c>
      <c r="R2834">
        <v>88</v>
      </c>
      <c r="S2834">
        <v>16</v>
      </c>
      <c r="U2834">
        <v>32</v>
      </c>
      <c r="V2834">
        <v>1</v>
      </c>
      <c r="X2834">
        <v>39</v>
      </c>
      <c r="Y2834">
        <v>45</v>
      </c>
      <c r="Z2834">
        <v>2</v>
      </c>
      <c r="AA2834">
        <v>82</v>
      </c>
      <c r="AC2834">
        <v>2</v>
      </c>
      <c r="AD2834">
        <v>2</v>
      </c>
      <c r="AE2834">
        <v>2</v>
      </c>
      <c r="AF2834">
        <v>0</v>
      </c>
      <c r="AK2834">
        <v>2</v>
      </c>
      <c r="AL2834">
        <v>0</v>
      </c>
      <c r="AM2834">
        <v>1</v>
      </c>
      <c r="AN2834">
        <v>0</v>
      </c>
      <c r="BC2834">
        <v>0</v>
      </c>
      <c r="BD2834">
        <v>13</v>
      </c>
      <c r="BE2834">
        <v>403</v>
      </c>
      <c r="BF2834">
        <v>403</v>
      </c>
      <c r="BG2834">
        <v>566</v>
      </c>
      <c r="BJ2834">
        <v>1</v>
      </c>
      <c r="BL2834" s="2" t="s">
        <v>5885</v>
      </c>
      <c r="BM2834" s="4">
        <v>43283.368750000001</v>
      </c>
      <c r="BN2834" s="4">
        <v>43283.378553240742</v>
      </c>
      <c r="BO2834" s="4">
        <v>43283.378553240742</v>
      </c>
      <c r="BP2834" t="s">
        <v>92</v>
      </c>
      <c r="BQ2834" t="s">
        <v>93</v>
      </c>
      <c r="BR2834" t="s">
        <v>94</v>
      </c>
    </row>
    <row r="2835" spans="1:70" x14ac:dyDescent="0.3">
      <c r="A2835" t="str">
        <f>"201995C0100"</f>
        <v>201995C0100</v>
      </c>
      <c r="B2835" t="s">
        <v>5886</v>
      </c>
      <c r="C2835">
        <v>20</v>
      </c>
      <c r="D2835" t="s">
        <v>88</v>
      </c>
      <c r="E2835">
        <v>463</v>
      </c>
      <c r="F2835" t="s">
        <v>5884</v>
      </c>
      <c r="G2835">
        <v>1995</v>
      </c>
      <c r="H2835">
        <v>1</v>
      </c>
      <c r="I2835" t="s">
        <v>98</v>
      </c>
      <c r="J2835">
        <v>0</v>
      </c>
      <c r="K2835">
        <v>2</v>
      </c>
      <c r="L2835">
        <v>5</v>
      </c>
      <c r="M2835">
        <v>151</v>
      </c>
      <c r="N2835" t="s">
        <v>105</v>
      </c>
      <c r="O2835" t="s">
        <v>105</v>
      </c>
      <c r="P2835" t="s">
        <v>105</v>
      </c>
      <c r="Q2835">
        <v>77</v>
      </c>
      <c r="R2835">
        <v>109</v>
      </c>
      <c r="S2835">
        <v>3</v>
      </c>
      <c r="U2835">
        <v>36</v>
      </c>
      <c r="V2835">
        <v>3</v>
      </c>
      <c r="X2835">
        <v>57</v>
      </c>
      <c r="Y2835">
        <v>40</v>
      </c>
      <c r="Z2835">
        <v>2</v>
      </c>
      <c r="AA2835">
        <v>85</v>
      </c>
      <c r="AC2835">
        <v>1</v>
      </c>
      <c r="AD2835">
        <v>0</v>
      </c>
      <c r="AE2835">
        <v>0</v>
      </c>
      <c r="AF2835">
        <v>0</v>
      </c>
      <c r="AK2835">
        <v>2</v>
      </c>
      <c r="AL2835">
        <v>2</v>
      </c>
      <c r="AM2835">
        <v>0</v>
      </c>
      <c r="AN2835">
        <v>0</v>
      </c>
      <c r="BC2835" t="s">
        <v>105</v>
      </c>
      <c r="BD2835">
        <v>20</v>
      </c>
      <c r="BE2835">
        <v>437</v>
      </c>
      <c r="BF2835">
        <v>437</v>
      </c>
      <c r="BG2835">
        <v>566</v>
      </c>
      <c r="BI2835" t="s">
        <v>106</v>
      </c>
      <c r="BJ2835">
        <v>1</v>
      </c>
      <c r="BL2835" t="s">
        <v>5887</v>
      </c>
      <c r="BM2835" s="4">
        <v>43283.368750000001</v>
      </c>
      <c r="BN2835" s="4">
        <v>43283.379837962966</v>
      </c>
      <c r="BO2835" s="4">
        <v>43283.379837962966</v>
      </c>
      <c r="BP2835" t="s">
        <v>92</v>
      </c>
      <c r="BQ2835" t="s">
        <v>93</v>
      </c>
      <c r="BR2835" t="s">
        <v>94</v>
      </c>
    </row>
    <row r="2836" spans="1:70" x14ac:dyDescent="0.3">
      <c r="A2836" t="str">
        <f>"201995C0200"</f>
        <v>201995C0200</v>
      </c>
      <c r="B2836" t="s">
        <v>5888</v>
      </c>
      <c r="C2836">
        <v>20</v>
      </c>
      <c r="D2836" t="s">
        <v>88</v>
      </c>
      <c r="E2836">
        <v>463</v>
      </c>
      <c r="F2836" t="s">
        <v>5884</v>
      </c>
      <c r="G2836">
        <v>1995</v>
      </c>
      <c r="H2836">
        <v>2</v>
      </c>
      <c r="I2836" t="s">
        <v>98</v>
      </c>
      <c r="J2836">
        <v>0</v>
      </c>
      <c r="K2836">
        <v>2</v>
      </c>
      <c r="L2836">
        <v>5</v>
      </c>
      <c r="M2836">
        <v>166</v>
      </c>
      <c r="N2836">
        <v>422</v>
      </c>
      <c r="O2836">
        <v>0</v>
      </c>
      <c r="P2836">
        <v>421</v>
      </c>
      <c r="Q2836">
        <v>96</v>
      </c>
      <c r="R2836">
        <v>95</v>
      </c>
      <c r="S2836">
        <v>2</v>
      </c>
      <c r="U2836">
        <v>33</v>
      </c>
      <c r="V2836">
        <v>2</v>
      </c>
      <c r="X2836">
        <v>38</v>
      </c>
      <c r="Y2836">
        <v>42</v>
      </c>
      <c r="Z2836">
        <v>0</v>
      </c>
      <c r="AA2836">
        <v>98</v>
      </c>
      <c r="AC2836">
        <v>1</v>
      </c>
      <c r="AD2836">
        <v>3</v>
      </c>
      <c r="AE2836">
        <v>0</v>
      </c>
      <c r="AF2836">
        <v>0</v>
      </c>
      <c r="AK2836">
        <v>1</v>
      </c>
      <c r="AL2836">
        <v>0</v>
      </c>
      <c r="AM2836">
        <v>0</v>
      </c>
      <c r="AN2836">
        <v>0</v>
      </c>
      <c r="BC2836">
        <v>0</v>
      </c>
      <c r="BD2836">
        <v>11</v>
      </c>
      <c r="BE2836">
        <v>422</v>
      </c>
      <c r="BF2836">
        <v>422</v>
      </c>
      <c r="BG2836">
        <v>566</v>
      </c>
      <c r="BJ2836">
        <v>1</v>
      </c>
      <c r="BL2836" t="s">
        <v>5889</v>
      </c>
      <c r="BM2836" s="4">
        <v>43283.368055555555</v>
      </c>
      <c r="BN2836" s="4">
        <v>43283.378101851849</v>
      </c>
      <c r="BO2836" s="4">
        <v>43283.378101851849</v>
      </c>
      <c r="BP2836" t="s">
        <v>92</v>
      </c>
      <c r="BQ2836" t="s">
        <v>93</v>
      </c>
      <c r="BR2836" t="s">
        <v>94</v>
      </c>
    </row>
    <row r="2837" spans="1:70" x14ac:dyDescent="0.3">
      <c r="A2837" t="str">
        <f>"201995E0100"</f>
        <v>201995E0100</v>
      </c>
      <c r="B2837" s="2" t="s">
        <v>5890</v>
      </c>
      <c r="C2837">
        <v>20</v>
      </c>
      <c r="D2837" t="s">
        <v>88</v>
      </c>
      <c r="E2837">
        <v>463</v>
      </c>
      <c r="F2837" t="s">
        <v>5884</v>
      </c>
      <c r="G2837">
        <v>1995</v>
      </c>
      <c r="H2837">
        <v>1</v>
      </c>
      <c r="I2837" t="s">
        <v>156</v>
      </c>
      <c r="J2837">
        <v>0</v>
      </c>
      <c r="K2837">
        <v>2</v>
      </c>
      <c r="L2837">
        <v>5</v>
      </c>
      <c r="M2837">
        <v>97</v>
      </c>
      <c r="N2837">
        <v>108</v>
      </c>
      <c r="O2837">
        <v>4</v>
      </c>
      <c r="P2837">
        <v>108</v>
      </c>
      <c r="Q2837">
        <v>22</v>
      </c>
      <c r="R2837">
        <v>23</v>
      </c>
      <c r="S2837">
        <v>4</v>
      </c>
      <c r="U2837">
        <v>4</v>
      </c>
      <c r="V2837">
        <v>2</v>
      </c>
      <c r="X2837">
        <v>1</v>
      </c>
      <c r="Y2837">
        <v>6</v>
      </c>
      <c r="Z2837">
        <v>1</v>
      </c>
      <c r="AA2837">
        <v>38</v>
      </c>
      <c r="AC2837">
        <v>3</v>
      </c>
      <c r="AD2837">
        <v>1</v>
      </c>
      <c r="AE2837">
        <v>0</v>
      </c>
      <c r="AF2837">
        <v>0</v>
      </c>
      <c r="AK2837">
        <v>0</v>
      </c>
      <c r="AL2837">
        <v>0</v>
      </c>
      <c r="AM2837">
        <v>0</v>
      </c>
      <c r="AN2837">
        <v>0</v>
      </c>
      <c r="BC2837">
        <v>0</v>
      </c>
      <c r="BD2837">
        <v>3</v>
      </c>
      <c r="BE2837">
        <v>108</v>
      </c>
      <c r="BF2837">
        <v>108</v>
      </c>
      <c r="BG2837">
        <v>183</v>
      </c>
      <c r="BJ2837">
        <v>1</v>
      </c>
      <c r="BL2837" t="s">
        <v>5891</v>
      </c>
      <c r="BM2837" s="4">
        <v>43283.369444444441</v>
      </c>
      <c r="BN2837" s="4">
        <v>43283.37940972222</v>
      </c>
      <c r="BO2837" s="4">
        <v>43283.37940972222</v>
      </c>
      <c r="BP2837" t="s">
        <v>92</v>
      </c>
      <c r="BQ2837" t="s">
        <v>93</v>
      </c>
      <c r="BR2837" t="s">
        <v>94</v>
      </c>
    </row>
    <row r="2838" spans="1:70" x14ac:dyDescent="0.3">
      <c r="A2838" t="str">
        <f>"201996B0100"</f>
        <v>201996B0100</v>
      </c>
      <c r="B2838" t="s">
        <v>5892</v>
      </c>
      <c r="C2838">
        <v>20</v>
      </c>
      <c r="D2838" t="s">
        <v>88</v>
      </c>
      <c r="E2838">
        <v>463</v>
      </c>
      <c r="F2838" t="s">
        <v>5884</v>
      </c>
      <c r="G2838">
        <v>1996</v>
      </c>
      <c r="H2838">
        <v>1</v>
      </c>
      <c r="I2838" t="s">
        <v>90</v>
      </c>
      <c r="J2838">
        <v>0</v>
      </c>
      <c r="K2838">
        <v>2</v>
      </c>
      <c r="L2838">
        <v>5</v>
      </c>
      <c r="M2838">
        <v>155</v>
      </c>
      <c r="N2838">
        <v>279</v>
      </c>
      <c r="O2838">
        <v>13</v>
      </c>
      <c r="P2838">
        <v>266</v>
      </c>
      <c r="Q2838">
        <v>26</v>
      </c>
      <c r="R2838">
        <v>58</v>
      </c>
      <c r="S2838">
        <v>4</v>
      </c>
      <c r="U2838">
        <v>43</v>
      </c>
      <c r="V2838">
        <v>1</v>
      </c>
      <c r="X2838">
        <v>9</v>
      </c>
      <c r="Y2838">
        <v>31</v>
      </c>
      <c r="Z2838">
        <v>1</v>
      </c>
      <c r="AA2838">
        <v>73</v>
      </c>
      <c r="AC2838">
        <v>0</v>
      </c>
      <c r="AD2838">
        <v>0</v>
      </c>
      <c r="AE2838">
        <v>1</v>
      </c>
      <c r="AF2838">
        <v>1</v>
      </c>
      <c r="AK2838">
        <v>2</v>
      </c>
      <c r="AL2838">
        <v>1</v>
      </c>
      <c r="AM2838">
        <v>0</v>
      </c>
      <c r="AN2838">
        <v>0</v>
      </c>
      <c r="BC2838">
        <v>0</v>
      </c>
      <c r="BD2838">
        <v>16</v>
      </c>
      <c r="BE2838">
        <v>266</v>
      </c>
      <c r="BF2838">
        <v>267</v>
      </c>
      <c r="BG2838">
        <v>397</v>
      </c>
      <c r="BJ2838">
        <v>1</v>
      </c>
      <c r="BL2838" t="s">
        <v>5893</v>
      </c>
      <c r="BM2838" s="4">
        <v>43283.368750000001</v>
      </c>
      <c r="BN2838" s="4">
        <v>43283.380231481482</v>
      </c>
      <c r="BO2838" s="4">
        <v>43283.380231481482</v>
      </c>
      <c r="BP2838" t="s">
        <v>92</v>
      </c>
      <c r="BQ2838" t="s">
        <v>93</v>
      </c>
      <c r="BR2838" t="s">
        <v>94</v>
      </c>
    </row>
    <row r="2839" spans="1:70" x14ac:dyDescent="0.3">
      <c r="A2839" t="str">
        <f>"201997B0100"</f>
        <v>201997B0100</v>
      </c>
      <c r="B2839" t="s">
        <v>5894</v>
      </c>
      <c r="C2839">
        <v>20</v>
      </c>
      <c r="D2839" t="s">
        <v>88</v>
      </c>
      <c r="E2839">
        <v>463</v>
      </c>
      <c r="F2839" t="s">
        <v>5884</v>
      </c>
      <c r="G2839">
        <v>1997</v>
      </c>
      <c r="H2839">
        <v>1</v>
      </c>
      <c r="I2839" t="s">
        <v>90</v>
      </c>
      <c r="J2839">
        <v>0</v>
      </c>
      <c r="K2839">
        <v>2</v>
      </c>
      <c r="L2839">
        <v>5</v>
      </c>
      <c r="M2839">
        <v>180</v>
      </c>
      <c r="N2839">
        <v>230</v>
      </c>
      <c r="O2839">
        <v>3</v>
      </c>
      <c r="P2839">
        <v>230</v>
      </c>
      <c r="Q2839">
        <v>27</v>
      </c>
      <c r="R2839">
        <v>37</v>
      </c>
      <c r="S2839">
        <v>5</v>
      </c>
      <c r="U2839">
        <v>1</v>
      </c>
      <c r="V2839">
        <v>1</v>
      </c>
      <c r="X2839">
        <v>47</v>
      </c>
      <c r="Y2839">
        <v>5</v>
      </c>
      <c r="Z2839">
        <v>0</v>
      </c>
      <c r="AA2839">
        <v>84</v>
      </c>
      <c r="AC2839">
        <v>2</v>
      </c>
      <c r="AD2839">
        <v>2</v>
      </c>
      <c r="AE2839" t="s">
        <v>105</v>
      </c>
      <c r="AF2839" t="s">
        <v>105</v>
      </c>
      <c r="AK2839" t="s">
        <v>105</v>
      </c>
      <c r="AL2839" t="s">
        <v>105</v>
      </c>
      <c r="AM2839" t="s">
        <v>105</v>
      </c>
      <c r="AN2839" t="s">
        <v>105</v>
      </c>
      <c r="BC2839" t="s">
        <v>105</v>
      </c>
      <c r="BD2839">
        <v>19</v>
      </c>
      <c r="BE2839">
        <v>230</v>
      </c>
      <c r="BF2839">
        <v>230</v>
      </c>
      <c r="BG2839">
        <v>388</v>
      </c>
      <c r="BI2839" t="s">
        <v>106</v>
      </c>
      <c r="BJ2839">
        <v>1</v>
      </c>
      <c r="BL2839" t="s">
        <v>5895</v>
      </c>
      <c r="BM2839" s="4">
        <v>43283.368055555555</v>
      </c>
      <c r="BN2839" s="4">
        <v>43283.37871527778</v>
      </c>
      <c r="BO2839" s="4">
        <v>43283.37871527778</v>
      </c>
      <c r="BP2839" t="s">
        <v>92</v>
      </c>
      <c r="BQ2839" t="s">
        <v>93</v>
      </c>
      <c r="BR2839" t="s">
        <v>94</v>
      </c>
    </row>
    <row r="2840" spans="1:70" x14ac:dyDescent="0.3">
      <c r="A2840" t="str">
        <f>"201998B0100"</f>
        <v>201998B0100</v>
      </c>
      <c r="B2840" t="s">
        <v>5896</v>
      </c>
      <c r="C2840">
        <v>20</v>
      </c>
      <c r="D2840" t="s">
        <v>88</v>
      </c>
      <c r="E2840">
        <v>463</v>
      </c>
      <c r="F2840" t="s">
        <v>5884</v>
      </c>
      <c r="G2840">
        <v>1998</v>
      </c>
      <c r="H2840">
        <v>1</v>
      </c>
      <c r="I2840" t="s">
        <v>90</v>
      </c>
      <c r="J2840">
        <v>0</v>
      </c>
      <c r="K2840">
        <v>2</v>
      </c>
      <c r="L2840">
        <v>5</v>
      </c>
      <c r="M2840">
        <v>183</v>
      </c>
      <c r="N2840">
        <v>550</v>
      </c>
      <c r="O2840">
        <v>4</v>
      </c>
      <c r="P2840">
        <v>550</v>
      </c>
      <c r="Q2840">
        <v>48</v>
      </c>
      <c r="R2840">
        <v>58</v>
      </c>
      <c r="S2840">
        <v>9</v>
      </c>
      <c r="U2840">
        <v>33</v>
      </c>
      <c r="V2840">
        <v>3</v>
      </c>
      <c r="X2840">
        <v>176</v>
      </c>
      <c r="Y2840">
        <v>8</v>
      </c>
      <c r="Z2840">
        <v>0</v>
      </c>
      <c r="AA2840">
        <v>176</v>
      </c>
      <c r="AC2840">
        <v>1</v>
      </c>
      <c r="AD2840">
        <v>1</v>
      </c>
      <c r="AE2840">
        <v>0</v>
      </c>
      <c r="AF2840">
        <v>0</v>
      </c>
      <c r="AK2840">
        <v>0</v>
      </c>
      <c r="AL2840">
        <v>1</v>
      </c>
      <c r="AM2840">
        <v>1</v>
      </c>
      <c r="AN2840">
        <v>0</v>
      </c>
      <c r="BC2840">
        <v>0</v>
      </c>
      <c r="BD2840">
        <v>35</v>
      </c>
      <c r="BE2840" t="s">
        <v>105</v>
      </c>
      <c r="BF2840">
        <v>550</v>
      </c>
      <c r="BG2840">
        <v>711</v>
      </c>
      <c r="BJ2840">
        <v>1</v>
      </c>
      <c r="BL2840" t="s">
        <v>5897</v>
      </c>
      <c r="BM2840" s="4">
        <v>43283.367361111108</v>
      </c>
      <c r="BN2840" s="4">
        <v>43283.377939814818</v>
      </c>
      <c r="BO2840" s="4">
        <v>43283.377939814818</v>
      </c>
      <c r="BP2840" t="s">
        <v>92</v>
      </c>
      <c r="BQ2840" t="s">
        <v>93</v>
      </c>
      <c r="BR2840" t="s">
        <v>94</v>
      </c>
    </row>
    <row r="2841" spans="1:70" x14ac:dyDescent="0.3">
      <c r="A2841" t="str">
        <f>"202012B0100"</f>
        <v>202012B0100</v>
      </c>
      <c r="B2841" t="s">
        <v>5898</v>
      </c>
      <c r="C2841">
        <v>20</v>
      </c>
      <c r="D2841" t="s">
        <v>88</v>
      </c>
      <c r="E2841">
        <v>468</v>
      </c>
      <c r="F2841" t="s">
        <v>5899</v>
      </c>
      <c r="G2841">
        <v>2012</v>
      </c>
      <c r="H2841">
        <v>1</v>
      </c>
      <c r="I2841" t="s">
        <v>90</v>
      </c>
      <c r="J2841">
        <v>0</v>
      </c>
      <c r="K2841">
        <v>1</v>
      </c>
      <c r="L2841">
        <v>5</v>
      </c>
      <c r="M2841">
        <v>113</v>
      </c>
      <c r="N2841">
        <v>467</v>
      </c>
      <c r="O2841">
        <v>2</v>
      </c>
      <c r="P2841">
        <v>467</v>
      </c>
      <c r="Q2841">
        <v>2</v>
      </c>
      <c r="R2841">
        <v>231</v>
      </c>
      <c r="S2841">
        <v>12</v>
      </c>
      <c r="T2841">
        <v>1</v>
      </c>
      <c r="U2841">
        <v>6</v>
      </c>
      <c r="V2841">
        <v>2</v>
      </c>
      <c r="X2841">
        <v>1</v>
      </c>
      <c r="Y2841">
        <v>198</v>
      </c>
      <c r="Z2841">
        <v>2</v>
      </c>
      <c r="AC2841">
        <v>0</v>
      </c>
      <c r="AD2841">
        <v>0</v>
      </c>
      <c r="AE2841">
        <v>0</v>
      </c>
      <c r="AF2841">
        <v>0</v>
      </c>
      <c r="AG2841">
        <v>1</v>
      </c>
      <c r="AH2841">
        <v>1</v>
      </c>
      <c r="AI2841">
        <v>1</v>
      </c>
      <c r="AJ2841">
        <v>0</v>
      </c>
      <c r="AK2841">
        <v>1</v>
      </c>
      <c r="AL2841">
        <v>0</v>
      </c>
      <c r="AM2841">
        <v>0</v>
      </c>
      <c r="AN2841">
        <v>0</v>
      </c>
      <c r="BC2841" t="s">
        <v>105</v>
      </c>
      <c r="BD2841">
        <v>8</v>
      </c>
      <c r="BE2841">
        <v>467</v>
      </c>
      <c r="BF2841">
        <v>467</v>
      </c>
      <c r="BG2841">
        <v>558</v>
      </c>
      <c r="BI2841" t="s">
        <v>106</v>
      </c>
      <c r="BJ2841">
        <v>1</v>
      </c>
      <c r="BL2841" t="s">
        <v>5900</v>
      </c>
      <c r="BM2841" s="4">
        <v>43283.336805555555</v>
      </c>
      <c r="BN2841" s="4">
        <v>43283.354363425926</v>
      </c>
      <c r="BO2841" s="4">
        <v>43283.354363425926</v>
      </c>
      <c r="BP2841" t="s">
        <v>92</v>
      </c>
      <c r="BQ2841" t="s">
        <v>93</v>
      </c>
      <c r="BR2841" t="s">
        <v>94</v>
      </c>
    </row>
    <row r="2842" spans="1:70" x14ac:dyDescent="0.3">
      <c r="A2842" t="str">
        <f>"202012C0100"</f>
        <v>202012C0100</v>
      </c>
      <c r="B2842" t="s">
        <v>5901</v>
      </c>
      <c r="C2842">
        <v>20</v>
      </c>
      <c r="D2842" t="s">
        <v>88</v>
      </c>
      <c r="E2842">
        <v>468</v>
      </c>
      <c r="F2842" t="s">
        <v>5899</v>
      </c>
      <c r="G2842">
        <v>2012</v>
      </c>
      <c r="H2842">
        <v>1</v>
      </c>
      <c r="I2842" t="s">
        <v>98</v>
      </c>
      <c r="J2842">
        <v>0</v>
      </c>
      <c r="K2842">
        <v>1</v>
      </c>
      <c r="L2842">
        <v>5</v>
      </c>
      <c r="M2842">
        <v>126</v>
      </c>
      <c r="N2842">
        <v>451</v>
      </c>
      <c r="O2842">
        <v>5</v>
      </c>
      <c r="P2842">
        <v>452</v>
      </c>
      <c r="Q2842">
        <v>2</v>
      </c>
      <c r="R2842">
        <v>228</v>
      </c>
      <c r="S2842">
        <v>17</v>
      </c>
      <c r="T2842">
        <v>0</v>
      </c>
      <c r="U2842">
        <v>6</v>
      </c>
      <c r="V2842">
        <v>1</v>
      </c>
      <c r="X2842">
        <v>1</v>
      </c>
      <c r="Y2842">
        <v>183</v>
      </c>
      <c r="Z2842">
        <v>0</v>
      </c>
      <c r="AC2842">
        <v>0</v>
      </c>
      <c r="AD2842">
        <v>0</v>
      </c>
      <c r="AE2842">
        <v>0</v>
      </c>
      <c r="AF2842">
        <v>0</v>
      </c>
      <c r="AG2842">
        <v>0</v>
      </c>
      <c r="AH2842">
        <v>1</v>
      </c>
      <c r="AI2842">
        <v>0</v>
      </c>
      <c r="AJ2842">
        <v>0</v>
      </c>
      <c r="AK2842">
        <v>0</v>
      </c>
      <c r="AL2842">
        <v>1</v>
      </c>
      <c r="AM2842">
        <v>0</v>
      </c>
      <c r="AN2842">
        <v>0</v>
      </c>
      <c r="BC2842">
        <v>0</v>
      </c>
      <c r="BD2842">
        <v>12</v>
      </c>
      <c r="BE2842">
        <v>452</v>
      </c>
      <c r="BF2842">
        <v>452</v>
      </c>
      <c r="BG2842">
        <v>557</v>
      </c>
      <c r="BJ2842">
        <v>1</v>
      </c>
      <c r="BL2842" t="s">
        <v>5902</v>
      </c>
      <c r="BM2842" s="4">
        <v>43283.334027777775</v>
      </c>
      <c r="BN2842" s="4">
        <v>43283.351539351854</v>
      </c>
      <c r="BO2842" s="4">
        <v>43283.351539351854</v>
      </c>
      <c r="BP2842" t="s">
        <v>92</v>
      </c>
      <c r="BQ2842" t="s">
        <v>93</v>
      </c>
      <c r="BR2842" t="s">
        <v>94</v>
      </c>
    </row>
    <row r="2843" spans="1:70" x14ac:dyDescent="0.3">
      <c r="A2843" t="str">
        <f>"202013B0100"</f>
        <v>202013B0100</v>
      </c>
      <c r="B2843" t="s">
        <v>5903</v>
      </c>
      <c r="C2843">
        <v>20</v>
      </c>
      <c r="D2843" t="s">
        <v>88</v>
      </c>
      <c r="E2843">
        <v>468</v>
      </c>
      <c r="F2843" t="s">
        <v>5899</v>
      </c>
      <c r="G2843">
        <v>2013</v>
      </c>
      <c r="H2843">
        <v>1</v>
      </c>
      <c r="I2843" t="s">
        <v>90</v>
      </c>
      <c r="J2843">
        <v>0</v>
      </c>
      <c r="K2843">
        <v>1</v>
      </c>
      <c r="L2843">
        <v>5</v>
      </c>
      <c r="BG2843">
        <v>560</v>
      </c>
      <c r="BI2843" t="s">
        <v>122</v>
      </c>
      <c r="BJ2843">
        <v>0</v>
      </c>
      <c r="BL2843" t="s">
        <v>5904</v>
      </c>
      <c r="BM2843" s="4">
        <v>43283.445833333331</v>
      </c>
      <c r="BN2843" s="4">
        <v>43283.530173611114</v>
      </c>
      <c r="BO2843" s="4">
        <v>43283.530173611114</v>
      </c>
      <c r="BP2843" t="s">
        <v>92</v>
      </c>
      <c r="BQ2843" t="s">
        <v>93</v>
      </c>
      <c r="BR2843" t="s">
        <v>94</v>
      </c>
    </row>
    <row r="2844" spans="1:70" x14ac:dyDescent="0.3">
      <c r="A2844" t="str">
        <f>"202013C0100"</f>
        <v>202013C0100</v>
      </c>
      <c r="B2844" t="s">
        <v>5905</v>
      </c>
      <c r="C2844">
        <v>20</v>
      </c>
      <c r="D2844" t="s">
        <v>88</v>
      </c>
      <c r="E2844">
        <v>468</v>
      </c>
      <c r="F2844" t="s">
        <v>5899</v>
      </c>
      <c r="G2844">
        <v>2013</v>
      </c>
      <c r="H2844">
        <v>1</v>
      </c>
      <c r="I2844" t="s">
        <v>98</v>
      </c>
      <c r="J2844">
        <v>0</v>
      </c>
      <c r="K2844">
        <v>1</v>
      </c>
      <c r="L2844">
        <v>5</v>
      </c>
      <c r="BG2844">
        <v>560</v>
      </c>
      <c r="BI2844" t="s">
        <v>365</v>
      </c>
      <c r="BJ2844">
        <v>0</v>
      </c>
      <c r="BL2844" t="s">
        <v>5906</v>
      </c>
      <c r="BM2844" s="4">
        <v>43283.529166666667</v>
      </c>
      <c r="BN2844" s="4">
        <v>43283.532048611109</v>
      </c>
      <c r="BO2844" s="4">
        <v>43283.532048611109</v>
      </c>
      <c r="BP2844" t="s">
        <v>92</v>
      </c>
      <c r="BQ2844" t="s">
        <v>93</v>
      </c>
      <c r="BR2844" t="s">
        <v>94</v>
      </c>
    </row>
    <row r="2845" spans="1:70" x14ac:dyDescent="0.3">
      <c r="A2845" t="str">
        <f>"202013C0200"</f>
        <v>202013C0200</v>
      </c>
      <c r="B2845" t="s">
        <v>5907</v>
      </c>
      <c r="C2845">
        <v>20</v>
      </c>
      <c r="D2845" t="s">
        <v>88</v>
      </c>
      <c r="E2845">
        <v>468</v>
      </c>
      <c r="F2845" t="s">
        <v>5899</v>
      </c>
      <c r="G2845">
        <v>2013</v>
      </c>
      <c r="H2845">
        <v>2</v>
      </c>
      <c r="I2845" t="s">
        <v>98</v>
      </c>
      <c r="J2845">
        <v>0</v>
      </c>
      <c r="K2845">
        <v>1</v>
      </c>
      <c r="L2845">
        <v>5</v>
      </c>
      <c r="BG2845">
        <v>560</v>
      </c>
      <c r="BI2845" t="s">
        <v>122</v>
      </c>
      <c r="BJ2845">
        <v>0</v>
      </c>
      <c r="BL2845" t="s">
        <v>5908</v>
      </c>
      <c r="BM2845" s="4">
        <v>43283.529861111114</v>
      </c>
      <c r="BN2845" s="4">
        <v>43283.532766203702</v>
      </c>
      <c r="BO2845" s="4">
        <v>43283.532766203702</v>
      </c>
      <c r="BP2845" t="s">
        <v>92</v>
      </c>
      <c r="BQ2845" t="s">
        <v>93</v>
      </c>
      <c r="BR2845" t="s">
        <v>94</v>
      </c>
    </row>
    <row r="2846" spans="1:70" x14ac:dyDescent="0.3">
      <c r="A2846" t="str">
        <f>"202014B0100"</f>
        <v>202014B0100</v>
      </c>
      <c r="B2846" t="s">
        <v>5909</v>
      </c>
      <c r="C2846">
        <v>20</v>
      </c>
      <c r="D2846" t="s">
        <v>88</v>
      </c>
      <c r="E2846">
        <v>468</v>
      </c>
      <c r="F2846" t="s">
        <v>5899</v>
      </c>
      <c r="G2846">
        <v>2014</v>
      </c>
      <c r="H2846">
        <v>1</v>
      </c>
      <c r="I2846" t="s">
        <v>90</v>
      </c>
      <c r="J2846">
        <v>0</v>
      </c>
      <c r="K2846">
        <v>1</v>
      </c>
      <c r="L2846">
        <v>5</v>
      </c>
      <c r="M2846">
        <v>148</v>
      </c>
      <c r="N2846">
        <v>467</v>
      </c>
      <c r="O2846">
        <v>0</v>
      </c>
      <c r="P2846">
        <v>468</v>
      </c>
      <c r="Q2846">
        <v>0</v>
      </c>
      <c r="R2846">
        <v>185</v>
      </c>
      <c r="S2846">
        <v>12</v>
      </c>
      <c r="T2846">
        <v>2</v>
      </c>
      <c r="U2846">
        <v>1</v>
      </c>
      <c r="V2846">
        <v>4</v>
      </c>
      <c r="X2846">
        <v>2</v>
      </c>
      <c r="Y2846">
        <v>244</v>
      </c>
      <c r="Z2846">
        <v>2</v>
      </c>
      <c r="AC2846">
        <v>0</v>
      </c>
      <c r="AD2846">
        <v>1</v>
      </c>
      <c r="AE2846">
        <v>0</v>
      </c>
      <c r="AF2846">
        <v>0</v>
      </c>
      <c r="AG2846">
        <v>2</v>
      </c>
      <c r="AH2846">
        <v>0</v>
      </c>
      <c r="AI2846">
        <v>0</v>
      </c>
      <c r="AJ2846">
        <v>0</v>
      </c>
      <c r="AK2846">
        <v>4</v>
      </c>
      <c r="AL2846">
        <v>1</v>
      </c>
      <c r="AM2846">
        <v>0</v>
      </c>
      <c r="AN2846">
        <v>0</v>
      </c>
      <c r="BC2846">
        <v>0</v>
      </c>
      <c r="BD2846">
        <v>8</v>
      </c>
      <c r="BE2846" t="s">
        <v>105</v>
      </c>
      <c r="BF2846">
        <v>468</v>
      </c>
      <c r="BG2846">
        <v>594</v>
      </c>
      <c r="BJ2846">
        <v>1</v>
      </c>
      <c r="BL2846" t="s">
        <v>5910</v>
      </c>
      <c r="BM2846" s="4">
        <v>43283.327777777777</v>
      </c>
      <c r="BN2846" s="4">
        <v>43283.347986111112</v>
      </c>
      <c r="BO2846" s="4">
        <v>43283.347986111112</v>
      </c>
      <c r="BP2846" t="s">
        <v>92</v>
      </c>
      <c r="BQ2846" t="s">
        <v>93</v>
      </c>
      <c r="BR2846" t="s">
        <v>94</v>
      </c>
    </row>
    <row r="2847" spans="1:70" x14ac:dyDescent="0.3">
      <c r="A2847" t="str">
        <f>"202014C0100"</f>
        <v>202014C0100</v>
      </c>
      <c r="B2847" t="s">
        <v>5911</v>
      </c>
      <c r="C2847">
        <v>20</v>
      </c>
      <c r="D2847" t="s">
        <v>88</v>
      </c>
      <c r="E2847">
        <v>468</v>
      </c>
      <c r="F2847" t="s">
        <v>5899</v>
      </c>
      <c r="G2847">
        <v>2014</v>
      </c>
      <c r="H2847">
        <v>1</v>
      </c>
      <c r="I2847" t="s">
        <v>98</v>
      </c>
      <c r="J2847">
        <v>0</v>
      </c>
      <c r="K2847">
        <v>1</v>
      </c>
      <c r="L2847">
        <v>5</v>
      </c>
      <c r="M2847">
        <v>131</v>
      </c>
      <c r="N2847">
        <v>484</v>
      </c>
      <c r="O2847">
        <v>0</v>
      </c>
      <c r="P2847">
        <v>485</v>
      </c>
      <c r="Q2847">
        <v>4</v>
      </c>
      <c r="R2847">
        <v>166</v>
      </c>
      <c r="S2847">
        <v>10</v>
      </c>
      <c r="T2847">
        <v>2</v>
      </c>
      <c r="U2847">
        <v>9</v>
      </c>
      <c r="V2847">
        <v>3</v>
      </c>
      <c r="X2847">
        <v>2</v>
      </c>
      <c r="Y2847">
        <v>273</v>
      </c>
      <c r="Z2847">
        <v>2</v>
      </c>
      <c r="AC2847">
        <v>0</v>
      </c>
      <c r="AD2847">
        <v>0</v>
      </c>
      <c r="AE2847">
        <v>0</v>
      </c>
      <c r="AF2847">
        <v>0</v>
      </c>
      <c r="AG2847">
        <v>4</v>
      </c>
      <c r="AH2847">
        <v>0</v>
      </c>
      <c r="AI2847">
        <v>0</v>
      </c>
      <c r="AJ2847">
        <v>0</v>
      </c>
      <c r="AK2847">
        <v>2</v>
      </c>
      <c r="AL2847">
        <v>1</v>
      </c>
      <c r="AM2847">
        <v>0</v>
      </c>
      <c r="AN2847">
        <v>1</v>
      </c>
      <c r="BC2847">
        <v>0</v>
      </c>
      <c r="BD2847">
        <v>6</v>
      </c>
      <c r="BE2847">
        <v>485</v>
      </c>
      <c r="BF2847">
        <v>485</v>
      </c>
      <c r="BG2847">
        <v>594</v>
      </c>
      <c r="BJ2847">
        <v>1</v>
      </c>
      <c r="BL2847" t="s">
        <v>5912</v>
      </c>
      <c r="BM2847" s="4">
        <v>43283.330555555556</v>
      </c>
      <c r="BN2847" s="4">
        <v>43283.349768518521</v>
      </c>
      <c r="BO2847" s="4">
        <v>43283.349768518521</v>
      </c>
      <c r="BP2847" t="s">
        <v>92</v>
      </c>
      <c r="BQ2847" t="s">
        <v>93</v>
      </c>
      <c r="BR2847" t="s">
        <v>94</v>
      </c>
    </row>
    <row r="2848" spans="1:70" x14ac:dyDescent="0.3">
      <c r="A2848" t="str">
        <f>"202015B0100"</f>
        <v>202015B0100</v>
      </c>
      <c r="B2848" t="s">
        <v>5913</v>
      </c>
      <c r="C2848">
        <v>20</v>
      </c>
      <c r="D2848" t="s">
        <v>88</v>
      </c>
      <c r="E2848">
        <v>468</v>
      </c>
      <c r="F2848" t="s">
        <v>5899</v>
      </c>
      <c r="G2848">
        <v>2015</v>
      </c>
      <c r="H2848">
        <v>1</v>
      </c>
      <c r="I2848" t="s">
        <v>90</v>
      </c>
      <c r="J2848">
        <v>0</v>
      </c>
      <c r="K2848">
        <v>1</v>
      </c>
      <c r="L2848">
        <v>5</v>
      </c>
      <c r="M2848">
        <v>178</v>
      </c>
      <c r="N2848">
        <v>511</v>
      </c>
      <c r="O2848">
        <v>0</v>
      </c>
      <c r="P2848">
        <v>511</v>
      </c>
      <c r="Q2848">
        <v>1</v>
      </c>
      <c r="R2848">
        <v>203</v>
      </c>
      <c r="S2848">
        <v>4</v>
      </c>
      <c r="T2848">
        <v>2</v>
      </c>
      <c r="U2848">
        <v>8</v>
      </c>
      <c r="V2848">
        <v>8</v>
      </c>
      <c r="X2848">
        <v>0</v>
      </c>
      <c r="Y2848">
        <v>269</v>
      </c>
      <c r="Z2848">
        <v>0</v>
      </c>
      <c r="AC2848">
        <v>0</v>
      </c>
      <c r="AD2848">
        <v>0</v>
      </c>
      <c r="AE2848">
        <v>0</v>
      </c>
      <c r="AF2848">
        <v>0</v>
      </c>
      <c r="AG2848">
        <v>3</v>
      </c>
      <c r="AH2848">
        <v>1</v>
      </c>
      <c r="AI2848">
        <v>1</v>
      </c>
      <c r="AJ2848">
        <v>0</v>
      </c>
      <c r="AK2848">
        <v>1</v>
      </c>
      <c r="AL2848">
        <v>0</v>
      </c>
      <c r="AM2848">
        <v>0</v>
      </c>
      <c r="AN2848">
        <v>0</v>
      </c>
      <c r="BC2848">
        <v>0</v>
      </c>
      <c r="BD2848">
        <v>10</v>
      </c>
      <c r="BE2848">
        <v>511</v>
      </c>
      <c r="BF2848">
        <v>511</v>
      </c>
      <c r="BG2848">
        <v>667</v>
      </c>
      <c r="BJ2848">
        <v>1</v>
      </c>
      <c r="BL2848" t="s">
        <v>5914</v>
      </c>
      <c r="BM2848" s="4">
        <v>43283.324999999997</v>
      </c>
      <c r="BN2848" s="4">
        <v>43283.345775462964</v>
      </c>
      <c r="BO2848" s="4">
        <v>43283.345775462964</v>
      </c>
      <c r="BP2848" t="s">
        <v>92</v>
      </c>
      <c r="BQ2848" t="s">
        <v>93</v>
      </c>
      <c r="BR2848" t="s">
        <v>94</v>
      </c>
    </row>
    <row r="2849" spans="1:70" x14ac:dyDescent="0.3">
      <c r="A2849" t="str">
        <f>"202015C0100"</f>
        <v>202015C0100</v>
      </c>
      <c r="B2849" t="s">
        <v>5915</v>
      </c>
      <c r="C2849">
        <v>20</v>
      </c>
      <c r="D2849" t="s">
        <v>88</v>
      </c>
      <c r="E2849">
        <v>468</v>
      </c>
      <c r="F2849" t="s">
        <v>5899</v>
      </c>
      <c r="G2849">
        <v>2015</v>
      </c>
      <c r="H2849">
        <v>1</v>
      </c>
      <c r="I2849" t="s">
        <v>98</v>
      </c>
      <c r="J2849">
        <v>0</v>
      </c>
      <c r="K2849">
        <v>1</v>
      </c>
      <c r="L2849">
        <v>5</v>
      </c>
      <c r="M2849">
        <v>160</v>
      </c>
      <c r="N2849">
        <v>528</v>
      </c>
      <c r="O2849">
        <v>0</v>
      </c>
      <c r="P2849">
        <v>528</v>
      </c>
      <c r="Q2849">
        <v>1</v>
      </c>
      <c r="R2849">
        <v>221</v>
      </c>
      <c r="S2849">
        <v>9</v>
      </c>
      <c r="T2849">
        <v>5</v>
      </c>
      <c r="U2849">
        <v>8</v>
      </c>
      <c r="V2849">
        <v>2</v>
      </c>
      <c r="X2849">
        <v>0</v>
      </c>
      <c r="Y2849">
        <v>260</v>
      </c>
      <c r="Z2849">
        <v>2</v>
      </c>
      <c r="AC2849">
        <v>0</v>
      </c>
      <c r="AD2849">
        <v>0</v>
      </c>
      <c r="AE2849">
        <v>0</v>
      </c>
      <c r="AF2849">
        <v>0</v>
      </c>
      <c r="AG2849">
        <v>2</v>
      </c>
      <c r="AH2849">
        <v>0</v>
      </c>
      <c r="AI2849">
        <v>3</v>
      </c>
      <c r="AJ2849">
        <v>0</v>
      </c>
      <c r="AK2849">
        <v>0</v>
      </c>
      <c r="AL2849">
        <v>0</v>
      </c>
      <c r="AM2849">
        <v>1</v>
      </c>
      <c r="AN2849">
        <v>0</v>
      </c>
      <c r="BC2849">
        <v>0</v>
      </c>
      <c r="BD2849">
        <v>0</v>
      </c>
      <c r="BE2849">
        <v>528</v>
      </c>
      <c r="BF2849">
        <v>514</v>
      </c>
      <c r="BG2849">
        <v>666</v>
      </c>
      <c r="BJ2849">
        <v>1</v>
      </c>
      <c r="BL2849" t="s">
        <v>5916</v>
      </c>
      <c r="BM2849" s="4">
        <v>43283.321527777778</v>
      </c>
      <c r="BN2849" s="4">
        <v>43283.349143518521</v>
      </c>
      <c r="BO2849" s="4">
        <v>43283.349143518521</v>
      </c>
      <c r="BP2849" t="s">
        <v>92</v>
      </c>
      <c r="BQ2849" t="s">
        <v>93</v>
      </c>
      <c r="BR2849" t="s">
        <v>94</v>
      </c>
    </row>
    <row r="2850" spans="1:70" x14ac:dyDescent="0.3">
      <c r="A2850" t="str">
        <f>"202016B0100"</f>
        <v>202016B0100</v>
      </c>
      <c r="B2850" t="s">
        <v>5917</v>
      </c>
      <c r="C2850">
        <v>20</v>
      </c>
      <c r="D2850" t="s">
        <v>88</v>
      </c>
      <c r="E2850">
        <v>468</v>
      </c>
      <c r="F2850" t="s">
        <v>5899</v>
      </c>
      <c r="G2850">
        <v>2016</v>
      </c>
      <c r="H2850">
        <v>1</v>
      </c>
      <c r="I2850" t="s">
        <v>90</v>
      </c>
      <c r="J2850">
        <v>0</v>
      </c>
      <c r="K2850">
        <v>1</v>
      </c>
      <c r="L2850">
        <v>5</v>
      </c>
      <c r="M2850">
        <v>127</v>
      </c>
      <c r="N2850">
        <v>342</v>
      </c>
      <c r="O2850">
        <v>2</v>
      </c>
      <c r="P2850">
        <v>394</v>
      </c>
      <c r="Q2850">
        <v>3</v>
      </c>
      <c r="R2850">
        <v>161</v>
      </c>
      <c r="S2850">
        <v>7</v>
      </c>
      <c r="T2850">
        <v>2</v>
      </c>
      <c r="U2850">
        <v>2</v>
      </c>
      <c r="V2850">
        <v>2</v>
      </c>
      <c r="X2850">
        <v>1</v>
      </c>
      <c r="Y2850">
        <v>204</v>
      </c>
      <c r="Z2850">
        <v>0</v>
      </c>
      <c r="AC2850">
        <v>0</v>
      </c>
      <c r="AD2850">
        <v>1</v>
      </c>
      <c r="AE2850">
        <v>0</v>
      </c>
      <c r="AF2850">
        <v>0</v>
      </c>
      <c r="AG2850">
        <v>0</v>
      </c>
      <c r="AH2850">
        <v>3</v>
      </c>
      <c r="AI2850">
        <v>0</v>
      </c>
      <c r="AJ2850">
        <v>0</v>
      </c>
      <c r="AK2850">
        <v>0</v>
      </c>
      <c r="AL2850">
        <v>0</v>
      </c>
      <c r="AM2850">
        <v>0</v>
      </c>
      <c r="AN2850">
        <v>1</v>
      </c>
      <c r="BC2850">
        <v>0</v>
      </c>
      <c r="BD2850">
        <v>7</v>
      </c>
      <c r="BE2850">
        <v>394</v>
      </c>
      <c r="BF2850">
        <v>394</v>
      </c>
      <c r="BG2850">
        <v>499</v>
      </c>
      <c r="BJ2850">
        <v>1</v>
      </c>
      <c r="BL2850" t="s">
        <v>5918</v>
      </c>
      <c r="BM2850" s="4">
        <v>43283.072222222225</v>
      </c>
      <c r="BN2850" s="4">
        <v>43283.076331018521</v>
      </c>
      <c r="BO2850" s="4">
        <v>43283.076331018521</v>
      </c>
      <c r="BP2850" t="s">
        <v>92</v>
      </c>
      <c r="BQ2850" t="s">
        <v>93</v>
      </c>
      <c r="BR2850" t="s">
        <v>94</v>
      </c>
    </row>
    <row r="2851" spans="1:70" x14ac:dyDescent="0.3">
      <c r="A2851" t="str">
        <f>"202016C0100"</f>
        <v>202016C0100</v>
      </c>
      <c r="B2851" t="s">
        <v>5919</v>
      </c>
      <c r="C2851">
        <v>20</v>
      </c>
      <c r="D2851" t="s">
        <v>88</v>
      </c>
      <c r="E2851">
        <v>468</v>
      </c>
      <c r="F2851" t="s">
        <v>5899</v>
      </c>
      <c r="G2851">
        <v>2016</v>
      </c>
      <c r="H2851">
        <v>1</v>
      </c>
      <c r="I2851" t="s">
        <v>98</v>
      </c>
      <c r="J2851">
        <v>0</v>
      </c>
      <c r="K2851">
        <v>1</v>
      </c>
      <c r="L2851">
        <v>5</v>
      </c>
      <c r="M2851">
        <v>122</v>
      </c>
      <c r="N2851">
        <v>398</v>
      </c>
      <c r="O2851">
        <v>0</v>
      </c>
      <c r="P2851">
        <v>398</v>
      </c>
      <c r="Q2851">
        <v>2</v>
      </c>
      <c r="R2851">
        <v>161</v>
      </c>
      <c r="S2851">
        <v>5</v>
      </c>
      <c r="T2851">
        <v>1</v>
      </c>
      <c r="U2851">
        <v>3</v>
      </c>
      <c r="V2851">
        <v>2</v>
      </c>
      <c r="X2851">
        <v>0</v>
      </c>
      <c r="Y2851">
        <v>207</v>
      </c>
      <c r="Z2851">
        <v>1</v>
      </c>
      <c r="AC2851">
        <v>0</v>
      </c>
      <c r="AD2851">
        <v>0</v>
      </c>
      <c r="AE2851">
        <v>0</v>
      </c>
      <c r="AF2851">
        <v>1</v>
      </c>
      <c r="AG2851">
        <v>2</v>
      </c>
      <c r="AH2851">
        <v>0</v>
      </c>
      <c r="AI2851">
        <v>2</v>
      </c>
      <c r="AJ2851">
        <v>0</v>
      </c>
      <c r="AK2851">
        <v>4</v>
      </c>
      <c r="AL2851">
        <v>0</v>
      </c>
      <c r="AM2851">
        <v>0</v>
      </c>
      <c r="AN2851">
        <v>0</v>
      </c>
      <c r="BC2851">
        <v>0</v>
      </c>
      <c r="BD2851">
        <v>7</v>
      </c>
      <c r="BE2851">
        <v>398</v>
      </c>
      <c r="BF2851">
        <v>398</v>
      </c>
      <c r="BG2851">
        <v>498</v>
      </c>
      <c r="BJ2851">
        <v>1</v>
      </c>
      <c r="BL2851" t="s">
        <v>5920</v>
      </c>
      <c r="BM2851" s="4">
        <v>43283.066666666666</v>
      </c>
      <c r="BN2851" s="4">
        <v>43283.073564814818</v>
      </c>
      <c r="BO2851" s="4">
        <v>43283.073564814818</v>
      </c>
      <c r="BP2851" t="s">
        <v>92</v>
      </c>
      <c r="BQ2851" t="s">
        <v>93</v>
      </c>
      <c r="BR2851" t="s">
        <v>94</v>
      </c>
    </row>
    <row r="2852" spans="1:70" x14ac:dyDescent="0.3">
      <c r="A2852" t="str">
        <f>"202017B0100"</f>
        <v>202017B0100</v>
      </c>
      <c r="B2852" t="s">
        <v>5921</v>
      </c>
      <c r="C2852">
        <v>20</v>
      </c>
      <c r="D2852" t="s">
        <v>88</v>
      </c>
      <c r="E2852">
        <v>468</v>
      </c>
      <c r="F2852" t="s">
        <v>5899</v>
      </c>
      <c r="G2852">
        <v>2017</v>
      </c>
      <c r="H2852">
        <v>1</v>
      </c>
      <c r="I2852" t="s">
        <v>90</v>
      </c>
      <c r="J2852">
        <v>0</v>
      </c>
      <c r="K2852">
        <v>1</v>
      </c>
      <c r="L2852">
        <v>5</v>
      </c>
      <c r="M2852">
        <v>158</v>
      </c>
      <c r="N2852">
        <v>531</v>
      </c>
      <c r="O2852">
        <v>3</v>
      </c>
      <c r="P2852">
        <v>529</v>
      </c>
      <c r="Q2852">
        <v>1</v>
      </c>
      <c r="R2852">
        <v>280</v>
      </c>
      <c r="S2852">
        <v>10</v>
      </c>
      <c r="T2852">
        <v>1</v>
      </c>
      <c r="U2852">
        <v>4</v>
      </c>
      <c r="V2852">
        <v>1</v>
      </c>
      <c r="X2852">
        <v>2</v>
      </c>
      <c r="Y2852">
        <v>201</v>
      </c>
      <c r="Z2852">
        <v>1</v>
      </c>
      <c r="AC2852">
        <v>0</v>
      </c>
      <c r="AD2852">
        <v>0</v>
      </c>
      <c r="AE2852">
        <v>0</v>
      </c>
      <c r="AF2852">
        <v>0</v>
      </c>
      <c r="AG2852">
        <v>1</v>
      </c>
      <c r="AH2852">
        <v>4</v>
      </c>
      <c r="AI2852">
        <v>1</v>
      </c>
      <c r="AJ2852">
        <v>0</v>
      </c>
      <c r="AK2852">
        <v>2</v>
      </c>
      <c r="AL2852">
        <v>3</v>
      </c>
      <c r="AM2852">
        <v>0</v>
      </c>
      <c r="AN2852">
        <v>0</v>
      </c>
      <c r="BC2852">
        <v>0</v>
      </c>
      <c r="BD2852">
        <v>17</v>
      </c>
      <c r="BE2852">
        <v>529</v>
      </c>
      <c r="BF2852">
        <v>529</v>
      </c>
      <c r="BG2852">
        <v>666</v>
      </c>
      <c r="BJ2852">
        <v>1</v>
      </c>
      <c r="BL2852" t="s">
        <v>5922</v>
      </c>
      <c r="BM2852" s="4">
        <v>43283.149305555555</v>
      </c>
      <c r="BN2852" s="4">
        <v>43283.163055555553</v>
      </c>
      <c r="BO2852" s="4">
        <v>43283.163055555553</v>
      </c>
      <c r="BP2852" t="s">
        <v>92</v>
      </c>
      <c r="BQ2852" t="s">
        <v>93</v>
      </c>
      <c r="BR2852" t="s">
        <v>94</v>
      </c>
    </row>
    <row r="2853" spans="1:70" x14ac:dyDescent="0.3">
      <c r="A2853" t="str">
        <f>"202017C0100"</f>
        <v>202017C0100</v>
      </c>
      <c r="B2853" t="s">
        <v>5923</v>
      </c>
      <c r="C2853">
        <v>20</v>
      </c>
      <c r="D2853" t="s">
        <v>88</v>
      </c>
      <c r="E2853">
        <v>468</v>
      </c>
      <c r="F2853" t="s">
        <v>5899</v>
      </c>
      <c r="G2853">
        <v>2017</v>
      </c>
      <c r="H2853">
        <v>1</v>
      </c>
      <c r="I2853" t="s">
        <v>98</v>
      </c>
      <c r="J2853">
        <v>0</v>
      </c>
      <c r="K2853">
        <v>1</v>
      </c>
      <c r="L2853">
        <v>5</v>
      </c>
      <c r="M2853">
        <v>133</v>
      </c>
      <c r="N2853">
        <v>555</v>
      </c>
      <c r="O2853">
        <v>3</v>
      </c>
      <c r="P2853">
        <v>688</v>
      </c>
      <c r="Q2853">
        <v>2</v>
      </c>
      <c r="R2853">
        <v>301</v>
      </c>
      <c r="S2853">
        <v>9</v>
      </c>
      <c r="T2853">
        <v>9</v>
      </c>
      <c r="U2853">
        <v>0</v>
      </c>
      <c r="V2853">
        <v>2</v>
      </c>
      <c r="X2853">
        <v>2</v>
      </c>
      <c r="Y2853">
        <v>214</v>
      </c>
      <c r="Z2853">
        <v>0</v>
      </c>
      <c r="AC2853">
        <v>0</v>
      </c>
      <c r="AD2853">
        <v>0</v>
      </c>
      <c r="AE2853">
        <v>0</v>
      </c>
      <c r="AF2853">
        <v>0</v>
      </c>
      <c r="AG2853">
        <v>0</v>
      </c>
      <c r="AH2853">
        <v>4</v>
      </c>
      <c r="AI2853">
        <v>0</v>
      </c>
      <c r="AJ2853">
        <v>0</v>
      </c>
      <c r="AK2853">
        <v>2</v>
      </c>
      <c r="AL2853">
        <v>1</v>
      </c>
      <c r="AM2853">
        <v>0</v>
      </c>
      <c r="AN2853">
        <v>0</v>
      </c>
      <c r="BC2853">
        <v>0</v>
      </c>
      <c r="BD2853">
        <v>15</v>
      </c>
      <c r="BE2853">
        <v>561</v>
      </c>
      <c r="BF2853">
        <v>561</v>
      </c>
      <c r="BG2853">
        <v>666</v>
      </c>
      <c r="BJ2853">
        <v>1</v>
      </c>
      <c r="BL2853" t="s">
        <v>5924</v>
      </c>
      <c r="BM2853" s="4">
        <v>43283.145833333336</v>
      </c>
      <c r="BN2853" s="4">
        <v>43283.153645833336</v>
      </c>
      <c r="BO2853" s="4">
        <v>43283.153645833336</v>
      </c>
      <c r="BP2853" t="s">
        <v>92</v>
      </c>
      <c r="BQ2853" t="s">
        <v>93</v>
      </c>
      <c r="BR2853" t="s">
        <v>94</v>
      </c>
    </row>
    <row r="2854" spans="1:70" x14ac:dyDescent="0.3">
      <c r="A2854" t="str">
        <f>"202018B0100"</f>
        <v>202018B0100</v>
      </c>
      <c r="B2854" t="s">
        <v>5925</v>
      </c>
      <c r="C2854">
        <v>20</v>
      </c>
      <c r="D2854" t="s">
        <v>88</v>
      </c>
      <c r="E2854">
        <v>468</v>
      </c>
      <c r="F2854" t="s">
        <v>5899</v>
      </c>
      <c r="G2854">
        <v>2018</v>
      </c>
      <c r="H2854">
        <v>1</v>
      </c>
      <c r="I2854" t="s">
        <v>90</v>
      </c>
      <c r="J2854">
        <v>0</v>
      </c>
      <c r="K2854">
        <v>2</v>
      </c>
      <c r="L2854">
        <v>5</v>
      </c>
      <c r="M2854">
        <v>200</v>
      </c>
      <c r="N2854">
        <v>563</v>
      </c>
      <c r="O2854">
        <v>0</v>
      </c>
      <c r="P2854">
        <v>564</v>
      </c>
      <c r="Q2854">
        <v>6</v>
      </c>
      <c r="R2854">
        <v>252</v>
      </c>
      <c r="S2854">
        <v>9</v>
      </c>
      <c r="T2854">
        <v>4</v>
      </c>
      <c r="U2854">
        <v>7</v>
      </c>
      <c r="V2854">
        <v>9</v>
      </c>
      <c r="X2854">
        <v>1</v>
      </c>
      <c r="Y2854">
        <v>244</v>
      </c>
      <c r="Z2854">
        <v>3</v>
      </c>
      <c r="AC2854">
        <v>0</v>
      </c>
      <c r="AD2854">
        <v>1</v>
      </c>
      <c r="AE2854">
        <v>0</v>
      </c>
      <c r="AF2854">
        <v>0</v>
      </c>
      <c r="AG2854">
        <v>3</v>
      </c>
      <c r="AH2854">
        <v>1</v>
      </c>
      <c r="AI2854">
        <v>0</v>
      </c>
      <c r="AJ2854">
        <v>0</v>
      </c>
      <c r="AK2854">
        <v>3</v>
      </c>
      <c r="AL2854">
        <v>0</v>
      </c>
      <c r="AM2854">
        <v>3</v>
      </c>
      <c r="AN2854">
        <v>1</v>
      </c>
      <c r="BC2854">
        <v>0</v>
      </c>
      <c r="BD2854">
        <v>17</v>
      </c>
      <c r="BE2854">
        <v>564</v>
      </c>
      <c r="BF2854">
        <v>564</v>
      </c>
      <c r="BG2854">
        <v>743</v>
      </c>
      <c r="BJ2854">
        <v>1</v>
      </c>
      <c r="BL2854" t="s">
        <v>5926</v>
      </c>
      <c r="BM2854" s="4">
        <v>43283.162499999999</v>
      </c>
      <c r="BN2854" s="4">
        <v>43283.174305555556</v>
      </c>
      <c r="BO2854" s="4">
        <v>43283.174305555556</v>
      </c>
      <c r="BP2854" t="s">
        <v>92</v>
      </c>
      <c r="BQ2854" t="s">
        <v>93</v>
      </c>
      <c r="BR2854" t="s">
        <v>94</v>
      </c>
    </row>
    <row r="2855" spans="1:70" x14ac:dyDescent="0.3">
      <c r="A2855" t="str">
        <f>"202018E0100"</f>
        <v>202018E0100</v>
      </c>
      <c r="B2855" s="2" t="s">
        <v>5927</v>
      </c>
      <c r="C2855">
        <v>20</v>
      </c>
      <c r="D2855" t="s">
        <v>88</v>
      </c>
      <c r="E2855">
        <v>468</v>
      </c>
      <c r="F2855" t="s">
        <v>5899</v>
      </c>
      <c r="G2855">
        <v>2018</v>
      </c>
      <c r="H2855">
        <v>1</v>
      </c>
      <c r="I2855" t="s">
        <v>156</v>
      </c>
      <c r="J2855">
        <v>0</v>
      </c>
      <c r="K2855">
        <v>2</v>
      </c>
      <c r="L2855">
        <v>5</v>
      </c>
      <c r="M2855">
        <v>144</v>
      </c>
      <c r="N2855">
        <v>548</v>
      </c>
      <c r="O2855">
        <v>0</v>
      </c>
      <c r="P2855">
        <v>548</v>
      </c>
      <c r="Q2855">
        <v>2</v>
      </c>
      <c r="R2855">
        <v>323</v>
      </c>
      <c r="S2855">
        <v>3</v>
      </c>
      <c r="T2855">
        <v>2</v>
      </c>
      <c r="U2855">
        <v>2</v>
      </c>
      <c r="V2855">
        <v>5</v>
      </c>
      <c r="X2855">
        <v>0</v>
      </c>
      <c r="Y2855">
        <v>205</v>
      </c>
      <c r="Z2855">
        <v>0</v>
      </c>
      <c r="AC2855">
        <v>0</v>
      </c>
      <c r="AD2855">
        <v>0</v>
      </c>
      <c r="AE2855">
        <v>0</v>
      </c>
      <c r="AF2855">
        <v>0</v>
      </c>
      <c r="AG2855">
        <v>2</v>
      </c>
      <c r="AH2855">
        <v>0</v>
      </c>
      <c r="AI2855">
        <v>0</v>
      </c>
      <c r="AJ2855">
        <v>0</v>
      </c>
      <c r="AK2855">
        <v>0</v>
      </c>
      <c r="AL2855">
        <v>0</v>
      </c>
      <c r="AM2855">
        <v>0</v>
      </c>
      <c r="AN2855">
        <v>0</v>
      </c>
      <c r="BC2855">
        <v>0</v>
      </c>
      <c r="BD2855">
        <v>4</v>
      </c>
      <c r="BE2855">
        <v>548</v>
      </c>
      <c r="BF2855">
        <v>548</v>
      </c>
      <c r="BG2855">
        <v>670</v>
      </c>
      <c r="BJ2855">
        <v>1</v>
      </c>
      <c r="BL2855" t="s">
        <v>5928</v>
      </c>
      <c r="BM2855" s="4">
        <v>43283.166666666664</v>
      </c>
      <c r="BN2855" s="4">
        <v>43283.17695601852</v>
      </c>
      <c r="BO2855" s="4">
        <v>43283.17695601852</v>
      </c>
      <c r="BP2855" t="s">
        <v>92</v>
      </c>
      <c r="BQ2855" t="s">
        <v>93</v>
      </c>
      <c r="BR2855" t="s">
        <v>94</v>
      </c>
    </row>
    <row r="2856" spans="1:70" x14ac:dyDescent="0.3">
      <c r="A2856" t="str">
        <f>"202019B0100"</f>
        <v>202019B0100</v>
      </c>
      <c r="B2856" t="s">
        <v>5929</v>
      </c>
      <c r="C2856">
        <v>20</v>
      </c>
      <c r="D2856" t="s">
        <v>88</v>
      </c>
      <c r="E2856">
        <v>468</v>
      </c>
      <c r="F2856" t="s">
        <v>5899</v>
      </c>
      <c r="G2856">
        <v>2019</v>
      </c>
      <c r="H2856">
        <v>1</v>
      </c>
      <c r="I2856" t="s">
        <v>90</v>
      </c>
      <c r="J2856">
        <v>0</v>
      </c>
      <c r="K2856">
        <v>2</v>
      </c>
      <c r="L2856">
        <v>5</v>
      </c>
      <c r="M2856">
        <v>146</v>
      </c>
      <c r="N2856">
        <v>472</v>
      </c>
      <c r="O2856">
        <v>0</v>
      </c>
      <c r="P2856">
        <v>472</v>
      </c>
      <c r="Q2856">
        <v>1</v>
      </c>
      <c r="R2856">
        <v>170</v>
      </c>
      <c r="S2856">
        <v>13</v>
      </c>
      <c r="T2856">
        <v>4</v>
      </c>
      <c r="U2856">
        <v>4</v>
      </c>
      <c r="V2856">
        <v>7</v>
      </c>
      <c r="X2856">
        <v>1</v>
      </c>
      <c r="Y2856">
        <v>245</v>
      </c>
      <c r="Z2856">
        <v>1</v>
      </c>
      <c r="AC2856">
        <v>0</v>
      </c>
      <c r="AD2856">
        <v>0</v>
      </c>
      <c r="AE2856">
        <v>0</v>
      </c>
      <c r="AF2856">
        <v>0</v>
      </c>
      <c r="AG2856">
        <v>0</v>
      </c>
      <c r="AH2856">
        <v>0</v>
      </c>
      <c r="AI2856">
        <v>0</v>
      </c>
      <c r="AJ2856">
        <v>0</v>
      </c>
      <c r="AK2856">
        <v>7</v>
      </c>
      <c r="AL2856">
        <v>0</v>
      </c>
      <c r="AM2856">
        <v>0</v>
      </c>
      <c r="AN2856">
        <v>2</v>
      </c>
      <c r="BC2856">
        <v>0</v>
      </c>
      <c r="BD2856">
        <v>17</v>
      </c>
      <c r="BE2856">
        <v>472</v>
      </c>
      <c r="BF2856">
        <v>472</v>
      </c>
      <c r="BG2856">
        <v>596</v>
      </c>
      <c r="BJ2856">
        <v>1</v>
      </c>
      <c r="BL2856" t="s">
        <v>5930</v>
      </c>
      <c r="BM2856" s="4">
        <v>43283.170138888891</v>
      </c>
      <c r="BN2856" s="4">
        <v>43283.183217592596</v>
      </c>
      <c r="BO2856" s="4">
        <v>43283.183217592596</v>
      </c>
      <c r="BP2856" t="s">
        <v>92</v>
      </c>
      <c r="BQ2856" t="s">
        <v>93</v>
      </c>
      <c r="BR2856" t="s">
        <v>94</v>
      </c>
    </row>
    <row r="2857" spans="1:70" x14ac:dyDescent="0.3">
      <c r="A2857" t="str">
        <f>"202020B0100"</f>
        <v>202020B0100</v>
      </c>
      <c r="B2857" t="s">
        <v>5931</v>
      </c>
      <c r="C2857">
        <v>20</v>
      </c>
      <c r="D2857" t="s">
        <v>88</v>
      </c>
      <c r="E2857">
        <v>468</v>
      </c>
      <c r="F2857" t="s">
        <v>5899</v>
      </c>
      <c r="G2857">
        <v>2020</v>
      </c>
      <c r="H2857">
        <v>1</v>
      </c>
      <c r="I2857" t="s">
        <v>90</v>
      </c>
      <c r="J2857">
        <v>0</v>
      </c>
      <c r="K2857">
        <v>2</v>
      </c>
      <c r="L2857">
        <v>5</v>
      </c>
      <c r="M2857">
        <v>111</v>
      </c>
      <c r="N2857">
        <v>351</v>
      </c>
      <c r="O2857">
        <v>1</v>
      </c>
      <c r="P2857">
        <v>351</v>
      </c>
      <c r="Q2857">
        <v>2</v>
      </c>
      <c r="R2857">
        <v>167</v>
      </c>
      <c r="S2857">
        <v>3</v>
      </c>
      <c r="T2857">
        <v>1</v>
      </c>
      <c r="U2857">
        <v>4</v>
      </c>
      <c r="V2857">
        <v>1</v>
      </c>
      <c r="X2857">
        <v>1</v>
      </c>
      <c r="Y2857">
        <v>159</v>
      </c>
      <c r="Z2857">
        <v>3</v>
      </c>
      <c r="AC2857">
        <v>0</v>
      </c>
      <c r="AD2857">
        <v>0</v>
      </c>
      <c r="AE2857">
        <v>0</v>
      </c>
      <c r="AF2857">
        <v>0</v>
      </c>
      <c r="AG2857">
        <v>1</v>
      </c>
      <c r="AH2857">
        <v>1</v>
      </c>
      <c r="AI2857">
        <v>0</v>
      </c>
      <c r="AJ2857">
        <v>0</v>
      </c>
      <c r="AK2857">
        <v>0</v>
      </c>
      <c r="AL2857">
        <v>3</v>
      </c>
      <c r="AM2857">
        <v>0</v>
      </c>
      <c r="AN2857">
        <v>0</v>
      </c>
      <c r="BC2857">
        <v>0</v>
      </c>
      <c r="BD2857">
        <v>5</v>
      </c>
      <c r="BE2857">
        <v>351</v>
      </c>
      <c r="BF2857">
        <v>351</v>
      </c>
      <c r="BG2857">
        <v>440</v>
      </c>
      <c r="BJ2857">
        <v>1</v>
      </c>
      <c r="BL2857" t="s">
        <v>5932</v>
      </c>
      <c r="BM2857" s="4">
        <v>43283.216666666667</v>
      </c>
      <c r="BN2857" s="4">
        <v>43283.23841435185</v>
      </c>
      <c r="BO2857" s="4">
        <v>43283.23841435185</v>
      </c>
      <c r="BP2857" t="s">
        <v>92</v>
      </c>
      <c r="BQ2857" t="s">
        <v>93</v>
      </c>
      <c r="BR2857" t="s">
        <v>94</v>
      </c>
    </row>
    <row r="2858" spans="1:70" x14ac:dyDescent="0.3">
      <c r="A2858" t="str">
        <f>"202021B0100"</f>
        <v>202021B0100</v>
      </c>
      <c r="B2858" t="s">
        <v>5933</v>
      </c>
      <c r="C2858">
        <v>20</v>
      </c>
      <c r="D2858" t="s">
        <v>88</v>
      </c>
      <c r="E2858">
        <v>468</v>
      </c>
      <c r="F2858" t="s">
        <v>5899</v>
      </c>
      <c r="G2858">
        <v>2021</v>
      </c>
      <c r="H2858">
        <v>1</v>
      </c>
      <c r="I2858" t="s">
        <v>90</v>
      </c>
      <c r="J2858">
        <v>0</v>
      </c>
      <c r="K2858">
        <v>2</v>
      </c>
      <c r="L2858">
        <v>5</v>
      </c>
      <c r="M2858">
        <v>68</v>
      </c>
      <c r="N2858">
        <v>175</v>
      </c>
      <c r="O2858">
        <v>3</v>
      </c>
      <c r="P2858">
        <v>175</v>
      </c>
      <c r="Q2858">
        <v>2</v>
      </c>
      <c r="R2858">
        <v>90</v>
      </c>
      <c r="S2858">
        <v>3</v>
      </c>
      <c r="T2858">
        <v>1</v>
      </c>
      <c r="U2858">
        <v>0</v>
      </c>
      <c r="V2858">
        <v>0</v>
      </c>
      <c r="X2858">
        <v>0</v>
      </c>
      <c r="Y2858">
        <v>72</v>
      </c>
      <c r="Z2858">
        <v>1</v>
      </c>
      <c r="AC2858">
        <v>0</v>
      </c>
      <c r="AD2858">
        <v>0</v>
      </c>
      <c r="AE2858">
        <v>0</v>
      </c>
      <c r="AF2858">
        <v>0</v>
      </c>
      <c r="AG2858">
        <v>1</v>
      </c>
      <c r="AH2858">
        <v>1</v>
      </c>
      <c r="AI2858">
        <v>0</v>
      </c>
      <c r="AJ2858">
        <v>0</v>
      </c>
      <c r="AK2858">
        <v>0</v>
      </c>
      <c r="AL2858">
        <v>0</v>
      </c>
      <c r="AM2858">
        <v>0</v>
      </c>
      <c r="AN2858">
        <v>0</v>
      </c>
      <c r="BC2858">
        <v>0</v>
      </c>
      <c r="BD2858">
        <v>4</v>
      </c>
      <c r="BE2858">
        <v>175</v>
      </c>
      <c r="BF2858">
        <v>175</v>
      </c>
      <c r="BG2858">
        <v>221</v>
      </c>
      <c r="BJ2858">
        <v>1</v>
      </c>
      <c r="BL2858" t="s">
        <v>5934</v>
      </c>
      <c r="BM2858" s="4">
        <v>43283.220138888886</v>
      </c>
      <c r="BN2858" s="4">
        <v>43283.242662037039</v>
      </c>
      <c r="BO2858" s="4">
        <v>43283.242662037039</v>
      </c>
      <c r="BP2858" t="s">
        <v>92</v>
      </c>
      <c r="BQ2858" t="s">
        <v>93</v>
      </c>
      <c r="BR2858" t="s">
        <v>94</v>
      </c>
    </row>
    <row r="2859" spans="1:70" x14ac:dyDescent="0.3">
      <c r="A2859" t="str">
        <f>"202021E0100"</f>
        <v>202021E0100</v>
      </c>
      <c r="B2859" s="2" t="s">
        <v>5935</v>
      </c>
      <c r="C2859">
        <v>20</v>
      </c>
      <c r="D2859" t="s">
        <v>88</v>
      </c>
      <c r="E2859">
        <v>468</v>
      </c>
      <c r="F2859" t="s">
        <v>5899</v>
      </c>
      <c r="G2859">
        <v>2021</v>
      </c>
      <c r="H2859">
        <v>1</v>
      </c>
      <c r="I2859" t="s">
        <v>156</v>
      </c>
      <c r="J2859">
        <v>0</v>
      </c>
      <c r="K2859">
        <v>2</v>
      </c>
      <c r="L2859">
        <v>5</v>
      </c>
      <c r="M2859">
        <v>162</v>
      </c>
      <c r="N2859">
        <v>452</v>
      </c>
      <c r="O2859">
        <v>0</v>
      </c>
      <c r="P2859">
        <v>452</v>
      </c>
      <c r="Q2859">
        <v>0</v>
      </c>
      <c r="R2859">
        <v>272</v>
      </c>
      <c r="S2859">
        <v>6</v>
      </c>
      <c r="T2859">
        <v>1</v>
      </c>
      <c r="U2859">
        <v>2</v>
      </c>
      <c r="V2859">
        <v>3</v>
      </c>
      <c r="X2859">
        <v>1</v>
      </c>
      <c r="Y2859">
        <v>144</v>
      </c>
      <c r="Z2859">
        <v>2</v>
      </c>
      <c r="AC2859">
        <v>0</v>
      </c>
      <c r="AD2859">
        <v>0</v>
      </c>
      <c r="AE2859">
        <v>0</v>
      </c>
      <c r="AF2859">
        <v>0</v>
      </c>
      <c r="AG2859">
        <v>2</v>
      </c>
      <c r="AH2859">
        <v>3</v>
      </c>
      <c r="AI2859">
        <v>0</v>
      </c>
      <c r="AJ2859">
        <v>0</v>
      </c>
      <c r="AK2859">
        <v>0</v>
      </c>
      <c r="AL2859">
        <v>0</v>
      </c>
      <c r="AM2859">
        <v>0</v>
      </c>
      <c r="AN2859">
        <v>0</v>
      </c>
      <c r="BC2859">
        <v>0</v>
      </c>
      <c r="BD2859">
        <v>15</v>
      </c>
      <c r="BE2859">
        <v>452</v>
      </c>
      <c r="BF2859">
        <v>451</v>
      </c>
      <c r="BG2859">
        <v>592</v>
      </c>
      <c r="BJ2859">
        <v>1</v>
      </c>
      <c r="BL2859" t="s">
        <v>5936</v>
      </c>
      <c r="BM2859" s="4">
        <v>43283.222916666666</v>
      </c>
      <c r="BN2859" s="4">
        <v>43283.24591435185</v>
      </c>
      <c r="BO2859" s="4">
        <v>43283.24591435185</v>
      </c>
      <c r="BP2859" t="s">
        <v>92</v>
      </c>
      <c r="BQ2859" t="s">
        <v>93</v>
      </c>
      <c r="BR2859" t="s">
        <v>94</v>
      </c>
    </row>
    <row r="2860" spans="1:70" x14ac:dyDescent="0.3">
      <c r="A2860" t="str">
        <f>"202022B0100"</f>
        <v>202022B0100</v>
      </c>
      <c r="B2860" t="s">
        <v>5937</v>
      </c>
      <c r="C2860">
        <v>20</v>
      </c>
      <c r="D2860" t="s">
        <v>88</v>
      </c>
      <c r="E2860">
        <v>468</v>
      </c>
      <c r="F2860" t="s">
        <v>5899</v>
      </c>
      <c r="G2860">
        <v>2022</v>
      </c>
      <c r="H2860">
        <v>1</v>
      </c>
      <c r="I2860" t="s">
        <v>90</v>
      </c>
      <c r="J2860">
        <v>0</v>
      </c>
      <c r="K2860">
        <v>2</v>
      </c>
      <c r="L2860">
        <v>5</v>
      </c>
      <c r="BG2860">
        <v>523</v>
      </c>
      <c r="BI2860" t="s">
        <v>122</v>
      </c>
      <c r="BJ2860">
        <v>0</v>
      </c>
      <c r="BL2860" t="s">
        <v>5938</v>
      </c>
      <c r="BM2860" s="4">
        <v>43283.536111111112</v>
      </c>
      <c r="BN2860" s="4">
        <v>43283.541863425926</v>
      </c>
      <c r="BO2860" s="4">
        <v>43283.541863425926</v>
      </c>
      <c r="BP2860" t="s">
        <v>92</v>
      </c>
      <c r="BQ2860" t="s">
        <v>93</v>
      </c>
      <c r="BR2860" t="s">
        <v>94</v>
      </c>
    </row>
    <row r="2861" spans="1:70" x14ac:dyDescent="0.3">
      <c r="A2861" t="str">
        <f>"202022E0100"</f>
        <v>202022E0100</v>
      </c>
      <c r="B2861" s="2" t="s">
        <v>5939</v>
      </c>
      <c r="C2861">
        <v>20</v>
      </c>
      <c r="D2861" t="s">
        <v>88</v>
      </c>
      <c r="E2861">
        <v>468</v>
      </c>
      <c r="F2861" t="s">
        <v>5899</v>
      </c>
      <c r="G2861">
        <v>2022</v>
      </c>
      <c r="H2861">
        <v>1</v>
      </c>
      <c r="I2861" t="s">
        <v>156</v>
      </c>
      <c r="J2861">
        <v>0</v>
      </c>
      <c r="K2861">
        <v>2</v>
      </c>
      <c r="L2861">
        <v>5</v>
      </c>
      <c r="M2861">
        <v>204</v>
      </c>
      <c r="N2861">
        <v>507</v>
      </c>
      <c r="O2861">
        <v>4</v>
      </c>
      <c r="P2861">
        <v>0</v>
      </c>
      <c r="Q2861">
        <v>3</v>
      </c>
      <c r="R2861">
        <v>254</v>
      </c>
      <c r="S2861">
        <v>20</v>
      </c>
      <c r="T2861">
        <v>1</v>
      </c>
      <c r="U2861">
        <v>10</v>
      </c>
      <c r="V2861">
        <v>2</v>
      </c>
      <c r="X2861">
        <v>2</v>
      </c>
      <c r="Y2861">
        <v>194</v>
      </c>
      <c r="Z2861">
        <v>1</v>
      </c>
      <c r="AC2861">
        <v>0</v>
      </c>
      <c r="AD2861">
        <v>0</v>
      </c>
      <c r="AE2861">
        <v>0</v>
      </c>
      <c r="AF2861">
        <v>0</v>
      </c>
      <c r="AG2861">
        <v>0</v>
      </c>
      <c r="AH2861">
        <v>2</v>
      </c>
      <c r="AI2861">
        <v>0</v>
      </c>
      <c r="AJ2861">
        <v>2</v>
      </c>
      <c r="AK2861">
        <v>3</v>
      </c>
      <c r="AL2861">
        <v>1</v>
      </c>
      <c r="AM2861">
        <v>0</v>
      </c>
      <c r="AN2861">
        <v>0</v>
      </c>
      <c r="BC2861" t="s">
        <v>105</v>
      </c>
      <c r="BD2861">
        <v>14</v>
      </c>
      <c r="BE2861">
        <v>508</v>
      </c>
      <c r="BF2861">
        <v>509</v>
      </c>
      <c r="BG2861">
        <v>690</v>
      </c>
      <c r="BI2861" t="s">
        <v>106</v>
      </c>
      <c r="BJ2861">
        <v>1</v>
      </c>
      <c r="BL2861" t="s">
        <v>5940</v>
      </c>
      <c r="BM2861" s="4">
        <v>43283.109027777777</v>
      </c>
      <c r="BN2861" s="4">
        <v>43283.126157407409</v>
      </c>
      <c r="BO2861" s="4">
        <v>43283.126157407409</v>
      </c>
      <c r="BP2861" t="s">
        <v>92</v>
      </c>
      <c r="BQ2861" t="s">
        <v>93</v>
      </c>
      <c r="BR2861" t="s">
        <v>94</v>
      </c>
    </row>
    <row r="2862" spans="1:70" x14ac:dyDescent="0.3">
      <c r="A2862" t="str">
        <f>"202023B0100"</f>
        <v>202023B0100</v>
      </c>
      <c r="B2862" t="s">
        <v>5941</v>
      </c>
      <c r="C2862">
        <v>20</v>
      </c>
      <c r="D2862" t="s">
        <v>88</v>
      </c>
      <c r="E2862">
        <v>468</v>
      </c>
      <c r="F2862" t="s">
        <v>5899</v>
      </c>
      <c r="G2862">
        <v>2023</v>
      </c>
      <c r="H2862">
        <v>1</v>
      </c>
      <c r="I2862" t="s">
        <v>90</v>
      </c>
      <c r="J2862">
        <v>0</v>
      </c>
      <c r="K2862">
        <v>2</v>
      </c>
      <c r="L2862">
        <v>5</v>
      </c>
      <c r="M2862">
        <v>161</v>
      </c>
      <c r="N2862">
        <v>494</v>
      </c>
      <c r="O2862">
        <v>3</v>
      </c>
      <c r="P2862">
        <v>494</v>
      </c>
      <c r="Q2862">
        <v>5</v>
      </c>
      <c r="R2862">
        <v>306</v>
      </c>
      <c r="S2862">
        <v>5</v>
      </c>
      <c r="T2862">
        <v>5</v>
      </c>
      <c r="U2862">
        <v>3</v>
      </c>
      <c r="V2862">
        <v>3</v>
      </c>
      <c r="X2862">
        <v>4</v>
      </c>
      <c r="Y2862">
        <v>138</v>
      </c>
      <c r="Z2862">
        <v>2</v>
      </c>
      <c r="AC2862">
        <v>0</v>
      </c>
      <c r="AD2862">
        <v>0</v>
      </c>
      <c r="AE2862">
        <v>0</v>
      </c>
      <c r="AF2862">
        <v>0</v>
      </c>
      <c r="AG2862">
        <v>0</v>
      </c>
      <c r="AH2862">
        <v>1</v>
      </c>
      <c r="AI2862">
        <v>0</v>
      </c>
      <c r="AJ2862">
        <v>0</v>
      </c>
      <c r="AK2862">
        <v>8</v>
      </c>
      <c r="AL2862">
        <v>1</v>
      </c>
      <c r="AM2862">
        <v>0</v>
      </c>
      <c r="AN2862">
        <v>2</v>
      </c>
      <c r="BC2862">
        <v>0</v>
      </c>
      <c r="BD2862">
        <v>11</v>
      </c>
      <c r="BE2862">
        <v>494</v>
      </c>
      <c r="BF2862">
        <v>494</v>
      </c>
      <c r="BG2862">
        <v>633</v>
      </c>
      <c r="BJ2862">
        <v>1</v>
      </c>
      <c r="BL2862" t="s">
        <v>5942</v>
      </c>
      <c r="BM2862" s="4">
        <v>43283.115277777775</v>
      </c>
      <c r="BN2862" s="4">
        <v>43283.11996527778</v>
      </c>
      <c r="BO2862" s="4">
        <v>43283.11996527778</v>
      </c>
      <c r="BP2862" t="s">
        <v>92</v>
      </c>
      <c r="BQ2862" t="s">
        <v>93</v>
      </c>
      <c r="BR2862" t="s">
        <v>94</v>
      </c>
    </row>
    <row r="2863" spans="1:70" x14ac:dyDescent="0.3">
      <c r="A2863" t="str">
        <f>"202024B0100"</f>
        <v>202024B0100</v>
      </c>
      <c r="B2863" t="s">
        <v>5943</v>
      </c>
      <c r="C2863">
        <v>20</v>
      </c>
      <c r="D2863" t="s">
        <v>88</v>
      </c>
      <c r="E2863">
        <v>468</v>
      </c>
      <c r="F2863" t="s">
        <v>5899</v>
      </c>
      <c r="G2863">
        <v>2024</v>
      </c>
      <c r="H2863">
        <v>1</v>
      </c>
      <c r="I2863" t="s">
        <v>90</v>
      </c>
      <c r="J2863">
        <v>0</v>
      </c>
      <c r="K2863">
        <v>2</v>
      </c>
      <c r="L2863">
        <v>5</v>
      </c>
      <c r="M2863">
        <v>92</v>
      </c>
      <c r="N2863">
        <v>331</v>
      </c>
      <c r="O2863">
        <v>2</v>
      </c>
      <c r="P2863">
        <v>320</v>
      </c>
      <c r="Q2863">
        <v>5</v>
      </c>
      <c r="R2863">
        <v>237</v>
      </c>
      <c r="S2863">
        <v>4</v>
      </c>
      <c r="T2863" t="s">
        <v>105</v>
      </c>
      <c r="U2863" t="s">
        <v>105</v>
      </c>
      <c r="V2863" t="s">
        <v>105</v>
      </c>
      <c r="X2863" t="s">
        <v>105</v>
      </c>
      <c r="Y2863">
        <v>61</v>
      </c>
      <c r="Z2863" t="s">
        <v>105</v>
      </c>
      <c r="AC2863" t="s">
        <v>105</v>
      </c>
      <c r="AD2863" t="s">
        <v>105</v>
      </c>
      <c r="AE2863" t="s">
        <v>105</v>
      </c>
      <c r="AF2863" t="s">
        <v>105</v>
      </c>
      <c r="AG2863" t="s">
        <v>105</v>
      </c>
      <c r="AH2863" t="s">
        <v>105</v>
      </c>
      <c r="AI2863" t="s">
        <v>105</v>
      </c>
      <c r="AJ2863" t="s">
        <v>105</v>
      </c>
      <c r="AK2863" t="s">
        <v>105</v>
      </c>
      <c r="AL2863" t="s">
        <v>105</v>
      </c>
      <c r="AM2863" t="s">
        <v>105</v>
      </c>
      <c r="AN2863" t="s">
        <v>105</v>
      </c>
      <c r="BC2863" t="s">
        <v>105</v>
      </c>
      <c r="BD2863">
        <v>13</v>
      </c>
      <c r="BE2863">
        <v>320</v>
      </c>
      <c r="BF2863">
        <v>320</v>
      </c>
      <c r="BG2863">
        <v>390</v>
      </c>
      <c r="BI2863" t="s">
        <v>106</v>
      </c>
      <c r="BJ2863">
        <v>1</v>
      </c>
      <c r="BL2863" t="s">
        <v>5944</v>
      </c>
      <c r="BM2863" s="4">
        <v>43283.124305555553</v>
      </c>
      <c r="BN2863" s="4">
        <v>43283.129108796296</v>
      </c>
      <c r="BO2863" s="4">
        <v>43283.129108796296</v>
      </c>
      <c r="BP2863" t="s">
        <v>92</v>
      </c>
      <c r="BQ2863" t="s">
        <v>93</v>
      </c>
      <c r="BR2863" t="s">
        <v>94</v>
      </c>
    </row>
    <row r="2864" spans="1:70" x14ac:dyDescent="0.3">
      <c r="A2864" t="str">
        <f>"202024C0100"</f>
        <v>202024C0100</v>
      </c>
      <c r="B2864" t="s">
        <v>5945</v>
      </c>
      <c r="C2864">
        <v>20</v>
      </c>
      <c r="D2864" t="s">
        <v>88</v>
      </c>
      <c r="E2864">
        <v>468</v>
      </c>
      <c r="F2864" t="s">
        <v>5899</v>
      </c>
      <c r="G2864">
        <v>2024</v>
      </c>
      <c r="H2864">
        <v>1</v>
      </c>
      <c r="I2864" t="s">
        <v>98</v>
      </c>
      <c r="J2864">
        <v>0</v>
      </c>
      <c r="K2864">
        <v>2</v>
      </c>
      <c r="L2864">
        <v>5</v>
      </c>
      <c r="M2864">
        <v>98</v>
      </c>
      <c r="N2864">
        <v>315</v>
      </c>
      <c r="O2864">
        <v>4</v>
      </c>
      <c r="P2864" t="s">
        <v>105</v>
      </c>
      <c r="Q2864">
        <v>4</v>
      </c>
      <c r="R2864">
        <v>194</v>
      </c>
      <c r="S2864">
        <v>9</v>
      </c>
      <c r="T2864">
        <v>8</v>
      </c>
      <c r="U2864">
        <v>3</v>
      </c>
      <c r="V2864">
        <v>1</v>
      </c>
      <c r="X2864" t="s">
        <v>105</v>
      </c>
      <c r="Y2864">
        <v>82</v>
      </c>
      <c r="Z2864" t="s">
        <v>105</v>
      </c>
      <c r="AC2864">
        <v>1</v>
      </c>
      <c r="AD2864" t="s">
        <v>105</v>
      </c>
      <c r="AE2864" t="s">
        <v>105</v>
      </c>
      <c r="AF2864" t="s">
        <v>105</v>
      </c>
      <c r="AG2864" t="s">
        <v>105</v>
      </c>
      <c r="AH2864">
        <v>2</v>
      </c>
      <c r="AI2864" t="s">
        <v>105</v>
      </c>
      <c r="AJ2864" t="s">
        <v>105</v>
      </c>
      <c r="AK2864" t="s">
        <v>105</v>
      </c>
      <c r="AL2864" t="s">
        <v>105</v>
      </c>
      <c r="AM2864" t="s">
        <v>105</v>
      </c>
      <c r="AN2864" t="s">
        <v>105</v>
      </c>
      <c r="BC2864" t="s">
        <v>105</v>
      </c>
      <c r="BD2864">
        <v>9</v>
      </c>
      <c r="BE2864">
        <v>315</v>
      </c>
      <c r="BF2864">
        <v>313</v>
      </c>
      <c r="BG2864">
        <v>390</v>
      </c>
      <c r="BI2864" t="s">
        <v>106</v>
      </c>
      <c r="BJ2864">
        <v>1</v>
      </c>
      <c r="BL2864" t="s">
        <v>5946</v>
      </c>
      <c r="BM2864" s="4">
        <v>43283.120138888888</v>
      </c>
      <c r="BN2864" s="4">
        <v>43283.147187499999</v>
      </c>
      <c r="BO2864" s="4">
        <v>43283.147187499999</v>
      </c>
      <c r="BP2864" t="s">
        <v>92</v>
      </c>
      <c r="BQ2864" t="s">
        <v>93</v>
      </c>
      <c r="BR2864" t="s">
        <v>94</v>
      </c>
    </row>
    <row r="2865" spans="1:70" x14ac:dyDescent="0.3">
      <c r="A2865" t="str">
        <f>"202033B0100"</f>
        <v>202033B0100</v>
      </c>
      <c r="B2865" t="s">
        <v>5947</v>
      </c>
      <c r="C2865">
        <v>20</v>
      </c>
      <c r="D2865" t="s">
        <v>88</v>
      </c>
      <c r="E2865">
        <v>470</v>
      </c>
      <c r="F2865" t="s">
        <v>5948</v>
      </c>
      <c r="G2865">
        <v>2033</v>
      </c>
      <c r="H2865">
        <v>1</v>
      </c>
      <c r="I2865" t="s">
        <v>90</v>
      </c>
      <c r="J2865">
        <v>0</v>
      </c>
      <c r="K2865">
        <v>1</v>
      </c>
      <c r="L2865">
        <v>5</v>
      </c>
      <c r="M2865">
        <v>217</v>
      </c>
      <c r="N2865">
        <v>367</v>
      </c>
      <c r="O2865">
        <v>3</v>
      </c>
      <c r="P2865">
        <v>374</v>
      </c>
      <c r="Q2865">
        <v>5</v>
      </c>
      <c r="R2865">
        <v>157</v>
      </c>
      <c r="S2865">
        <v>3</v>
      </c>
      <c r="U2865">
        <v>11</v>
      </c>
      <c r="V2865">
        <v>1</v>
      </c>
      <c r="Y2865">
        <v>162</v>
      </c>
      <c r="Z2865">
        <v>6</v>
      </c>
      <c r="AA2865">
        <v>18</v>
      </c>
      <c r="AC2865">
        <v>0</v>
      </c>
      <c r="AD2865">
        <v>0</v>
      </c>
      <c r="AE2865">
        <v>0</v>
      </c>
      <c r="AF2865">
        <v>0</v>
      </c>
      <c r="AK2865">
        <v>2</v>
      </c>
      <c r="AL2865">
        <v>1</v>
      </c>
      <c r="AM2865">
        <v>0</v>
      </c>
      <c r="AN2865">
        <v>1</v>
      </c>
      <c r="BC2865">
        <v>0</v>
      </c>
      <c r="BD2865">
        <v>7</v>
      </c>
      <c r="BE2865">
        <v>374</v>
      </c>
      <c r="BF2865">
        <v>374</v>
      </c>
      <c r="BG2865">
        <v>562</v>
      </c>
      <c r="BJ2865">
        <v>1</v>
      </c>
      <c r="BL2865" t="s">
        <v>5949</v>
      </c>
      <c r="BM2865" s="4">
        <v>43283.223611111112</v>
      </c>
      <c r="BN2865" s="4">
        <v>43283.247453703705</v>
      </c>
      <c r="BO2865" s="4">
        <v>43283.247453703705</v>
      </c>
      <c r="BP2865" t="s">
        <v>92</v>
      </c>
      <c r="BQ2865" t="s">
        <v>93</v>
      </c>
      <c r="BR2865" t="s">
        <v>94</v>
      </c>
    </row>
    <row r="2866" spans="1:70" x14ac:dyDescent="0.3">
      <c r="A2866" t="str">
        <f>"202033C0100"</f>
        <v>202033C0100</v>
      </c>
      <c r="B2866" t="s">
        <v>5950</v>
      </c>
      <c r="C2866">
        <v>20</v>
      </c>
      <c r="D2866" t="s">
        <v>88</v>
      </c>
      <c r="E2866">
        <v>470</v>
      </c>
      <c r="F2866" t="s">
        <v>5948</v>
      </c>
      <c r="G2866">
        <v>2033</v>
      </c>
      <c r="H2866">
        <v>1</v>
      </c>
      <c r="I2866" t="s">
        <v>98</v>
      </c>
      <c r="J2866">
        <v>0</v>
      </c>
      <c r="K2866">
        <v>1</v>
      </c>
      <c r="L2866">
        <v>5</v>
      </c>
      <c r="M2866">
        <v>230</v>
      </c>
      <c r="N2866">
        <v>353</v>
      </c>
      <c r="O2866">
        <v>7</v>
      </c>
      <c r="P2866">
        <v>353</v>
      </c>
      <c r="Q2866">
        <v>4</v>
      </c>
      <c r="R2866">
        <v>170</v>
      </c>
      <c r="S2866">
        <v>4</v>
      </c>
      <c r="U2866">
        <v>5</v>
      </c>
      <c r="V2866">
        <v>1</v>
      </c>
      <c r="Y2866">
        <v>137</v>
      </c>
      <c r="Z2866">
        <v>4</v>
      </c>
      <c r="AA2866">
        <v>21</v>
      </c>
      <c r="AC2866">
        <v>0</v>
      </c>
      <c r="AD2866">
        <v>0</v>
      </c>
      <c r="AE2866">
        <v>0</v>
      </c>
      <c r="AF2866">
        <v>0</v>
      </c>
      <c r="AK2866">
        <v>0</v>
      </c>
      <c r="AL2866">
        <v>0</v>
      </c>
      <c r="AM2866">
        <v>0</v>
      </c>
      <c r="AN2866">
        <v>2</v>
      </c>
      <c r="BC2866">
        <v>0</v>
      </c>
      <c r="BD2866">
        <v>5</v>
      </c>
      <c r="BE2866">
        <v>353</v>
      </c>
      <c r="BF2866">
        <v>353</v>
      </c>
      <c r="BG2866">
        <v>561</v>
      </c>
      <c r="BJ2866">
        <v>1</v>
      </c>
      <c r="BL2866" t="s">
        <v>5951</v>
      </c>
      <c r="BM2866" s="4">
        <v>43283.1</v>
      </c>
      <c r="BN2866" s="4">
        <v>43283.104594907411</v>
      </c>
      <c r="BO2866" s="4">
        <v>43283.104594907411</v>
      </c>
      <c r="BP2866" t="s">
        <v>92</v>
      </c>
      <c r="BQ2866" t="s">
        <v>93</v>
      </c>
      <c r="BR2866" t="s">
        <v>94</v>
      </c>
    </row>
    <row r="2867" spans="1:70" x14ac:dyDescent="0.3">
      <c r="A2867" t="str">
        <f>"202033C0200"</f>
        <v>202033C0200</v>
      </c>
      <c r="B2867" t="s">
        <v>5952</v>
      </c>
      <c r="C2867">
        <v>20</v>
      </c>
      <c r="D2867" t="s">
        <v>88</v>
      </c>
      <c r="E2867">
        <v>470</v>
      </c>
      <c r="F2867" t="s">
        <v>5948</v>
      </c>
      <c r="G2867">
        <v>2033</v>
      </c>
      <c r="H2867">
        <v>2</v>
      </c>
      <c r="I2867" t="s">
        <v>98</v>
      </c>
      <c r="J2867">
        <v>0</v>
      </c>
      <c r="K2867">
        <v>1</v>
      </c>
      <c r="L2867">
        <v>5</v>
      </c>
      <c r="M2867">
        <v>250</v>
      </c>
      <c r="N2867">
        <v>333</v>
      </c>
      <c r="O2867">
        <v>2</v>
      </c>
      <c r="P2867">
        <v>333</v>
      </c>
      <c r="Q2867">
        <v>1</v>
      </c>
      <c r="R2867">
        <v>149</v>
      </c>
      <c r="S2867">
        <v>8</v>
      </c>
      <c r="U2867">
        <v>5</v>
      </c>
      <c r="V2867">
        <v>1</v>
      </c>
      <c r="Y2867">
        <v>138</v>
      </c>
      <c r="Z2867">
        <v>6</v>
      </c>
      <c r="AA2867">
        <v>12</v>
      </c>
      <c r="AC2867">
        <v>0</v>
      </c>
      <c r="AD2867">
        <v>0</v>
      </c>
      <c r="AE2867">
        <v>0</v>
      </c>
      <c r="AF2867">
        <v>0</v>
      </c>
      <c r="AK2867">
        <v>2</v>
      </c>
      <c r="AL2867">
        <v>0</v>
      </c>
      <c r="AM2867">
        <v>0</v>
      </c>
      <c r="AN2867">
        <v>3</v>
      </c>
      <c r="BC2867">
        <v>0</v>
      </c>
      <c r="BD2867">
        <v>8</v>
      </c>
      <c r="BE2867">
        <v>333</v>
      </c>
      <c r="BF2867">
        <v>333</v>
      </c>
      <c r="BG2867">
        <v>561</v>
      </c>
      <c r="BJ2867">
        <v>1</v>
      </c>
      <c r="BL2867" t="s">
        <v>5953</v>
      </c>
      <c r="BM2867" s="4">
        <v>43283.101388888892</v>
      </c>
      <c r="BN2867" s="4">
        <v>43283.106261574074</v>
      </c>
      <c r="BO2867" s="4">
        <v>43283.106261574074</v>
      </c>
      <c r="BP2867" t="s">
        <v>92</v>
      </c>
      <c r="BQ2867" t="s">
        <v>93</v>
      </c>
      <c r="BR2867" t="s">
        <v>94</v>
      </c>
    </row>
    <row r="2868" spans="1:70" x14ac:dyDescent="0.3">
      <c r="A2868" t="str">
        <f>"202033S0100"</f>
        <v>202033S0100</v>
      </c>
      <c r="B2868" t="s">
        <v>5954</v>
      </c>
      <c r="C2868">
        <v>20</v>
      </c>
      <c r="D2868" t="s">
        <v>88</v>
      </c>
      <c r="E2868">
        <v>470</v>
      </c>
      <c r="F2868" t="s">
        <v>5948</v>
      </c>
      <c r="G2868">
        <v>2033</v>
      </c>
      <c r="H2868">
        <v>1</v>
      </c>
      <c r="I2868" t="s">
        <v>113</v>
      </c>
      <c r="J2868">
        <v>0</v>
      </c>
      <c r="K2868">
        <v>1</v>
      </c>
      <c r="L2868">
        <v>6</v>
      </c>
      <c r="M2868">
        <v>715</v>
      </c>
      <c r="N2868">
        <v>57</v>
      </c>
      <c r="O2868">
        <v>0</v>
      </c>
      <c r="P2868">
        <v>57</v>
      </c>
      <c r="Q2868">
        <v>0</v>
      </c>
      <c r="R2868">
        <v>13</v>
      </c>
      <c r="S2868">
        <v>0</v>
      </c>
      <c r="U2868">
        <v>1</v>
      </c>
      <c r="V2868">
        <v>0</v>
      </c>
      <c r="Y2868">
        <v>37</v>
      </c>
      <c r="Z2868">
        <v>1</v>
      </c>
      <c r="AA2868">
        <v>3</v>
      </c>
      <c r="AC2868" t="s">
        <v>105</v>
      </c>
      <c r="AD2868" t="s">
        <v>105</v>
      </c>
      <c r="AE2868" t="s">
        <v>105</v>
      </c>
      <c r="AF2868" t="s">
        <v>105</v>
      </c>
      <c r="AK2868" t="s">
        <v>105</v>
      </c>
      <c r="AL2868" t="s">
        <v>105</v>
      </c>
      <c r="AM2868" t="s">
        <v>105</v>
      </c>
      <c r="AN2868">
        <v>1</v>
      </c>
      <c r="BC2868" t="s">
        <v>105</v>
      </c>
      <c r="BD2868">
        <v>1</v>
      </c>
      <c r="BE2868" t="s">
        <v>105</v>
      </c>
      <c r="BF2868">
        <v>57</v>
      </c>
      <c r="BG2868">
        <v>0</v>
      </c>
      <c r="BI2868" t="s">
        <v>106</v>
      </c>
      <c r="BJ2868">
        <v>1</v>
      </c>
      <c r="BL2868" t="s">
        <v>5955</v>
      </c>
      <c r="BM2868" s="4">
        <v>43283.236111111109</v>
      </c>
      <c r="BN2868" s="4">
        <v>43283.258668981478</v>
      </c>
      <c r="BO2868" s="4">
        <v>43283.258668981478</v>
      </c>
      <c r="BP2868" t="s">
        <v>92</v>
      </c>
      <c r="BQ2868" t="s">
        <v>93</v>
      </c>
      <c r="BR2868" t="s">
        <v>254</v>
      </c>
    </row>
    <row r="2869" spans="1:70" x14ac:dyDescent="0.3">
      <c r="A2869" t="str">
        <f>"202033S0200"</f>
        <v>202033S0200</v>
      </c>
      <c r="B2869" t="s">
        <v>5956</v>
      </c>
      <c r="C2869">
        <v>20</v>
      </c>
      <c r="D2869" t="s">
        <v>88</v>
      </c>
      <c r="E2869">
        <v>470</v>
      </c>
      <c r="F2869" t="s">
        <v>5948</v>
      </c>
      <c r="G2869">
        <v>2033</v>
      </c>
      <c r="H2869">
        <v>2</v>
      </c>
      <c r="I2869" t="s">
        <v>113</v>
      </c>
      <c r="J2869">
        <v>0</v>
      </c>
      <c r="K2869">
        <v>1</v>
      </c>
      <c r="L2869">
        <v>6</v>
      </c>
      <c r="M2869">
        <v>723</v>
      </c>
      <c r="N2869">
        <v>49</v>
      </c>
      <c r="O2869">
        <v>0</v>
      </c>
      <c r="P2869">
        <v>49</v>
      </c>
      <c r="Q2869">
        <v>1</v>
      </c>
      <c r="R2869">
        <v>25</v>
      </c>
      <c r="S2869">
        <v>3</v>
      </c>
      <c r="U2869">
        <v>1</v>
      </c>
      <c r="V2869">
        <v>0</v>
      </c>
      <c r="Y2869">
        <v>17</v>
      </c>
      <c r="Z2869">
        <v>1</v>
      </c>
      <c r="AA2869">
        <v>1</v>
      </c>
      <c r="AC2869" t="s">
        <v>105</v>
      </c>
      <c r="AD2869" t="s">
        <v>105</v>
      </c>
      <c r="AE2869" t="s">
        <v>105</v>
      </c>
      <c r="AF2869" t="s">
        <v>105</v>
      </c>
      <c r="AK2869" t="s">
        <v>105</v>
      </c>
      <c r="AL2869" t="s">
        <v>105</v>
      </c>
      <c r="AM2869" t="s">
        <v>105</v>
      </c>
      <c r="AN2869" t="s">
        <v>105</v>
      </c>
      <c r="BC2869" t="s">
        <v>105</v>
      </c>
      <c r="BD2869" t="s">
        <v>105</v>
      </c>
      <c r="BE2869">
        <v>49</v>
      </c>
      <c r="BF2869">
        <v>49</v>
      </c>
      <c r="BG2869">
        <v>0</v>
      </c>
      <c r="BI2869" t="s">
        <v>106</v>
      </c>
      <c r="BJ2869">
        <v>1</v>
      </c>
      <c r="BL2869" t="s">
        <v>5957</v>
      </c>
      <c r="BM2869" s="4">
        <v>43283.229166666664</v>
      </c>
      <c r="BN2869" s="4">
        <v>43283.258657407408</v>
      </c>
      <c r="BO2869" s="4">
        <v>43283.258657407408</v>
      </c>
      <c r="BP2869" t="s">
        <v>92</v>
      </c>
      <c r="BQ2869" t="s">
        <v>93</v>
      </c>
      <c r="BR2869" t="s">
        <v>94</v>
      </c>
    </row>
    <row r="2870" spans="1:70" x14ac:dyDescent="0.3">
      <c r="A2870" t="str">
        <f>"202034B0100"</f>
        <v>202034B0100</v>
      </c>
      <c r="B2870" t="s">
        <v>5958</v>
      </c>
      <c r="C2870">
        <v>20</v>
      </c>
      <c r="D2870" t="s">
        <v>88</v>
      </c>
      <c r="E2870">
        <v>470</v>
      </c>
      <c r="F2870" t="s">
        <v>5948</v>
      </c>
      <c r="G2870">
        <v>2034</v>
      </c>
      <c r="H2870">
        <v>1</v>
      </c>
      <c r="I2870" t="s">
        <v>90</v>
      </c>
      <c r="J2870">
        <v>0</v>
      </c>
      <c r="K2870">
        <v>1</v>
      </c>
      <c r="L2870">
        <v>5</v>
      </c>
      <c r="M2870">
        <v>237</v>
      </c>
      <c r="N2870">
        <v>390</v>
      </c>
      <c r="O2870">
        <v>1</v>
      </c>
      <c r="P2870">
        <v>401</v>
      </c>
      <c r="Q2870">
        <v>3</v>
      </c>
      <c r="R2870">
        <v>193</v>
      </c>
      <c r="S2870">
        <v>6</v>
      </c>
      <c r="U2870">
        <v>3</v>
      </c>
      <c r="V2870">
        <v>4</v>
      </c>
      <c r="Y2870">
        <v>152</v>
      </c>
      <c r="Z2870">
        <v>6</v>
      </c>
      <c r="AA2870">
        <v>18</v>
      </c>
      <c r="AC2870">
        <v>0</v>
      </c>
      <c r="AD2870">
        <v>0</v>
      </c>
      <c r="AE2870">
        <v>0</v>
      </c>
      <c r="AF2870">
        <v>0</v>
      </c>
      <c r="AK2870">
        <v>3</v>
      </c>
      <c r="AL2870">
        <v>1</v>
      </c>
      <c r="AM2870">
        <v>0</v>
      </c>
      <c r="AN2870">
        <v>0</v>
      </c>
      <c r="BC2870">
        <v>0</v>
      </c>
      <c r="BD2870">
        <v>12</v>
      </c>
      <c r="BE2870">
        <v>401</v>
      </c>
      <c r="BF2870">
        <v>401</v>
      </c>
      <c r="BG2870">
        <v>605</v>
      </c>
      <c r="BJ2870">
        <v>1</v>
      </c>
      <c r="BL2870" t="s">
        <v>5959</v>
      </c>
      <c r="BM2870" s="4">
        <v>43283.196527777778</v>
      </c>
      <c r="BN2870" s="4">
        <v>43283.214166666665</v>
      </c>
      <c r="BO2870" s="4">
        <v>43283.214166666665</v>
      </c>
      <c r="BP2870" t="s">
        <v>92</v>
      </c>
      <c r="BQ2870" t="s">
        <v>93</v>
      </c>
      <c r="BR2870" t="s">
        <v>94</v>
      </c>
    </row>
    <row r="2871" spans="1:70" x14ac:dyDescent="0.3">
      <c r="A2871" t="str">
        <f>"202034C0100"</f>
        <v>202034C0100</v>
      </c>
      <c r="B2871" t="s">
        <v>5960</v>
      </c>
      <c r="C2871">
        <v>20</v>
      </c>
      <c r="D2871" t="s">
        <v>88</v>
      </c>
      <c r="E2871">
        <v>470</v>
      </c>
      <c r="F2871" t="s">
        <v>5948</v>
      </c>
      <c r="G2871">
        <v>2034</v>
      </c>
      <c r="H2871">
        <v>1</v>
      </c>
      <c r="I2871" t="s">
        <v>98</v>
      </c>
      <c r="J2871">
        <v>0</v>
      </c>
      <c r="K2871">
        <v>1</v>
      </c>
      <c r="L2871">
        <v>5</v>
      </c>
      <c r="M2871">
        <v>264</v>
      </c>
      <c r="N2871">
        <v>360</v>
      </c>
      <c r="O2871">
        <v>4</v>
      </c>
      <c r="P2871">
        <v>363</v>
      </c>
      <c r="Q2871">
        <v>5</v>
      </c>
      <c r="R2871">
        <v>155</v>
      </c>
      <c r="S2871">
        <v>10</v>
      </c>
      <c r="U2871">
        <v>3</v>
      </c>
      <c r="V2871">
        <v>2</v>
      </c>
      <c r="Y2871">
        <v>146</v>
      </c>
      <c r="Z2871">
        <v>1</v>
      </c>
      <c r="AA2871">
        <v>17</v>
      </c>
      <c r="AC2871">
        <v>0</v>
      </c>
      <c r="AD2871">
        <v>0</v>
      </c>
      <c r="AE2871">
        <v>0</v>
      </c>
      <c r="AF2871">
        <v>0</v>
      </c>
      <c r="AK2871">
        <v>2</v>
      </c>
      <c r="AL2871">
        <v>2</v>
      </c>
      <c r="AM2871">
        <v>1</v>
      </c>
      <c r="AN2871">
        <v>1</v>
      </c>
      <c r="BC2871">
        <v>0</v>
      </c>
      <c r="BD2871">
        <v>18</v>
      </c>
      <c r="BE2871">
        <v>363</v>
      </c>
      <c r="BF2871">
        <v>363</v>
      </c>
      <c r="BG2871">
        <v>604</v>
      </c>
      <c r="BJ2871">
        <v>1</v>
      </c>
      <c r="BL2871" t="s">
        <v>5961</v>
      </c>
      <c r="BM2871" s="4">
        <v>43283.199305555558</v>
      </c>
      <c r="BN2871" s="4">
        <v>43283.215613425928</v>
      </c>
      <c r="BO2871" s="4">
        <v>43283.215613425928</v>
      </c>
      <c r="BP2871" t="s">
        <v>92</v>
      </c>
      <c r="BQ2871" t="s">
        <v>93</v>
      </c>
      <c r="BR2871" t="s">
        <v>94</v>
      </c>
    </row>
    <row r="2872" spans="1:70" x14ac:dyDescent="0.3">
      <c r="A2872" t="str">
        <f>"202034C0200"</f>
        <v>202034C0200</v>
      </c>
      <c r="B2872" t="s">
        <v>5962</v>
      </c>
      <c r="C2872">
        <v>20</v>
      </c>
      <c r="D2872" t="s">
        <v>88</v>
      </c>
      <c r="E2872">
        <v>470</v>
      </c>
      <c r="F2872" t="s">
        <v>5948</v>
      </c>
      <c r="G2872">
        <v>2034</v>
      </c>
      <c r="H2872">
        <v>2</v>
      </c>
      <c r="I2872" t="s">
        <v>98</v>
      </c>
      <c r="J2872">
        <v>0</v>
      </c>
      <c r="K2872">
        <v>1</v>
      </c>
      <c r="L2872">
        <v>5</v>
      </c>
      <c r="M2872">
        <v>274</v>
      </c>
      <c r="N2872">
        <v>352</v>
      </c>
      <c r="O2872">
        <v>5</v>
      </c>
      <c r="P2872">
        <v>354</v>
      </c>
      <c r="Q2872">
        <v>4</v>
      </c>
      <c r="R2872">
        <v>151</v>
      </c>
      <c r="S2872">
        <v>8</v>
      </c>
      <c r="U2872">
        <v>10</v>
      </c>
      <c r="V2872">
        <v>3</v>
      </c>
      <c r="Y2872">
        <v>147</v>
      </c>
      <c r="Z2872">
        <v>4</v>
      </c>
      <c r="AA2872">
        <v>9</v>
      </c>
      <c r="AC2872">
        <v>0</v>
      </c>
      <c r="AD2872">
        <v>0</v>
      </c>
      <c r="AE2872">
        <v>0</v>
      </c>
      <c r="AF2872">
        <v>0</v>
      </c>
      <c r="AK2872">
        <v>1</v>
      </c>
      <c r="AL2872">
        <v>1</v>
      </c>
      <c r="AM2872">
        <v>1</v>
      </c>
      <c r="AN2872">
        <v>1</v>
      </c>
      <c r="BC2872">
        <v>0</v>
      </c>
      <c r="BD2872">
        <v>14</v>
      </c>
      <c r="BE2872">
        <v>354</v>
      </c>
      <c r="BF2872">
        <v>354</v>
      </c>
      <c r="BG2872">
        <v>604</v>
      </c>
      <c r="BJ2872">
        <v>1</v>
      </c>
      <c r="BL2872" t="s">
        <v>5963</v>
      </c>
      <c r="BM2872" s="4">
        <v>43283.201388888891</v>
      </c>
      <c r="BN2872" s="4">
        <v>43283.21707175926</v>
      </c>
      <c r="BO2872" s="4">
        <v>43283.21707175926</v>
      </c>
      <c r="BP2872" t="s">
        <v>92</v>
      </c>
      <c r="BQ2872" t="s">
        <v>93</v>
      </c>
      <c r="BR2872" t="s">
        <v>94</v>
      </c>
    </row>
    <row r="2873" spans="1:70" x14ac:dyDescent="0.3">
      <c r="A2873" t="str">
        <f>"202034C0300"</f>
        <v>202034C0300</v>
      </c>
      <c r="B2873" t="s">
        <v>5964</v>
      </c>
      <c r="C2873">
        <v>20</v>
      </c>
      <c r="D2873" t="s">
        <v>88</v>
      </c>
      <c r="E2873">
        <v>470</v>
      </c>
      <c r="F2873" t="s">
        <v>5948</v>
      </c>
      <c r="G2873">
        <v>2034</v>
      </c>
      <c r="H2873">
        <v>3</v>
      </c>
      <c r="I2873" t="s">
        <v>98</v>
      </c>
      <c r="J2873">
        <v>0</v>
      </c>
      <c r="K2873">
        <v>1</v>
      </c>
      <c r="L2873">
        <v>5</v>
      </c>
      <c r="M2873">
        <v>265</v>
      </c>
      <c r="N2873">
        <v>362</v>
      </c>
      <c r="O2873">
        <v>4</v>
      </c>
      <c r="P2873">
        <v>363</v>
      </c>
      <c r="Q2873">
        <v>4</v>
      </c>
      <c r="R2873">
        <v>153</v>
      </c>
      <c r="S2873">
        <v>6</v>
      </c>
      <c r="U2873">
        <v>8</v>
      </c>
      <c r="V2873">
        <v>3</v>
      </c>
      <c r="Y2873">
        <v>157</v>
      </c>
      <c r="Z2873">
        <v>2</v>
      </c>
      <c r="AA2873">
        <v>17</v>
      </c>
      <c r="AC2873">
        <v>0</v>
      </c>
      <c r="AD2873">
        <v>0</v>
      </c>
      <c r="AE2873">
        <v>0</v>
      </c>
      <c r="AF2873">
        <v>0</v>
      </c>
      <c r="AK2873">
        <v>1</v>
      </c>
      <c r="AL2873">
        <v>1</v>
      </c>
      <c r="AM2873">
        <v>0</v>
      </c>
      <c r="AN2873">
        <v>0</v>
      </c>
      <c r="BC2873">
        <v>0</v>
      </c>
      <c r="BD2873">
        <v>11</v>
      </c>
      <c r="BE2873">
        <v>363</v>
      </c>
      <c r="BF2873">
        <v>363</v>
      </c>
      <c r="BG2873">
        <v>604</v>
      </c>
      <c r="BJ2873">
        <v>1</v>
      </c>
      <c r="BL2873" t="s">
        <v>5965</v>
      </c>
      <c r="BM2873" s="4">
        <v>43283.206250000003</v>
      </c>
      <c r="BN2873" s="4">
        <v>43283.22184027778</v>
      </c>
      <c r="BO2873" s="4">
        <v>43283.22184027778</v>
      </c>
      <c r="BP2873" t="s">
        <v>92</v>
      </c>
      <c r="BQ2873" t="s">
        <v>93</v>
      </c>
      <c r="BR2873" t="s">
        <v>94</v>
      </c>
    </row>
    <row r="2874" spans="1:70" x14ac:dyDescent="0.3">
      <c r="A2874" t="str">
        <f>"202035B0100"</f>
        <v>202035B0100</v>
      </c>
      <c r="B2874" t="s">
        <v>5966</v>
      </c>
      <c r="C2874">
        <v>20</v>
      </c>
      <c r="D2874" t="s">
        <v>88</v>
      </c>
      <c r="E2874">
        <v>470</v>
      </c>
      <c r="F2874" t="s">
        <v>5948</v>
      </c>
      <c r="G2874">
        <v>2035</v>
      </c>
      <c r="H2874">
        <v>1</v>
      </c>
      <c r="I2874" t="s">
        <v>90</v>
      </c>
      <c r="J2874">
        <v>0</v>
      </c>
      <c r="K2874">
        <v>2</v>
      </c>
      <c r="L2874">
        <v>5</v>
      </c>
      <c r="M2874">
        <v>215</v>
      </c>
      <c r="N2874">
        <v>444</v>
      </c>
      <c r="O2874">
        <v>4</v>
      </c>
      <c r="P2874">
        <v>450</v>
      </c>
      <c r="Q2874">
        <v>4</v>
      </c>
      <c r="R2874">
        <v>204</v>
      </c>
      <c r="S2874">
        <v>11</v>
      </c>
      <c r="U2874">
        <v>2</v>
      </c>
      <c r="V2874">
        <v>1</v>
      </c>
      <c r="Y2874">
        <v>166</v>
      </c>
      <c r="Z2874">
        <v>15</v>
      </c>
      <c r="AA2874">
        <v>23</v>
      </c>
      <c r="AC2874" t="s">
        <v>105</v>
      </c>
      <c r="AD2874" t="s">
        <v>105</v>
      </c>
      <c r="AE2874" t="s">
        <v>105</v>
      </c>
      <c r="AF2874" t="s">
        <v>105</v>
      </c>
      <c r="AK2874">
        <v>5</v>
      </c>
      <c r="AL2874" t="s">
        <v>105</v>
      </c>
      <c r="AM2874" t="s">
        <v>105</v>
      </c>
      <c r="AN2874">
        <v>1</v>
      </c>
      <c r="BC2874" t="s">
        <v>105</v>
      </c>
      <c r="BD2874">
        <v>18</v>
      </c>
      <c r="BE2874">
        <v>450</v>
      </c>
      <c r="BF2874">
        <v>450</v>
      </c>
      <c r="BG2874">
        <v>639</v>
      </c>
      <c r="BI2874" t="s">
        <v>106</v>
      </c>
      <c r="BJ2874">
        <v>1</v>
      </c>
      <c r="BL2874" t="s">
        <v>5967</v>
      </c>
      <c r="BM2874" s="4">
        <v>43283.20416666667</v>
      </c>
      <c r="BN2874" s="4">
        <v>43283.219768518517</v>
      </c>
      <c r="BO2874" s="4">
        <v>43283.219768518517</v>
      </c>
      <c r="BP2874" t="s">
        <v>92</v>
      </c>
      <c r="BQ2874" t="s">
        <v>93</v>
      </c>
      <c r="BR2874" t="s">
        <v>94</v>
      </c>
    </row>
    <row r="2875" spans="1:70" x14ac:dyDescent="0.3">
      <c r="A2875" t="str">
        <f>"202035C0100"</f>
        <v>202035C0100</v>
      </c>
      <c r="B2875" t="s">
        <v>5968</v>
      </c>
      <c r="C2875">
        <v>20</v>
      </c>
      <c r="D2875" t="s">
        <v>88</v>
      </c>
      <c r="E2875">
        <v>470</v>
      </c>
      <c r="F2875" t="s">
        <v>5948</v>
      </c>
      <c r="G2875">
        <v>2035</v>
      </c>
      <c r="H2875">
        <v>1</v>
      </c>
      <c r="I2875" t="s">
        <v>98</v>
      </c>
      <c r="J2875">
        <v>0</v>
      </c>
      <c r="K2875">
        <v>2</v>
      </c>
      <c r="L2875">
        <v>5</v>
      </c>
      <c r="M2875">
        <v>249</v>
      </c>
      <c r="N2875">
        <v>413</v>
      </c>
      <c r="O2875">
        <v>1</v>
      </c>
      <c r="P2875" t="s">
        <v>105</v>
      </c>
      <c r="Q2875">
        <v>3</v>
      </c>
      <c r="R2875">
        <v>199</v>
      </c>
      <c r="S2875">
        <v>9</v>
      </c>
      <c r="U2875">
        <v>6</v>
      </c>
      <c r="V2875">
        <v>1</v>
      </c>
      <c r="Y2875">
        <v>138</v>
      </c>
      <c r="Z2875">
        <v>12</v>
      </c>
      <c r="AA2875">
        <v>24</v>
      </c>
      <c r="AC2875">
        <v>0</v>
      </c>
      <c r="AD2875">
        <v>0</v>
      </c>
      <c r="AE2875">
        <v>0</v>
      </c>
      <c r="AF2875">
        <v>0</v>
      </c>
      <c r="AK2875">
        <v>1</v>
      </c>
      <c r="AL2875">
        <v>1</v>
      </c>
      <c r="AM2875">
        <v>1</v>
      </c>
      <c r="AN2875">
        <v>2</v>
      </c>
      <c r="BC2875">
        <v>0</v>
      </c>
      <c r="BD2875">
        <v>13</v>
      </c>
      <c r="BE2875">
        <v>410</v>
      </c>
      <c r="BF2875">
        <v>410</v>
      </c>
      <c r="BG2875">
        <v>639</v>
      </c>
      <c r="BJ2875">
        <v>1</v>
      </c>
      <c r="BL2875" t="s">
        <v>5969</v>
      </c>
      <c r="BM2875" s="4">
        <v>43283.207638888889</v>
      </c>
      <c r="BN2875" s="4">
        <v>43283.23028935185</v>
      </c>
      <c r="BO2875" s="4">
        <v>43283.23028935185</v>
      </c>
      <c r="BP2875" t="s">
        <v>92</v>
      </c>
      <c r="BQ2875" t="s">
        <v>93</v>
      </c>
      <c r="BR2875" t="s">
        <v>94</v>
      </c>
    </row>
    <row r="2876" spans="1:70" x14ac:dyDescent="0.3">
      <c r="A2876" t="str">
        <f>"202035C0200"</f>
        <v>202035C0200</v>
      </c>
      <c r="B2876" t="s">
        <v>5970</v>
      </c>
      <c r="C2876">
        <v>20</v>
      </c>
      <c r="D2876" t="s">
        <v>88</v>
      </c>
      <c r="E2876">
        <v>470</v>
      </c>
      <c r="F2876" t="s">
        <v>5948</v>
      </c>
      <c r="G2876">
        <v>2035</v>
      </c>
      <c r="H2876">
        <v>2</v>
      </c>
      <c r="I2876" t="s">
        <v>98</v>
      </c>
      <c r="J2876">
        <v>0</v>
      </c>
      <c r="K2876">
        <v>2</v>
      </c>
      <c r="L2876">
        <v>5</v>
      </c>
      <c r="M2876">
        <v>238</v>
      </c>
      <c r="N2876">
        <v>423</v>
      </c>
      <c r="O2876">
        <v>3</v>
      </c>
      <c r="P2876">
        <v>423</v>
      </c>
      <c r="Q2876">
        <v>0</v>
      </c>
      <c r="R2876">
        <v>211</v>
      </c>
      <c r="S2876">
        <v>8</v>
      </c>
      <c r="U2876">
        <v>2</v>
      </c>
      <c r="V2876">
        <v>3</v>
      </c>
      <c r="Y2876">
        <v>135</v>
      </c>
      <c r="Z2876">
        <v>9</v>
      </c>
      <c r="AA2876">
        <v>28</v>
      </c>
      <c r="AC2876">
        <v>0</v>
      </c>
      <c r="AD2876">
        <v>0</v>
      </c>
      <c r="AE2876">
        <v>0</v>
      </c>
      <c r="AF2876">
        <v>0</v>
      </c>
      <c r="AK2876">
        <v>1</v>
      </c>
      <c r="AL2876">
        <v>1</v>
      </c>
      <c r="AM2876">
        <v>0</v>
      </c>
      <c r="AN2876">
        <v>6</v>
      </c>
      <c r="BC2876">
        <v>0</v>
      </c>
      <c r="BD2876">
        <v>23</v>
      </c>
      <c r="BE2876">
        <v>427</v>
      </c>
      <c r="BF2876">
        <v>427</v>
      </c>
      <c r="BG2876">
        <v>639</v>
      </c>
      <c r="BJ2876">
        <v>1</v>
      </c>
      <c r="BL2876" t="s">
        <v>5971</v>
      </c>
      <c r="BM2876" s="4">
        <v>43283.209722222222</v>
      </c>
      <c r="BN2876" s="4">
        <v>43283.230208333334</v>
      </c>
      <c r="BO2876" s="4">
        <v>43283.230208333334</v>
      </c>
      <c r="BP2876" t="s">
        <v>92</v>
      </c>
      <c r="BQ2876" t="s">
        <v>93</v>
      </c>
      <c r="BR2876" t="s">
        <v>94</v>
      </c>
    </row>
    <row r="2877" spans="1:70" x14ac:dyDescent="0.3">
      <c r="A2877" t="str">
        <f>"202036B0100"</f>
        <v>202036B0100</v>
      </c>
      <c r="B2877" t="s">
        <v>5972</v>
      </c>
      <c r="C2877">
        <v>20</v>
      </c>
      <c r="D2877" t="s">
        <v>88</v>
      </c>
      <c r="E2877">
        <v>470</v>
      </c>
      <c r="F2877" t="s">
        <v>5948</v>
      </c>
      <c r="G2877">
        <v>2036</v>
      </c>
      <c r="H2877">
        <v>1</v>
      </c>
      <c r="I2877" t="s">
        <v>90</v>
      </c>
      <c r="J2877">
        <v>0</v>
      </c>
      <c r="K2877">
        <v>2</v>
      </c>
      <c r="L2877">
        <v>5</v>
      </c>
      <c r="M2877">
        <v>248</v>
      </c>
      <c r="N2877">
        <v>450</v>
      </c>
      <c r="O2877">
        <v>3</v>
      </c>
      <c r="P2877" t="s">
        <v>105</v>
      </c>
      <c r="Q2877">
        <v>3</v>
      </c>
      <c r="R2877">
        <v>241</v>
      </c>
      <c r="S2877">
        <v>9</v>
      </c>
      <c r="U2877">
        <v>8</v>
      </c>
      <c r="V2877">
        <v>4</v>
      </c>
      <c r="Y2877">
        <v>140</v>
      </c>
      <c r="Z2877">
        <v>5</v>
      </c>
      <c r="AA2877">
        <v>24</v>
      </c>
      <c r="AC2877">
        <v>0</v>
      </c>
      <c r="AD2877">
        <v>0</v>
      </c>
      <c r="AE2877">
        <v>0</v>
      </c>
      <c r="AF2877">
        <v>0</v>
      </c>
      <c r="AK2877">
        <v>0</v>
      </c>
      <c r="AL2877">
        <v>2</v>
      </c>
      <c r="AM2877">
        <v>0</v>
      </c>
      <c r="AN2877">
        <v>2</v>
      </c>
      <c r="BC2877" t="s">
        <v>105</v>
      </c>
      <c r="BD2877">
        <v>12</v>
      </c>
      <c r="BE2877">
        <v>450</v>
      </c>
      <c r="BF2877">
        <v>450</v>
      </c>
      <c r="BG2877">
        <v>676</v>
      </c>
      <c r="BI2877" t="s">
        <v>106</v>
      </c>
      <c r="BJ2877">
        <v>1</v>
      </c>
      <c r="BL2877" t="s">
        <v>5973</v>
      </c>
      <c r="BM2877" s="4">
        <v>43283.085416666669</v>
      </c>
      <c r="BN2877" s="4">
        <v>43283.08935185185</v>
      </c>
      <c r="BO2877" s="4">
        <v>43283.08935185185</v>
      </c>
      <c r="BP2877" t="s">
        <v>92</v>
      </c>
      <c r="BQ2877" t="s">
        <v>93</v>
      </c>
      <c r="BR2877" t="s">
        <v>94</v>
      </c>
    </row>
    <row r="2878" spans="1:70" x14ac:dyDescent="0.3">
      <c r="A2878" t="str">
        <f>"202036C0100"</f>
        <v>202036C0100</v>
      </c>
      <c r="B2878" t="s">
        <v>5974</v>
      </c>
      <c r="C2878">
        <v>20</v>
      </c>
      <c r="D2878" t="s">
        <v>88</v>
      </c>
      <c r="E2878">
        <v>470</v>
      </c>
      <c r="F2878" t="s">
        <v>5948</v>
      </c>
      <c r="G2878">
        <v>2036</v>
      </c>
      <c r="H2878">
        <v>1</v>
      </c>
      <c r="I2878" t="s">
        <v>98</v>
      </c>
      <c r="J2878">
        <v>0</v>
      </c>
      <c r="K2878">
        <v>2</v>
      </c>
      <c r="L2878">
        <v>5</v>
      </c>
      <c r="M2878">
        <v>277</v>
      </c>
      <c r="N2878">
        <v>420</v>
      </c>
      <c r="O2878">
        <v>1</v>
      </c>
      <c r="P2878">
        <v>419</v>
      </c>
      <c r="Q2878">
        <v>1</v>
      </c>
      <c r="R2878">
        <v>200</v>
      </c>
      <c r="S2878">
        <v>5</v>
      </c>
      <c r="U2878">
        <v>5</v>
      </c>
      <c r="V2878">
        <v>2</v>
      </c>
      <c r="Y2878">
        <v>153</v>
      </c>
      <c r="Z2878">
        <v>5</v>
      </c>
      <c r="AA2878">
        <v>35</v>
      </c>
      <c r="AC2878">
        <v>0</v>
      </c>
      <c r="AD2878">
        <v>0</v>
      </c>
      <c r="AE2878">
        <v>0</v>
      </c>
      <c r="AF2878">
        <v>0</v>
      </c>
      <c r="AK2878">
        <v>5</v>
      </c>
      <c r="AL2878">
        <v>0</v>
      </c>
      <c r="AM2878">
        <v>1</v>
      </c>
      <c r="AN2878">
        <v>1</v>
      </c>
      <c r="BC2878">
        <v>0</v>
      </c>
      <c r="BD2878">
        <v>6</v>
      </c>
      <c r="BE2878">
        <v>419</v>
      </c>
      <c r="BF2878">
        <v>419</v>
      </c>
      <c r="BG2878">
        <v>675</v>
      </c>
      <c r="BJ2878">
        <v>1</v>
      </c>
      <c r="BL2878" t="s">
        <v>5975</v>
      </c>
      <c r="BM2878" s="4">
        <v>43283.082638888889</v>
      </c>
      <c r="BN2878" s="4">
        <v>43283.091446759259</v>
      </c>
      <c r="BO2878" s="4">
        <v>43283.091446759259</v>
      </c>
      <c r="BP2878" t="s">
        <v>92</v>
      </c>
      <c r="BQ2878" t="s">
        <v>93</v>
      </c>
      <c r="BR2878" t="s">
        <v>94</v>
      </c>
    </row>
    <row r="2879" spans="1:70" x14ac:dyDescent="0.3">
      <c r="A2879" t="str">
        <f>"202036C0200"</f>
        <v>202036C0200</v>
      </c>
      <c r="B2879" t="s">
        <v>5976</v>
      </c>
      <c r="C2879">
        <v>20</v>
      </c>
      <c r="D2879" t="s">
        <v>88</v>
      </c>
      <c r="E2879">
        <v>470</v>
      </c>
      <c r="F2879" t="s">
        <v>5948</v>
      </c>
      <c r="G2879">
        <v>2036</v>
      </c>
      <c r="H2879">
        <v>2</v>
      </c>
      <c r="I2879" t="s">
        <v>98</v>
      </c>
      <c r="J2879">
        <v>0</v>
      </c>
      <c r="K2879">
        <v>2</v>
      </c>
      <c r="L2879">
        <v>5</v>
      </c>
      <c r="M2879">
        <v>292</v>
      </c>
      <c r="N2879">
        <v>400</v>
      </c>
      <c r="O2879">
        <v>5</v>
      </c>
      <c r="P2879">
        <v>405</v>
      </c>
      <c r="Q2879">
        <v>2</v>
      </c>
      <c r="R2879">
        <v>209</v>
      </c>
      <c r="S2879">
        <v>4</v>
      </c>
      <c r="U2879">
        <v>6</v>
      </c>
      <c r="V2879">
        <v>4</v>
      </c>
      <c r="Y2879">
        <v>134</v>
      </c>
      <c r="Z2879">
        <v>6</v>
      </c>
      <c r="AA2879">
        <v>20</v>
      </c>
      <c r="AC2879">
        <v>1</v>
      </c>
      <c r="AD2879">
        <v>0</v>
      </c>
      <c r="AE2879">
        <v>0</v>
      </c>
      <c r="AF2879">
        <v>0</v>
      </c>
      <c r="AK2879">
        <v>3</v>
      </c>
      <c r="AL2879">
        <v>1</v>
      </c>
      <c r="AM2879">
        <v>0</v>
      </c>
      <c r="AN2879">
        <v>2</v>
      </c>
      <c r="BC2879">
        <v>0</v>
      </c>
      <c r="BD2879">
        <v>13</v>
      </c>
      <c r="BE2879">
        <v>405</v>
      </c>
      <c r="BF2879">
        <v>405</v>
      </c>
      <c r="BG2879">
        <v>675</v>
      </c>
      <c r="BJ2879">
        <v>1</v>
      </c>
      <c r="BL2879" t="s">
        <v>5977</v>
      </c>
      <c r="BM2879" s="4">
        <v>43283.061805555553</v>
      </c>
      <c r="BN2879" s="4">
        <v>43283.066550925927</v>
      </c>
      <c r="BO2879" s="4">
        <v>43283.066550925927</v>
      </c>
      <c r="BP2879" t="s">
        <v>92</v>
      </c>
      <c r="BQ2879" t="s">
        <v>93</v>
      </c>
      <c r="BR2879" t="s">
        <v>94</v>
      </c>
    </row>
    <row r="2880" spans="1:70" x14ac:dyDescent="0.3">
      <c r="A2880" t="str">
        <f>"202037B0100"</f>
        <v>202037B0100</v>
      </c>
      <c r="B2880" t="s">
        <v>5978</v>
      </c>
      <c r="C2880">
        <v>20</v>
      </c>
      <c r="D2880" t="s">
        <v>88</v>
      </c>
      <c r="E2880">
        <v>470</v>
      </c>
      <c r="F2880" t="s">
        <v>5948</v>
      </c>
      <c r="G2880">
        <v>2037</v>
      </c>
      <c r="H2880">
        <v>1</v>
      </c>
      <c r="I2880" t="s">
        <v>90</v>
      </c>
      <c r="J2880">
        <v>0</v>
      </c>
      <c r="K2880">
        <v>2</v>
      </c>
      <c r="L2880">
        <v>5</v>
      </c>
      <c r="M2880">
        <v>259</v>
      </c>
      <c r="N2880">
        <v>256</v>
      </c>
      <c r="O2880">
        <v>2</v>
      </c>
      <c r="P2880">
        <v>260</v>
      </c>
      <c r="Q2880">
        <v>5</v>
      </c>
      <c r="R2880">
        <v>82</v>
      </c>
      <c r="S2880">
        <v>16</v>
      </c>
      <c r="U2880">
        <v>3</v>
      </c>
      <c r="V2880">
        <v>2</v>
      </c>
      <c r="Y2880">
        <v>110</v>
      </c>
      <c r="Z2880">
        <v>5</v>
      </c>
      <c r="AA2880">
        <v>12</v>
      </c>
      <c r="AC2880">
        <v>0</v>
      </c>
      <c r="AD2880">
        <v>1</v>
      </c>
      <c r="AE2880">
        <v>0</v>
      </c>
      <c r="AF2880">
        <v>0</v>
      </c>
      <c r="AK2880">
        <v>1</v>
      </c>
      <c r="AL2880">
        <v>1</v>
      </c>
      <c r="AM2880">
        <v>0</v>
      </c>
      <c r="AN2880">
        <v>3</v>
      </c>
      <c r="BC2880">
        <v>0</v>
      </c>
      <c r="BD2880">
        <v>19</v>
      </c>
      <c r="BE2880">
        <v>260</v>
      </c>
      <c r="BF2880">
        <v>260</v>
      </c>
      <c r="BG2880">
        <v>493</v>
      </c>
      <c r="BJ2880">
        <v>1</v>
      </c>
      <c r="BL2880" t="s">
        <v>5979</v>
      </c>
      <c r="BM2880" s="4">
        <v>43283.097916666666</v>
      </c>
      <c r="BN2880" s="4">
        <v>43283.103379629632</v>
      </c>
      <c r="BO2880" s="4">
        <v>43283.103379629632</v>
      </c>
      <c r="BP2880" t="s">
        <v>92</v>
      </c>
      <c r="BQ2880" t="s">
        <v>93</v>
      </c>
      <c r="BR2880" t="s">
        <v>94</v>
      </c>
    </row>
    <row r="2881" spans="1:70" x14ac:dyDescent="0.3">
      <c r="A2881" t="str">
        <f>"202037C0100"</f>
        <v>202037C0100</v>
      </c>
      <c r="B2881" t="s">
        <v>5980</v>
      </c>
      <c r="C2881">
        <v>20</v>
      </c>
      <c r="D2881" t="s">
        <v>88</v>
      </c>
      <c r="E2881">
        <v>470</v>
      </c>
      <c r="F2881" t="s">
        <v>5948</v>
      </c>
      <c r="G2881">
        <v>2037</v>
      </c>
      <c r="H2881">
        <v>1</v>
      </c>
      <c r="I2881" t="s">
        <v>98</v>
      </c>
      <c r="J2881">
        <v>0</v>
      </c>
      <c r="K2881">
        <v>2</v>
      </c>
      <c r="L2881">
        <v>5</v>
      </c>
      <c r="M2881">
        <v>253</v>
      </c>
      <c r="N2881">
        <v>269</v>
      </c>
      <c r="O2881">
        <v>3</v>
      </c>
      <c r="P2881">
        <v>262</v>
      </c>
      <c r="Q2881">
        <v>4</v>
      </c>
      <c r="R2881">
        <v>92</v>
      </c>
      <c r="S2881">
        <v>10</v>
      </c>
      <c r="U2881">
        <v>4</v>
      </c>
      <c r="V2881">
        <v>3</v>
      </c>
      <c r="Y2881">
        <v>97</v>
      </c>
      <c r="Z2881">
        <v>10</v>
      </c>
      <c r="AA2881">
        <v>16</v>
      </c>
      <c r="AC2881">
        <v>1</v>
      </c>
      <c r="AD2881">
        <v>0</v>
      </c>
      <c r="AE2881">
        <v>0</v>
      </c>
      <c r="AF2881">
        <v>0</v>
      </c>
      <c r="AK2881">
        <v>4</v>
      </c>
      <c r="AL2881">
        <v>0</v>
      </c>
      <c r="AM2881">
        <v>1</v>
      </c>
      <c r="AN2881">
        <v>0</v>
      </c>
      <c r="BC2881">
        <v>0</v>
      </c>
      <c r="BD2881">
        <v>20</v>
      </c>
      <c r="BE2881">
        <v>262</v>
      </c>
      <c r="BF2881">
        <v>262</v>
      </c>
      <c r="BG2881">
        <v>493</v>
      </c>
      <c r="BJ2881">
        <v>1</v>
      </c>
      <c r="BL2881" t="s">
        <v>5981</v>
      </c>
      <c r="BM2881" s="4">
        <v>43283.095138888886</v>
      </c>
      <c r="BN2881" s="4">
        <v>43283.100636574076</v>
      </c>
      <c r="BO2881" s="4">
        <v>43283.100636574076</v>
      </c>
      <c r="BP2881" t="s">
        <v>92</v>
      </c>
      <c r="BQ2881" t="s">
        <v>93</v>
      </c>
      <c r="BR2881" t="s">
        <v>94</v>
      </c>
    </row>
    <row r="2882" spans="1:70" x14ac:dyDescent="0.3">
      <c r="A2882" t="str">
        <f>"202038B0100"</f>
        <v>202038B0100</v>
      </c>
      <c r="B2882" t="s">
        <v>5982</v>
      </c>
      <c r="C2882">
        <v>20</v>
      </c>
      <c r="D2882" t="s">
        <v>88</v>
      </c>
      <c r="E2882">
        <v>470</v>
      </c>
      <c r="F2882" t="s">
        <v>5948</v>
      </c>
      <c r="G2882">
        <v>2038</v>
      </c>
      <c r="H2882">
        <v>1</v>
      </c>
      <c r="I2882" t="s">
        <v>90</v>
      </c>
      <c r="J2882">
        <v>0</v>
      </c>
      <c r="K2882">
        <v>2</v>
      </c>
      <c r="L2882">
        <v>5</v>
      </c>
      <c r="M2882">
        <v>360</v>
      </c>
      <c r="N2882">
        <v>249</v>
      </c>
      <c r="O2882">
        <v>4</v>
      </c>
      <c r="P2882">
        <v>246</v>
      </c>
      <c r="Q2882">
        <v>6</v>
      </c>
      <c r="R2882">
        <v>58</v>
      </c>
      <c r="S2882">
        <v>8</v>
      </c>
      <c r="U2882">
        <v>13</v>
      </c>
      <c r="V2882">
        <v>4</v>
      </c>
      <c r="Y2882">
        <v>119</v>
      </c>
      <c r="Z2882">
        <v>3</v>
      </c>
      <c r="AA2882">
        <v>13</v>
      </c>
      <c r="AC2882">
        <v>0</v>
      </c>
      <c r="AD2882">
        <v>0</v>
      </c>
      <c r="AE2882">
        <v>0</v>
      </c>
      <c r="AF2882">
        <v>0</v>
      </c>
      <c r="AK2882">
        <v>2</v>
      </c>
      <c r="AL2882">
        <v>0</v>
      </c>
      <c r="AM2882">
        <v>0</v>
      </c>
      <c r="AN2882">
        <v>0</v>
      </c>
      <c r="BC2882">
        <v>0</v>
      </c>
      <c r="BD2882">
        <v>22</v>
      </c>
      <c r="BE2882">
        <v>246</v>
      </c>
      <c r="BF2882">
        <v>248</v>
      </c>
      <c r="BG2882">
        <v>593</v>
      </c>
      <c r="BJ2882">
        <v>1</v>
      </c>
      <c r="BL2882" t="s">
        <v>5983</v>
      </c>
      <c r="BM2882" s="4">
        <v>43283.056944444441</v>
      </c>
      <c r="BN2882" s="4">
        <v>43283.061747685184</v>
      </c>
      <c r="BO2882" s="4">
        <v>43283.061747685184</v>
      </c>
      <c r="BP2882" t="s">
        <v>92</v>
      </c>
      <c r="BQ2882" t="s">
        <v>93</v>
      </c>
      <c r="BR2882" t="s">
        <v>94</v>
      </c>
    </row>
    <row r="2883" spans="1:70" x14ac:dyDescent="0.3">
      <c r="A2883" t="str">
        <f>"202039B0100"</f>
        <v>202039B0100</v>
      </c>
      <c r="B2883" t="s">
        <v>5984</v>
      </c>
      <c r="C2883">
        <v>20</v>
      </c>
      <c r="D2883" t="s">
        <v>88</v>
      </c>
      <c r="E2883">
        <v>470</v>
      </c>
      <c r="F2883" t="s">
        <v>5948</v>
      </c>
      <c r="G2883">
        <v>2039</v>
      </c>
      <c r="H2883">
        <v>1</v>
      </c>
      <c r="I2883" t="s">
        <v>90</v>
      </c>
      <c r="J2883">
        <v>0</v>
      </c>
      <c r="K2883">
        <v>2</v>
      </c>
      <c r="L2883">
        <v>5</v>
      </c>
      <c r="BG2883">
        <v>674</v>
      </c>
      <c r="BI2883" t="s">
        <v>122</v>
      </c>
      <c r="BJ2883">
        <v>0</v>
      </c>
      <c r="BL2883" t="s">
        <v>5985</v>
      </c>
      <c r="BM2883" s="4">
        <v>43283.615277777775</v>
      </c>
      <c r="BN2883" s="4">
        <v>43283.618159722224</v>
      </c>
      <c r="BO2883" s="4">
        <v>43283.618159722224</v>
      </c>
      <c r="BP2883" t="s">
        <v>92</v>
      </c>
      <c r="BQ2883" t="s">
        <v>93</v>
      </c>
      <c r="BR2883" t="s">
        <v>94</v>
      </c>
    </row>
    <row r="2884" spans="1:70" x14ac:dyDescent="0.3">
      <c r="A2884" t="str">
        <f>"202039E0100"</f>
        <v>202039E0100</v>
      </c>
      <c r="B2884" s="2" t="s">
        <v>5986</v>
      </c>
      <c r="C2884">
        <v>20</v>
      </c>
      <c r="D2884" t="s">
        <v>88</v>
      </c>
      <c r="E2884">
        <v>470</v>
      </c>
      <c r="F2884" t="s">
        <v>5948</v>
      </c>
      <c r="G2884">
        <v>2039</v>
      </c>
      <c r="H2884">
        <v>1</v>
      </c>
      <c r="I2884" t="s">
        <v>156</v>
      </c>
      <c r="J2884">
        <v>0</v>
      </c>
      <c r="K2884">
        <v>2</v>
      </c>
      <c r="L2884">
        <v>5</v>
      </c>
      <c r="M2884">
        <v>258</v>
      </c>
      <c r="N2884">
        <v>312</v>
      </c>
      <c r="O2884">
        <v>4</v>
      </c>
      <c r="P2884">
        <v>312</v>
      </c>
      <c r="Q2884">
        <v>6</v>
      </c>
      <c r="R2884">
        <v>8</v>
      </c>
      <c r="S2884">
        <v>4</v>
      </c>
      <c r="U2884">
        <v>4</v>
      </c>
      <c r="V2884">
        <v>3</v>
      </c>
      <c r="Y2884">
        <v>130</v>
      </c>
      <c r="Z2884">
        <v>7</v>
      </c>
      <c r="AA2884">
        <v>19</v>
      </c>
      <c r="AC2884">
        <v>0</v>
      </c>
      <c r="AD2884">
        <v>0</v>
      </c>
      <c r="AE2884">
        <v>0</v>
      </c>
      <c r="AF2884">
        <v>0</v>
      </c>
      <c r="AK2884">
        <v>4</v>
      </c>
      <c r="AL2884">
        <v>1</v>
      </c>
      <c r="AM2884">
        <v>2</v>
      </c>
      <c r="AN2884">
        <v>2</v>
      </c>
      <c r="BC2884">
        <v>0</v>
      </c>
      <c r="BD2884">
        <v>15</v>
      </c>
      <c r="BE2884">
        <v>312</v>
      </c>
      <c r="BF2884">
        <v>205</v>
      </c>
      <c r="BG2884">
        <v>534</v>
      </c>
      <c r="BJ2884">
        <v>1</v>
      </c>
      <c r="BL2884" t="s">
        <v>5987</v>
      </c>
      <c r="BM2884" s="4">
        <v>43283.182638888888</v>
      </c>
      <c r="BN2884" s="4">
        <v>43283.203229166669</v>
      </c>
      <c r="BO2884" s="4">
        <v>43283.203229166669</v>
      </c>
      <c r="BP2884" t="s">
        <v>92</v>
      </c>
      <c r="BQ2884" t="s">
        <v>93</v>
      </c>
      <c r="BR2884" t="s">
        <v>94</v>
      </c>
    </row>
    <row r="2885" spans="1:70" x14ac:dyDescent="0.3">
      <c r="A2885" t="str">
        <f>"202039E0200"</f>
        <v>202039E0200</v>
      </c>
      <c r="B2885" s="2" t="s">
        <v>5988</v>
      </c>
      <c r="C2885">
        <v>20</v>
      </c>
      <c r="D2885" t="s">
        <v>88</v>
      </c>
      <c r="E2885">
        <v>470</v>
      </c>
      <c r="F2885" t="s">
        <v>5948</v>
      </c>
      <c r="G2885">
        <v>2039</v>
      </c>
      <c r="H2885">
        <v>2</v>
      </c>
      <c r="I2885" t="s">
        <v>156</v>
      </c>
      <c r="J2885">
        <v>0</v>
      </c>
      <c r="K2885">
        <v>2</v>
      </c>
      <c r="L2885">
        <v>5</v>
      </c>
      <c r="M2885">
        <v>32</v>
      </c>
      <c r="N2885">
        <v>104</v>
      </c>
      <c r="O2885">
        <v>0</v>
      </c>
      <c r="P2885">
        <v>104</v>
      </c>
      <c r="Q2885">
        <v>9</v>
      </c>
      <c r="R2885">
        <v>14</v>
      </c>
      <c r="S2885">
        <v>63</v>
      </c>
      <c r="U2885">
        <v>1</v>
      </c>
      <c r="V2885">
        <v>0</v>
      </c>
      <c r="Y2885">
        <v>4</v>
      </c>
      <c r="Z2885">
        <v>0</v>
      </c>
      <c r="AA2885">
        <v>0</v>
      </c>
      <c r="AC2885">
        <v>0</v>
      </c>
      <c r="AD2885">
        <v>1</v>
      </c>
      <c r="AE2885">
        <v>0</v>
      </c>
      <c r="AF2885">
        <v>0</v>
      </c>
      <c r="AK2885">
        <v>0</v>
      </c>
      <c r="AL2885">
        <v>0</v>
      </c>
      <c r="AM2885">
        <v>0</v>
      </c>
      <c r="AN2885">
        <v>0</v>
      </c>
      <c r="BC2885">
        <v>0</v>
      </c>
      <c r="BD2885">
        <v>12</v>
      </c>
      <c r="BE2885">
        <v>104</v>
      </c>
      <c r="BF2885">
        <v>104</v>
      </c>
      <c r="BG2885">
        <v>114</v>
      </c>
      <c r="BJ2885">
        <v>1</v>
      </c>
      <c r="BL2885" t="s">
        <v>5989</v>
      </c>
      <c r="BM2885" s="4">
        <v>43283.136805555558</v>
      </c>
      <c r="BN2885" s="4">
        <v>43283.156273148146</v>
      </c>
      <c r="BO2885" s="4">
        <v>43283.156273148146</v>
      </c>
      <c r="BP2885" t="s">
        <v>92</v>
      </c>
      <c r="BQ2885" t="s">
        <v>93</v>
      </c>
      <c r="BR2885" t="s">
        <v>94</v>
      </c>
    </row>
    <row r="2886" spans="1:70" x14ac:dyDescent="0.3">
      <c r="A2886" t="str">
        <f>"202040B0100"</f>
        <v>202040B0100</v>
      </c>
      <c r="B2886" t="s">
        <v>5990</v>
      </c>
      <c r="C2886">
        <v>20</v>
      </c>
      <c r="D2886" t="s">
        <v>88</v>
      </c>
      <c r="E2886">
        <v>470</v>
      </c>
      <c r="F2886" t="s">
        <v>5948</v>
      </c>
      <c r="G2886">
        <v>2040</v>
      </c>
      <c r="H2886">
        <v>1</v>
      </c>
      <c r="I2886" t="s">
        <v>90</v>
      </c>
      <c r="J2886">
        <v>0</v>
      </c>
      <c r="K2886">
        <v>2</v>
      </c>
      <c r="L2886">
        <v>5</v>
      </c>
      <c r="M2886" t="s">
        <v>105</v>
      </c>
      <c r="N2886" t="s">
        <v>105</v>
      </c>
      <c r="O2886" t="s">
        <v>105</v>
      </c>
      <c r="P2886" t="s">
        <v>105</v>
      </c>
      <c r="Q2886">
        <v>4</v>
      </c>
      <c r="R2886">
        <v>74</v>
      </c>
      <c r="S2886">
        <v>6</v>
      </c>
      <c r="U2886">
        <v>12</v>
      </c>
      <c r="V2886">
        <v>4</v>
      </c>
      <c r="Y2886">
        <v>250</v>
      </c>
      <c r="Z2886">
        <v>14</v>
      </c>
      <c r="AA2886">
        <v>7</v>
      </c>
      <c r="AC2886">
        <v>0</v>
      </c>
      <c r="AD2886">
        <v>0</v>
      </c>
      <c r="AE2886">
        <v>0</v>
      </c>
      <c r="AF2886">
        <v>0</v>
      </c>
      <c r="AK2886">
        <v>0</v>
      </c>
      <c r="AL2886">
        <v>1</v>
      </c>
      <c r="AM2886">
        <v>0</v>
      </c>
      <c r="AN2886">
        <v>5</v>
      </c>
      <c r="BC2886">
        <v>0</v>
      </c>
      <c r="BD2886">
        <v>21</v>
      </c>
      <c r="BE2886">
        <v>401</v>
      </c>
      <c r="BF2886">
        <v>398</v>
      </c>
      <c r="BG2886">
        <v>711</v>
      </c>
      <c r="BJ2886">
        <v>1</v>
      </c>
      <c r="BL2886" t="s">
        <v>5991</v>
      </c>
      <c r="BM2886" s="4">
        <v>43283.135416666664</v>
      </c>
      <c r="BN2886" s="4">
        <v>43283.139409722222</v>
      </c>
      <c r="BO2886" s="4">
        <v>43283.139409722222</v>
      </c>
      <c r="BP2886" t="s">
        <v>92</v>
      </c>
      <c r="BQ2886" t="s">
        <v>93</v>
      </c>
      <c r="BR2886" t="s">
        <v>94</v>
      </c>
    </row>
    <row r="2887" spans="1:70" x14ac:dyDescent="0.3">
      <c r="A2887" t="str">
        <f>"202041B0100"</f>
        <v>202041B0100</v>
      </c>
      <c r="B2887" t="s">
        <v>5992</v>
      </c>
      <c r="C2887">
        <v>20</v>
      </c>
      <c r="D2887" t="s">
        <v>88</v>
      </c>
      <c r="E2887">
        <v>470</v>
      </c>
      <c r="F2887" t="s">
        <v>5948</v>
      </c>
      <c r="G2887">
        <v>2041</v>
      </c>
      <c r="H2887">
        <v>1</v>
      </c>
      <c r="I2887" t="s">
        <v>90</v>
      </c>
      <c r="J2887">
        <v>0</v>
      </c>
      <c r="K2887">
        <v>2</v>
      </c>
      <c r="L2887">
        <v>5</v>
      </c>
      <c r="BG2887">
        <v>384</v>
      </c>
      <c r="BI2887" t="s">
        <v>122</v>
      </c>
      <c r="BJ2887">
        <v>0</v>
      </c>
      <c r="BL2887" s="2" t="s">
        <v>5993</v>
      </c>
      <c r="BM2887" s="4">
        <v>43283.614583333336</v>
      </c>
      <c r="BN2887" s="4">
        <v>43283.617743055554</v>
      </c>
      <c r="BO2887" s="4">
        <v>43283.617743055554</v>
      </c>
      <c r="BP2887" t="s">
        <v>92</v>
      </c>
      <c r="BQ2887" t="s">
        <v>93</v>
      </c>
      <c r="BR2887" t="s">
        <v>94</v>
      </c>
    </row>
    <row r="2888" spans="1:70" x14ac:dyDescent="0.3">
      <c r="A2888" t="str">
        <f>"202041C0100"</f>
        <v>202041C0100</v>
      </c>
      <c r="B2888" t="s">
        <v>5994</v>
      </c>
      <c r="C2888">
        <v>20</v>
      </c>
      <c r="D2888" t="s">
        <v>88</v>
      </c>
      <c r="E2888">
        <v>470</v>
      </c>
      <c r="F2888" t="s">
        <v>5948</v>
      </c>
      <c r="G2888">
        <v>2041</v>
      </c>
      <c r="H2888">
        <v>1</v>
      </c>
      <c r="I2888" t="s">
        <v>98</v>
      </c>
      <c r="J2888">
        <v>0</v>
      </c>
      <c r="K2888">
        <v>2</v>
      </c>
      <c r="L2888">
        <v>5</v>
      </c>
      <c r="M2888">
        <v>209</v>
      </c>
      <c r="N2888">
        <v>197</v>
      </c>
      <c r="O2888">
        <v>3</v>
      </c>
      <c r="P2888">
        <v>0</v>
      </c>
      <c r="Q2888">
        <v>8</v>
      </c>
      <c r="R2888">
        <v>66</v>
      </c>
      <c r="S2888">
        <v>13</v>
      </c>
      <c r="U2888">
        <v>8</v>
      </c>
      <c r="V2888">
        <v>3</v>
      </c>
      <c r="Y2888">
        <v>48</v>
      </c>
      <c r="Z2888">
        <v>6</v>
      </c>
      <c r="AA2888">
        <v>13</v>
      </c>
      <c r="AC2888">
        <v>0</v>
      </c>
      <c r="AD2888">
        <v>1</v>
      </c>
      <c r="AE2888">
        <v>0</v>
      </c>
      <c r="AF2888">
        <v>0</v>
      </c>
      <c r="AK2888">
        <v>0</v>
      </c>
      <c r="AL2888">
        <v>0</v>
      </c>
      <c r="AM2888">
        <v>0</v>
      </c>
      <c r="AN2888">
        <v>4</v>
      </c>
      <c r="BC2888">
        <v>0</v>
      </c>
      <c r="BD2888">
        <v>19</v>
      </c>
      <c r="BE2888">
        <v>189</v>
      </c>
      <c r="BF2888">
        <v>189</v>
      </c>
      <c r="BG2888">
        <v>384</v>
      </c>
      <c r="BJ2888">
        <v>1</v>
      </c>
      <c r="BL2888" t="s">
        <v>5995</v>
      </c>
      <c r="BM2888" s="4">
        <v>43283.316666666666</v>
      </c>
      <c r="BN2888" s="4">
        <v>43283.338055555556</v>
      </c>
      <c r="BO2888" s="4">
        <v>43283.338055555556</v>
      </c>
      <c r="BP2888" t="s">
        <v>92</v>
      </c>
      <c r="BQ2888" t="s">
        <v>93</v>
      </c>
      <c r="BR2888" t="s">
        <v>94</v>
      </c>
    </row>
    <row r="2889" spans="1:70" x14ac:dyDescent="0.3">
      <c r="A2889" t="str">
        <f>"202042B0100"</f>
        <v>202042B0100</v>
      </c>
      <c r="B2889" t="s">
        <v>5996</v>
      </c>
      <c r="C2889">
        <v>20</v>
      </c>
      <c r="D2889" t="s">
        <v>88</v>
      </c>
      <c r="E2889">
        <v>470</v>
      </c>
      <c r="F2889" t="s">
        <v>5948</v>
      </c>
      <c r="G2889">
        <v>2042</v>
      </c>
      <c r="H2889">
        <v>1</v>
      </c>
      <c r="I2889" t="s">
        <v>90</v>
      </c>
      <c r="J2889">
        <v>0</v>
      </c>
      <c r="K2889">
        <v>2</v>
      </c>
      <c r="L2889">
        <v>5</v>
      </c>
      <c r="M2889">
        <v>214</v>
      </c>
      <c r="N2889">
        <v>395</v>
      </c>
      <c r="O2889">
        <v>0</v>
      </c>
      <c r="P2889">
        <v>395</v>
      </c>
      <c r="Q2889">
        <v>4</v>
      </c>
      <c r="R2889">
        <v>178</v>
      </c>
      <c r="S2889">
        <v>106</v>
      </c>
      <c r="U2889">
        <v>8</v>
      </c>
      <c r="V2889">
        <v>3</v>
      </c>
      <c r="Y2889">
        <v>77</v>
      </c>
      <c r="Z2889">
        <v>3</v>
      </c>
      <c r="AA2889">
        <v>1</v>
      </c>
      <c r="AC2889">
        <v>0</v>
      </c>
      <c r="AD2889">
        <v>2</v>
      </c>
      <c r="AE2889">
        <v>0</v>
      </c>
      <c r="AF2889">
        <v>0</v>
      </c>
      <c r="AK2889">
        <v>0</v>
      </c>
      <c r="AL2889">
        <v>0</v>
      </c>
      <c r="AM2889">
        <v>0</v>
      </c>
      <c r="AN2889">
        <v>0</v>
      </c>
      <c r="BC2889">
        <v>0</v>
      </c>
      <c r="BD2889">
        <v>13</v>
      </c>
      <c r="BE2889">
        <v>395</v>
      </c>
      <c r="BF2889">
        <v>395</v>
      </c>
      <c r="BG2889">
        <v>588</v>
      </c>
      <c r="BJ2889">
        <v>1</v>
      </c>
      <c r="BL2889" t="s">
        <v>5997</v>
      </c>
      <c r="BM2889" s="4">
        <v>43283.169328703705</v>
      </c>
      <c r="BN2889" s="4">
        <v>43283.181620370371</v>
      </c>
      <c r="BO2889" s="4">
        <v>43283.181620370371</v>
      </c>
      <c r="BP2889" t="s">
        <v>339</v>
      </c>
      <c r="BQ2889" t="s">
        <v>340</v>
      </c>
      <c r="BR2889" t="s">
        <v>94</v>
      </c>
    </row>
    <row r="2890" spans="1:70" x14ac:dyDescent="0.3">
      <c r="A2890" t="str">
        <f>"202042C0100"</f>
        <v>202042C0100</v>
      </c>
      <c r="B2890" t="s">
        <v>5998</v>
      </c>
      <c r="C2890">
        <v>20</v>
      </c>
      <c r="D2890" t="s">
        <v>88</v>
      </c>
      <c r="E2890">
        <v>470</v>
      </c>
      <c r="F2890" t="s">
        <v>5948</v>
      </c>
      <c r="G2890">
        <v>2042</v>
      </c>
      <c r="H2890">
        <v>1</v>
      </c>
      <c r="I2890" t="s">
        <v>98</v>
      </c>
      <c r="J2890">
        <v>0</v>
      </c>
      <c r="K2890">
        <v>2</v>
      </c>
      <c r="L2890">
        <v>5</v>
      </c>
      <c r="M2890">
        <v>239</v>
      </c>
      <c r="N2890">
        <v>369</v>
      </c>
      <c r="O2890">
        <v>3</v>
      </c>
      <c r="P2890">
        <v>369</v>
      </c>
      <c r="Q2890">
        <v>8</v>
      </c>
      <c r="R2890">
        <v>159</v>
      </c>
      <c r="S2890">
        <v>79</v>
      </c>
      <c r="U2890">
        <v>8</v>
      </c>
      <c r="V2890">
        <v>0</v>
      </c>
      <c r="Y2890">
        <v>86</v>
      </c>
      <c r="Z2890">
        <v>7</v>
      </c>
      <c r="AA2890">
        <v>2</v>
      </c>
      <c r="AC2890" t="s">
        <v>105</v>
      </c>
      <c r="AD2890" t="s">
        <v>105</v>
      </c>
      <c r="AE2890" t="s">
        <v>105</v>
      </c>
      <c r="AF2890" t="s">
        <v>105</v>
      </c>
      <c r="AK2890" t="s">
        <v>105</v>
      </c>
      <c r="AL2890" t="s">
        <v>105</v>
      </c>
      <c r="AM2890" t="s">
        <v>105</v>
      </c>
      <c r="AN2890" t="s">
        <v>105</v>
      </c>
      <c r="BC2890" t="s">
        <v>105</v>
      </c>
      <c r="BD2890">
        <v>20</v>
      </c>
      <c r="BE2890">
        <v>369</v>
      </c>
      <c r="BF2890">
        <v>369</v>
      </c>
      <c r="BG2890">
        <v>587</v>
      </c>
      <c r="BI2890" t="s">
        <v>106</v>
      </c>
      <c r="BJ2890">
        <v>1</v>
      </c>
      <c r="BL2890" t="s">
        <v>5999</v>
      </c>
      <c r="BM2890" s="4">
        <v>43283.188888888886</v>
      </c>
      <c r="BN2890" s="4">
        <v>43283.206793981481</v>
      </c>
      <c r="BO2890" s="4">
        <v>43283.206793981481</v>
      </c>
      <c r="BP2890" t="s">
        <v>92</v>
      </c>
      <c r="BQ2890" t="s">
        <v>93</v>
      </c>
      <c r="BR2890" t="s">
        <v>94</v>
      </c>
    </row>
    <row r="2891" spans="1:70" x14ac:dyDescent="0.3">
      <c r="A2891" t="str">
        <f>"202042E0100"</f>
        <v>202042E0100</v>
      </c>
      <c r="B2891" s="2" t="s">
        <v>6000</v>
      </c>
      <c r="C2891">
        <v>20</v>
      </c>
      <c r="D2891" t="s">
        <v>88</v>
      </c>
      <c r="E2891">
        <v>470</v>
      </c>
      <c r="F2891" t="s">
        <v>5948</v>
      </c>
      <c r="G2891">
        <v>2042</v>
      </c>
      <c r="H2891">
        <v>1</v>
      </c>
      <c r="I2891" t="s">
        <v>156</v>
      </c>
      <c r="J2891">
        <v>0</v>
      </c>
      <c r="K2891">
        <v>2</v>
      </c>
      <c r="L2891">
        <v>5</v>
      </c>
      <c r="M2891">
        <v>134</v>
      </c>
      <c r="N2891">
        <v>274</v>
      </c>
      <c r="O2891">
        <v>1</v>
      </c>
      <c r="P2891">
        <v>274</v>
      </c>
      <c r="Q2891">
        <v>5</v>
      </c>
      <c r="R2891">
        <v>183</v>
      </c>
      <c r="S2891">
        <v>9</v>
      </c>
      <c r="U2891">
        <v>3</v>
      </c>
      <c r="V2891">
        <v>0</v>
      </c>
      <c r="Y2891">
        <v>60</v>
      </c>
      <c r="Z2891">
        <v>0</v>
      </c>
      <c r="AA2891">
        <v>0</v>
      </c>
      <c r="AC2891">
        <v>0</v>
      </c>
      <c r="AD2891">
        <v>0</v>
      </c>
      <c r="AE2891">
        <v>0</v>
      </c>
      <c r="AF2891">
        <v>0</v>
      </c>
      <c r="AK2891">
        <v>2</v>
      </c>
      <c r="AL2891">
        <v>0</v>
      </c>
      <c r="AM2891">
        <v>0</v>
      </c>
      <c r="AN2891">
        <v>1</v>
      </c>
      <c r="BC2891">
        <v>0</v>
      </c>
      <c r="BD2891">
        <v>11</v>
      </c>
      <c r="BE2891">
        <v>274</v>
      </c>
      <c r="BF2891">
        <v>274</v>
      </c>
      <c r="BG2891">
        <v>386</v>
      </c>
      <c r="BJ2891">
        <v>1</v>
      </c>
      <c r="BL2891" t="s">
        <v>6001</v>
      </c>
      <c r="BM2891" s="4">
        <v>43283.190972222219</v>
      </c>
      <c r="BN2891" s="4">
        <v>43283.20921296296</v>
      </c>
      <c r="BO2891" s="4">
        <v>43283.20921296296</v>
      </c>
      <c r="BP2891" t="s">
        <v>92</v>
      </c>
      <c r="BQ2891" t="s">
        <v>93</v>
      </c>
      <c r="BR2891" t="s">
        <v>94</v>
      </c>
    </row>
    <row r="2892" spans="1:70" x14ac:dyDescent="0.3">
      <c r="A2892" t="str">
        <f>"202042E0101"</f>
        <v>202042E0101</v>
      </c>
      <c r="B2892" s="2" t="s">
        <v>6002</v>
      </c>
      <c r="C2892">
        <v>20</v>
      </c>
      <c r="D2892" t="s">
        <v>88</v>
      </c>
      <c r="E2892">
        <v>470</v>
      </c>
      <c r="F2892" t="s">
        <v>5948</v>
      </c>
      <c r="G2892">
        <v>2042</v>
      </c>
      <c r="H2892">
        <v>1</v>
      </c>
      <c r="I2892" t="s">
        <v>156</v>
      </c>
      <c r="J2892">
        <v>1</v>
      </c>
      <c r="K2892">
        <v>2</v>
      </c>
      <c r="L2892">
        <v>5</v>
      </c>
      <c r="M2892">
        <v>129</v>
      </c>
      <c r="N2892">
        <v>408</v>
      </c>
      <c r="O2892">
        <v>1</v>
      </c>
      <c r="P2892">
        <v>408</v>
      </c>
      <c r="Q2892">
        <v>4</v>
      </c>
      <c r="R2892">
        <v>167</v>
      </c>
      <c r="S2892">
        <v>20</v>
      </c>
      <c r="U2892">
        <v>0</v>
      </c>
      <c r="V2892">
        <v>6</v>
      </c>
      <c r="Y2892">
        <v>60</v>
      </c>
      <c r="Z2892">
        <v>0</v>
      </c>
      <c r="AA2892">
        <v>1</v>
      </c>
      <c r="AC2892">
        <v>0</v>
      </c>
      <c r="AD2892">
        <v>0</v>
      </c>
      <c r="AE2892">
        <v>0</v>
      </c>
      <c r="AF2892">
        <v>0</v>
      </c>
      <c r="AK2892">
        <v>0</v>
      </c>
      <c r="AL2892">
        <v>0</v>
      </c>
      <c r="AM2892">
        <v>0</v>
      </c>
      <c r="AN2892">
        <v>1</v>
      </c>
      <c r="BC2892">
        <v>0</v>
      </c>
      <c r="BD2892">
        <v>19</v>
      </c>
      <c r="BE2892">
        <v>278</v>
      </c>
      <c r="BF2892">
        <v>278</v>
      </c>
      <c r="BG2892">
        <v>386</v>
      </c>
      <c r="BJ2892">
        <v>1</v>
      </c>
      <c r="BL2892" t="s">
        <v>6003</v>
      </c>
      <c r="BM2892" s="4">
        <v>43283.194444444445</v>
      </c>
      <c r="BN2892" s="4">
        <v>43283.211122685185</v>
      </c>
      <c r="BO2892" s="4">
        <v>43283.211122685185</v>
      </c>
      <c r="BP2892" t="s">
        <v>92</v>
      </c>
      <c r="BQ2892" t="s">
        <v>93</v>
      </c>
      <c r="BR2892" t="s">
        <v>94</v>
      </c>
    </row>
    <row r="2893" spans="1:70" x14ac:dyDescent="0.3">
      <c r="A2893" t="str">
        <f>"202043B0100"</f>
        <v>202043B0100</v>
      </c>
      <c r="B2893" t="s">
        <v>6004</v>
      </c>
      <c r="C2893">
        <v>20</v>
      </c>
      <c r="D2893" t="s">
        <v>88</v>
      </c>
      <c r="E2893">
        <v>470</v>
      </c>
      <c r="F2893" t="s">
        <v>5948</v>
      </c>
      <c r="G2893">
        <v>2043</v>
      </c>
      <c r="H2893">
        <v>1</v>
      </c>
      <c r="I2893" t="s">
        <v>90</v>
      </c>
      <c r="J2893">
        <v>0</v>
      </c>
      <c r="K2893">
        <v>2</v>
      </c>
      <c r="L2893">
        <v>5</v>
      </c>
      <c r="M2893">
        <v>342</v>
      </c>
      <c r="N2893">
        <v>397</v>
      </c>
      <c r="O2893">
        <v>0</v>
      </c>
      <c r="P2893">
        <v>397</v>
      </c>
      <c r="Q2893">
        <v>7</v>
      </c>
      <c r="R2893">
        <v>52</v>
      </c>
      <c r="S2893">
        <v>14</v>
      </c>
      <c r="U2893">
        <v>29</v>
      </c>
      <c r="V2893">
        <v>4</v>
      </c>
      <c r="Y2893">
        <v>246</v>
      </c>
      <c r="Z2893">
        <v>3</v>
      </c>
      <c r="AA2893">
        <v>2</v>
      </c>
      <c r="AC2893">
        <v>0</v>
      </c>
      <c r="AD2893">
        <v>0</v>
      </c>
      <c r="AE2893">
        <v>0</v>
      </c>
      <c r="AF2893">
        <v>0</v>
      </c>
      <c r="AK2893">
        <v>0</v>
      </c>
      <c r="AL2893">
        <v>0</v>
      </c>
      <c r="AM2893">
        <v>0</v>
      </c>
      <c r="AN2893">
        <v>1</v>
      </c>
      <c r="BC2893">
        <v>0</v>
      </c>
      <c r="BD2893">
        <v>39</v>
      </c>
      <c r="BE2893">
        <v>397</v>
      </c>
      <c r="BF2893">
        <v>397</v>
      </c>
      <c r="BG2893">
        <v>717</v>
      </c>
      <c r="BJ2893">
        <v>1</v>
      </c>
      <c r="BL2893" t="s">
        <v>6005</v>
      </c>
      <c r="BM2893" s="4">
        <v>43283.244444444441</v>
      </c>
      <c r="BN2893" s="4">
        <v>43283.272037037037</v>
      </c>
      <c r="BO2893" s="4">
        <v>43283.272037037037</v>
      </c>
      <c r="BP2893" t="s">
        <v>92</v>
      </c>
      <c r="BQ2893" t="s">
        <v>93</v>
      </c>
      <c r="BR2893" t="s">
        <v>94</v>
      </c>
    </row>
    <row r="2894" spans="1:70" x14ac:dyDescent="0.3">
      <c r="A2894" t="str">
        <f>"202043E0100"</f>
        <v>202043E0100</v>
      </c>
      <c r="B2894" s="2" t="s">
        <v>6006</v>
      </c>
      <c r="C2894">
        <v>20</v>
      </c>
      <c r="D2894" t="s">
        <v>88</v>
      </c>
      <c r="E2894">
        <v>470</v>
      </c>
      <c r="F2894" t="s">
        <v>5948</v>
      </c>
      <c r="G2894">
        <v>2043</v>
      </c>
      <c r="H2894">
        <v>1</v>
      </c>
      <c r="I2894" t="s">
        <v>156</v>
      </c>
      <c r="J2894">
        <v>0</v>
      </c>
      <c r="K2894">
        <v>2</v>
      </c>
      <c r="L2894">
        <v>5</v>
      </c>
      <c r="M2894">
        <v>432</v>
      </c>
      <c r="N2894">
        <v>733</v>
      </c>
      <c r="O2894">
        <v>3</v>
      </c>
      <c r="P2894" t="s">
        <v>105</v>
      </c>
      <c r="Q2894">
        <v>8</v>
      </c>
      <c r="R2894">
        <v>73</v>
      </c>
      <c r="S2894">
        <v>14</v>
      </c>
      <c r="U2894">
        <v>17</v>
      </c>
      <c r="V2894">
        <v>6</v>
      </c>
      <c r="Y2894">
        <v>171</v>
      </c>
      <c r="Z2894">
        <v>2</v>
      </c>
      <c r="AA2894">
        <v>7</v>
      </c>
      <c r="AC2894">
        <v>0</v>
      </c>
      <c r="AD2894">
        <v>0</v>
      </c>
      <c r="AE2894">
        <v>0</v>
      </c>
      <c r="AF2894" t="s">
        <v>105</v>
      </c>
      <c r="AK2894" t="s">
        <v>105</v>
      </c>
      <c r="AL2894">
        <v>2</v>
      </c>
      <c r="AM2894" t="s">
        <v>105</v>
      </c>
      <c r="AN2894" t="s">
        <v>105</v>
      </c>
      <c r="BC2894" t="s">
        <v>105</v>
      </c>
      <c r="BD2894">
        <v>17</v>
      </c>
      <c r="BE2894">
        <v>318</v>
      </c>
      <c r="BF2894">
        <v>317</v>
      </c>
      <c r="BG2894">
        <v>711</v>
      </c>
      <c r="BI2894" t="s">
        <v>106</v>
      </c>
      <c r="BJ2894">
        <v>1</v>
      </c>
      <c r="BL2894" t="s">
        <v>6007</v>
      </c>
      <c r="BM2894" s="4">
        <v>43283.243055555555</v>
      </c>
      <c r="BN2894" s="4">
        <v>43283.285358796296</v>
      </c>
      <c r="BO2894" s="4">
        <v>43283.285358796296</v>
      </c>
      <c r="BP2894" t="s">
        <v>92</v>
      </c>
      <c r="BQ2894" t="s">
        <v>93</v>
      </c>
      <c r="BR2894" t="s">
        <v>94</v>
      </c>
    </row>
    <row r="2895" spans="1:70" x14ac:dyDescent="0.3">
      <c r="A2895" t="str">
        <f>"202044B0100"</f>
        <v>202044B0100</v>
      </c>
      <c r="B2895" t="s">
        <v>6008</v>
      </c>
      <c r="C2895">
        <v>20</v>
      </c>
      <c r="D2895" t="s">
        <v>88</v>
      </c>
      <c r="E2895">
        <v>470</v>
      </c>
      <c r="F2895" t="s">
        <v>5948</v>
      </c>
      <c r="G2895">
        <v>2044</v>
      </c>
      <c r="H2895">
        <v>1</v>
      </c>
      <c r="I2895" t="s">
        <v>90</v>
      </c>
      <c r="J2895">
        <v>0</v>
      </c>
      <c r="K2895">
        <v>2</v>
      </c>
      <c r="L2895">
        <v>5</v>
      </c>
      <c r="M2895">
        <v>261</v>
      </c>
      <c r="N2895">
        <v>380</v>
      </c>
      <c r="O2895">
        <v>4</v>
      </c>
      <c r="P2895">
        <v>379</v>
      </c>
      <c r="Q2895">
        <v>6</v>
      </c>
      <c r="R2895">
        <v>90</v>
      </c>
      <c r="S2895">
        <v>13</v>
      </c>
      <c r="U2895">
        <v>11</v>
      </c>
      <c r="V2895">
        <v>1</v>
      </c>
      <c r="Y2895">
        <v>188</v>
      </c>
      <c r="Z2895">
        <v>18</v>
      </c>
      <c r="AA2895">
        <v>22</v>
      </c>
      <c r="AC2895">
        <v>0</v>
      </c>
      <c r="AD2895">
        <v>0</v>
      </c>
      <c r="AE2895">
        <v>0</v>
      </c>
      <c r="AF2895">
        <v>0</v>
      </c>
      <c r="AK2895">
        <v>11</v>
      </c>
      <c r="AL2895">
        <v>0</v>
      </c>
      <c r="AM2895">
        <v>2</v>
      </c>
      <c r="AN2895">
        <v>5</v>
      </c>
      <c r="BC2895">
        <v>0</v>
      </c>
      <c r="BD2895">
        <v>11</v>
      </c>
      <c r="BE2895">
        <v>379</v>
      </c>
      <c r="BF2895">
        <v>378</v>
      </c>
      <c r="BG2895">
        <v>619</v>
      </c>
      <c r="BJ2895">
        <v>1</v>
      </c>
      <c r="BL2895" t="s">
        <v>6009</v>
      </c>
      <c r="BM2895" s="4">
        <v>43283.131944444445</v>
      </c>
      <c r="BN2895" s="4">
        <v>43283.134745370371</v>
      </c>
      <c r="BO2895" s="4">
        <v>43283.134745370371</v>
      </c>
      <c r="BP2895" t="s">
        <v>92</v>
      </c>
      <c r="BQ2895" t="s">
        <v>93</v>
      </c>
      <c r="BR2895" t="s">
        <v>94</v>
      </c>
    </row>
    <row r="2896" spans="1:70" x14ac:dyDescent="0.3">
      <c r="A2896" t="str">
        <f>"202045B0100"</f>
        <v>202045B0100</v>
      </c>
      <c r="B2896" t="s">
        <v>6010</v>
      </c>
      <c r="C2896">
        <v>20</v>
      </c>
      <c r="D2896" t="s">
        <v>88</v>
      </c>
      <c r="E2896">
        <v>470</v>
      </c>
      <c r="F2896" t="s">
        <v>5948</v>
      </c>
      <c r="G2896">
        <v>2045</v>
      </c>
      <c r="H2896">
        <v>1</v>
      </c>
      <c r="I2896" t="s">
        <v>90</v>
      </c>
      <c r="J2896">
        <v>0</v>
      </c>
      <c r="K2896">
        <v>2</v>
      </c>
      <c r="L2896">
        <v>5</v>
      </c>
      <c r="M2896">
        <v>274</v>
      </c>
      <c r="N2896">
        <v>445</v>
      </c>
      <c r="O2896">
        <v>1</v>
      </c>
      <c r="P2896">
        <v>445</v>
      </c>
      <c r="Q2896">
        <v>1</v>
      </c>
      <c r="R2896">
        <v>213</v>
      </c>
      <c r="S2896">
        <v>10</v>
      </c>
      <c r="U2896">
        <v>6</v>
      </c>
      <c r="V2896">
        <v>2</v>
      </c>
      <c r="Y2896">
        <v>181</v>
      </c>
      <c r="Z2896">
        <v>3</v>
      </c>
      <c r="AA2896">
        <v>4</v>
      </c>
      <c r="AC2896">
        <v>0</v>
      </c>
      <c r="AD2896">
        <v>0</v>
      </c>
      <c r="AE2896">
        <v>0</v>
      </c>
      <c r="AF2896">
        <v>0</v>
      </c>
      <c r="AK2896">
        <v>1</v>
      </c>
      <c r="AL2896">
        <v>1</v>
      </c>
      <c r="AM2896">
        <v>0</v>
      </c>
      <c r="AN2896">
        <v>1</v>
      </c>
      <c r="BC2896">
        <v>0</v>
      </c>
      <c r="BD2896">
        <v>22</v>
      </c>
      <c r="BE2896">
        <v>445</v>
      </c>
      <c r="BF2896">
        <v>445</v>
      </c>
      <c r="BG2896">
        <v>697</v>
      </c>
      <c r="BJ2896">
        <v>1</v>
      </c>
      <c r="BL2896" t="s">
        <v>6011</v>
      </c>
      <c r="BM2896" s="4">
        <v>43283.595833333333</v>
      </c>
      <c r="BN2896" s="4">
        <v>43283.600324074076</v>
      </c>
      <c r="BO2896" s="4">
        <v>43283.600324074076</v>
      </c>
      <c r="BP2896" t="s">
        <v>92</v>
      </c>
      <c r="BQ2896" t="s">
        <v>93</v>
      </c>
      <c r="BR2896" t="s">
        <v>94</v>
      </c>
    </row>
    <row r="2897" spans="1:70" x14ac:dyDescent="0.3">
      <c r="A2897" t="str">
        <f>"202045E0100"</f>
        <v>202045E0100</v>
      </c>
      <c r="B2897" s="2" t="s">
        <v>6012</v>
      </c>
      <c r="C2897">
        <v>20</v>
      </c>
      <c r="D2897" t="s">
        <v>88</v>
      </c>
      <c r="E2897">
        <v>470</v>
      </c>
      <c r="F2897" t="s">
        <v>5948</v>
      </c>
      <c r="G2897">
        <v>2045</v>
      </c>
      <c r="H2897">
        <v>1</v>
      </c>
      <c r="I2897" t="s">
        <v>156</v>
      </c>
      <c r="J2897">
        <v>0</v>
      </c>
      <c r="K2897">
        <v>2</v>
      </c>
      <c r="L2897">
        <v>5</v>
      </c>
      <c r="M2897">
        <v>38</v>
      </c>
      <c r="N2897">
        <v>244</v>
      </c>
      <c r="O2897">
        <v>6</v>
      </c>
      <c r="P2897" t="s">
        <v>105</v>
      </c>
      <c r="Q2897">
        <v>1</v>
      </c>
      <c r="R2897">
        <v>48</v>
      </c>
      <c r="S2897">
        <v>10</v>
      </c>
      <c r="U2897">
        <v>12</v>
      </c>
      <c r="V2897">
        <v>2</v>
      </c>
      <c r="Y2897">
        <v>139</v>
      </c>
      <c r="Z2897">
        <v>1</v>
      </c>
      <c r="AA2897">
        <v>6</v>
      </c>
      <c r="AC2897" t="s">
        <v>105</v>
      </c>
      <c r="AD2897" t="s">
        <v>105</v>
      </c>
      <c r="AE2897" t="s">
        <v>105</v>
      </c>
      <c r="AF2897" t="s">
        <v>105</v>
      </c>
      <c r="AK2897" t="s">
        <v>105</v>
      </c>
      <c r="AL2897">
        <v>4</v>
      </c>
      <c r="AM2897" t="s">
        <v>105</v>
      </c>
      <c r="AN2897" t="s">
        <v>105</v>
      </c>
      <c r="BC2897" t="s">
        <v>127</v>
      </c>
      <c r="BD2897">
        <v>14</v>
      </c>
      <c r="BE2897" t="s">
        <v>105</v>
      </c>
      <c r="BF2897">
        <v>237</v>
      </c>
      <c r="BG2897">
        <v>354</v>
      </c>
      <c r="BI2897" t="s">
        <v>106</v>
      </c>
      <c r="BJ2897">
        <v>1</v>
      </c>
      <c r="BL2897" t="s">
        <v>6013</v>
      </c>
      <c r="BM2897" s="4">
        <v>43283.59375</v>
      </c>
      <c r="BN2897" s="4">
        <v>43283.600497685184</v>
      </c>
      <c r="BO2897" s="4">
        <v>43283.600497685184</v>
      </c>
      <c r="BP2897" t="s">
        <v>92</v>
      </c>
      <c r="BQ2897" t="s">
        <v>93</v>
      </c>
      <c r="BR2897" t="s">
        <v>94</v>
      </c>
    </row>
    <row r="2898" spans="1:70" x14ac:dyDescent="0.3">
      <c r="A2898" t="str">
        <f>"202046B0100"</f>
        <v>202046B0100</v>
      </c>
      <c r="B2898" t="s">
        <v>6014</v>
      </c>
      <c r="C2898">
        <v>20</v>
      </c>
      <c r="D2898" t="s">
        <v>88</v>
      </c>
      <c r="E2898">
        <v>470</v>
      </c>
      <c r="F2898" t="s">
        <v>5948</v>
      </c>
      <c r="G2898">
        <v>2046</v>
      </c>
      <c r="H2898">
        <v>1</v>
      </c>
      <c r="I2898" t="s">
        <v>90</v>
      </c>
      <c r="J2898">
        <v>0</v>
      </c>
      <c r="K2898">
        <v>2</v>
      </c>
      <c r="L2898">
        <v>5</v>
      </c>
      <c r="M2898">
        <v>114</v>
      </c>
      <c r="N2898">
        <v>317</v>
      </c>
      <c r="O2898">
        <v>3</v>
      </c>
      <c r="P2898">
        <v>203</v>
      </c>
      <c r="Q2898">
        <v>3</v>
      </c>
      <c r="R2898">
        <v>21</v>
      </c>
      <c r="S2898">
        <v>2</v>
      </c>
      <c r="U2898">
        <v>2</v>
      </c>
      <c r="V2898">
        <v>0</v>
      </c>
      <c r="Y2898">
        <v>168</v>
      </c>
      <c r="Z2898">
        <v>2</v>
      </c>
      <c r="AA2898">
        <v>0</v>
      </c>
      <c r="AC2898">
        <v>0</v>
      </c>
      <c r="AD2898">
        <v>0</v>
      </c>
      <c r="AE2898">
        <v>0</v>
      </c>
      <c r="AF2898">
        <v>0</v>
      </c>
      <c r="AK2898">
        <v>0</v>
      </c>
      <c r="AL2898">
        <v>0</v>
      </c>
      <c r="AM2898">
        <v>0</v>
      </c>
      <c r="AN2898">
        <v>0</v>
      </c>
      <c r="BC2898">
        <v>0</v>
      </c>
      <c r="BD2898">
        <v>5</v>
      </c>
      <c r="BE2898">
        <v>203</v>
      </c>
      <c r="BF2898">
        <v>203</v>
      </c>
      <c r="BG2898">
        <v>296</v>
      </c>
      <c r="BJ2898">
        <v>1</v>
      </c>
      <c r="BL2898" t="s">
        <v>6015</v>
      </c>
      <c r="BM2898" s="4">
        <v>43283.21875</v>
      </c>
      <c r="BN2898" s="4">
        <v>43283.241226851853</v>
      </c>
      <c r="BO2898" s="4">
        <v>43283.241226851853</v>
      </c>
      <c r="BP2898" t="s">
        <v>92</v>
      </c>
      <c r="BQ2898" t="s">
        <v>93</v>
      </c>
      <c r="BR2898" t="s">
        <v>94</v>
      </c>
    </row>
    <row r="2899" spans="1:70" x14ac:dyDescent="0.3">
      <c r="A2899" t="str">
        <f>"202046E0100"</f>
        <v>202046E0100</v>
      </c>
      <c r="B2899" s="2" t="s">
        <v>6016</v>
      </c>
      <c r="C2899">
        <v>20</v>
      </c>
      <c r="D2899" t="s">
        <v>88</v>
      </c>
      <c r="E2899">
        <v>470</v>
      </c>
      <c r="F2899" t="s">
        <v>5948</v>
      </c>
      <c r="G2899">
        <v>2046</v>
      </c>
      <c r="H2899">
        <v>1</v>
      </c>
      <c r="I2899" t="s">
        <v>156</v>
      </c>
      <c r="J2899">
        <v>0</v>
      </c>
      <c r="K2899">
        <v>2</v>
      </c>
      <c r="L2899">
        <v>5</v>
      </c>
      <c r="M2899" t="s">
        <v>127</v>
      </c>
      <c r="N2899">
        <v>429</v>
      </c>
      <c r="O2899">
        <v>1</v>
      </c>
      <c r="P2899">
        <v>429</v>
      </c>
      <c r="Q2899">
        <v>0</v>
      </c>
      <c r="R2899">
        <v>5</v>
      </c>
      <c r="S2899">
        <v>1</v>
      </c>
      <c r="U2899">
        <v>2</v>
      </c>
      <c r="V2899">
        <v>0</v>
      </c>
      <c r="Y2899">
        <v>412</v>
      </c>
      <c r="Z2899">
        <v>0</v>
      </c>
      <c r="AA2899">
        <v>2</v>
      </c>
      <c r="AC2899">
        <v>0</v>
      </c>
      <c r="AD2899">
        <v>0</v>
      </c>
      <c r="AE2899">
        <v>0</v>
      </c>
      <c r="AF2899">
        <v>0</v>
      </c>
      <c r="AK2899">
        <v>3</v>
      </c>
      <c r="AL2899">
        <v>0</v>
      </c>
      <c r="AM2899">
        <v>0</v>
      </c>
      <c r="AN2899">
        <v>0</v>
      </c>
      <c r="BC2899">
        <v>0</v>
      </c>
      <c r="BD2899">
        <v>4</v>
      </c>
      <c r="BE2899" t="s">
        <v>127</v>
      </c>
      <c r="BF2899">
        <v>429</v>
      </c>
      <c r="BG2899">
        <v>441</v>
      </c>
      <c r="BJ2899">
        <v>1</v>
      </c>
      <c r="BL2899" t="s">
        <v>6017</v>
      </c>
      <c r="BM2899" s="4">
        <v>43283.220138888886</v>
      </c>
      <c r="BN2899" s="4">
        <v>43283.244305555556</v>
      </c>
      <c r="BO2899" s="4">
        <v>43283.244305555556</v>
      </c>
      <c r="BP2899" t="s">
        <v>92</v>
      </c>
      <c r="BQ2899" t="s">
        <v>93</v>
      </c>
      <c r="BR2899" t="s">
        <v>94</v>
      </c>
    </row>
    <row r="2900" spans="1:70" x14ac:dyDescent="0.3">
      <c r="A2900" t="str">
        <f>"202046E0200"</f>
        <v>202046E0200</v>
      </c>
      <c r="B2900" s="2" t="s">
        <v>6018</v>
      </c>
      <c r="C2900">
        <v>20</v>
      </c>
      <c r="D2900" t="s">
        <v>88</v>
      </c>
      <c r="E2900">
        <v>470</v>
      </c>
      <c r="F2900" t="s">
        <v>5948</v>
      </c>
      <c r="G2900">
        <v>2046</v>
      </c>
      <c r="H2900">
        <v>2</v>
      </c>
      <c r="I2900" t="s">
        <v>156</v>
      </c>
      <c r="J2900">
        <v>0</v>
      </c>
      <c r="K2900">
        <v>2</v>
      </c>
      <c r="L2900">
        <v>5</v>
      </c>
      <c r="M2900">
        <v>59</v>
      </c>
      <c r="N2900" t="s">
        <v>105</v>
      </c>
      <c r="O2900">
        <v>0</v>
      </c>
      <c r="P2900">
        <v>511</v>
      </c>
      <c r="Q2900">
        <v>1</v>
      </c>
      <c r="R2900">
        <v>430</v>
      </c>
      <c r="S2900">
        <v>9</v>
      </c>
      <c r="U2900">
        <v>3</v>
      </c>
      <c r="V2900">
        <v>0</v>
      </c>
      <c r="Y2900">
        <v>15</v>
      </c>
      <c r="Z2900">
        <v>0</v>
      </c>
      <c r="AA2900">
        <v>0</v>
      </c>
      <c r="AC2900">
        <v>0</v>
      </c>
      <c r="AD2900">
        <v>0</v>
      </c>
      <c r="AE2900">
        <v>0</v>
      </c>
      <c r="AF2900">
        <v>0</v>
      </c>
      <c r="AK2900">
        <v>0</v>
      </c>
      <c r="AL2900">
        <v>0</v>
      </c>
      <c r="AM2900">
        <v>0</v>
      </c>
      <c r="AN2900">
        <v>0</v>
      </c>
      <c r="BC2900">
        <v>0</v>
      </c>
      <c r="BD2900">
        <v>53</v>
      </c>
      <c r="BE2900">
        <v>511</v>
      </c>
      <c r="BF2900">
        <v>511</v>
      </c>
      <c r="BG2900">
        <v>548</v>
      </c>
      <c r="BJ2900">
        <v>1</v>
      </c>
      <c r="BL2900" t="s">
        <v>6019</v>
      </c>
      <c r="BM2900" s="4">
        <v>43283.176388888889</v>
      </c>
      <c r="BN2900" s="4">
        <v>43283.191087962965</v>
      </c>
      <c r="BO2900" s="4">
        <v>43283.191087962965</v>
      </c>
      <c r="BP2900" t="s">
        <v>92</v>
      </c>
      <c r="BQ2900" t="s">
        <v>93</v>
      </c>
      <c r="BR2900" t="s">
        <v>94</v>
      </c>
    </row>
    <row r="2901" spans="1:70" x14ac:dyDescent="0.3">
      <c r="A2901" t="str">
        <f>"202047B0100"</f>
        <v>202047B0100</v>
      </c>
      <c r="B2901" t="s">
        <v>6020</v>
      </c>
      <c r="C2901">
        <v>20</v>
      </c>
      <c r="D2901" t="s">
        <v>88</v>
      </c>
      <c r="E2901">
        <v>470</v>
      </c>
      <c r="F2901" t="s">
        <v>5948</v>
      </c>
      <c r="G2901">
        <v>2047</v>
      </c>
      <c r="H2901">
        <v>1</v>
      </c>
      <c r="I2901" t="s">
        <v>90</v>
      </c>
      <c r="J2901">
        <v>0</v>
      </c>
      <c r="K2901">
        <v>2</v>
      </c>
      <c r="L2901">
        <v>5</v>
      </c>
      <c r="M2901">
        <v>179</v>
      </c>
      <c r="N2901">
        <v>243</v>
      </c>
      <c r="O2901">
        <v>3</v>
      </c>
      <c r="P2901">
        <v>243</v>
      </c>
      <c r="Q2901">
        <v>0</v>
      </c>
      <c r="R2901">
        <v>211</v>
      </c>
      <c r="S2901">
        <v>0</v>
      </c>
      <c r="U2901">
        <v>1</v>
      </c>
      <c r="V2901">
        <v>0</v>
      </c>
      <c r="Y2901">
        <v>3</v>
      </c>
      <c r="Z2901">
        <v>0</v>
      </c>
      <c r="AA2901">
        <v>0</v>
      </c>
      <c r="AC2901">
        <v>0</v>
      </c>
      <c r="AD2901">
        <v>0</v>
      </c>
      <c r="AE2901">
        <v>0</v>
      </c>
      <c r="AF2901">
        <v>0</v>
      </c>
      <c r="AK2901">
        <v>0</v>
      </c>
      <c r="AL2901">
        <v>0</v>
      </c>
      <c r="AM2901">
        <v>0</v>
      </c>
      <c r="AN2901">
        <v>0</v>
      </c>
      <c r="BC2901">
        <v>0</v>
      </c>
      <c r="BD2901">
        <v>28</v>
      </c>
      <c r="BE2901">
        <v>243</v>
      </c>
      <c r="BF2901">
        <v>243</v>
      </c>
      <c r="BG2901">
        <v>399</v>
      </c>
      <c r="BJ2901">
        <v>1</v>
      </c>
      <c r="BL2901" t="s">
        <v>6021</v>
      </c>
      <c r="BM2901" s="4">
        <v>43283.593055555553</v>
      </c>
      <c r="BN2901" s="4">
        <v>43283.596145833333</v>
      </c>
      <c r="BO2901" s="4">
        <v>43283.596145833333</v>
      </c>
      <c r="BP2901" t="s">
        <v>92</v>
      </c>
      <c r="BQ2901" t="s">
        <v>93</v>
      </c>
      <c r="BR2901" t="s">
        <v>94</v>
      </c>
    </row>
    <row r="2902" spans="1:70" x14ac:dyDescent="0.3">
      <c r="A2902" t="str">
        <f>"202047C0100"</f>
        <v>202047C0100</v>
      </c>
      <c r="B2902" t="s">
        <v>6022</v>
      </c>
      <c r="C2902">
        <v>20</v>
      </c>
      <c r="D2902" t="s">
        <v>88</v>
      </c>
      <c r="E2902">
        <v>470</v>
      </c>
      <c r="F2902" t="s">
        <v>5948</v>
      </c>
      <c r="G2902">
        <v>2047</v>
      </c>
      <c r="H2902">
        <v>1</v>
      </c>
      <c r="I2902" t="s">
        <v>98</v>
      </c>
      <c r="J2902">
        <v>0</v>
      </c>
      <c r="K2902">
        <v>2</v>
      </c>
      <c r="L2902">
        <v>5</v>
      </c>
      <c r="M2902">
        <v>186</v>
      </c>
      <c r="N2902">
        <v>234</v>
      </c>
      <c r="O2902">
        <v>2</v>
      </c>
      <c r="P2902">
        <v>236</v>
      </c>
      <c r="Q2902">
        <v>1</v>
      </c>
      <c r="R2902">
        <v>184</v>
      </c>
      <c r="S2902">
        <v>0</v>
      </c>
      <c r="U2902">
        <v>1</v>
      </c>
      <c r="V2902">
        <v>1</v>
      </c>
      <c r="Y2902" t="s">
        <v>127</v>
      </c>
      <c r="Z2902" t="s">
        <v>127</v>
      </c>
      <c r="AA2902">
        <v>0</v>
      </c>
      <c r="AC2902">
        <v>3</v>
      </c>
      <c r="AD2902">
        <v>0</v>
      </c>
      <c r="AE2902">
        <v>0</v>
      </c>
      <c r="AF2902">
        <v>0</v>
      </c>
      <c r="AK2902">
        <v>0</v>
      </c>
      <c r="AL2902">
        <v>0</v>
      </c>
      <c r="AM2902">
        <v>0</v>
      </c>
      <c r="AN2902">
        <v>0</v>
      </c>
      <c r="BC2902">
        <v>0</v>
      </c>
      <c r="BD2902">
        <v>28</v>
      </c>
      <c r="BE2902">
        <v>220</v>
      </c>
      <c r="BF2902">
        <v>218</v>
      </c>
      <c r="BG2902">
        <v>398</v>
      </c>
      <c r="BI2902" t="s">
        <v>106</v>
      </c>
      <c r="BJ2902">
        <v>1</v>
      </c>
      <c r="BL2902" s="2" t="s">
        <v>6023</v>
      </c>
      <c r="BM2902" s="4">
        <v>43283.59097222222</v>
      </c>
      <c r="BN2902" s="4">
        <v>43283.59715277778</v>
      </c>
      <c r="BO2902" s="4">
        <v>43283.59715277778</v>
      </c>
      <c r="BP2902" t="s">
        <v>92</v>
      </c>
      <c r="BQ2902" t="s">
        <v>93</v>
      </c>
      <c r="BR2902" t="s">
        <v>94</v>
      </c>
    </row>
    <row r="2903" spans="1:70" x14ac:dyDescent="0.3">
      <c r="A2903" t="str">
        <f>"202047E0100"</f>
        <v>202047E0100</v>
      </c>
      <c r="B2903" s="2" t="s">
        <v>6024</v>
      </c>
      <c r="C2903">
        <v>20</v>
      </c>
      <c r="D2903" t="s">
        <v>88</v>
      </c>
      <c r="E2903">
        <v>470</v>
      </c>
      <c r="F2903" t="s">
        <v>5948</v>
      </c>
      <c r="G2903">
        <v>2047</v>
      </c>
      <c r="H2903">
        <v>1</v>
      </c>
      <c r="I2903" t="s">
        <v>156</v>
      </c>
      <c r="J2903">
        <v>0</v>
      </c>
      <c r="K2903">
        <v>2</v>
      </c>
      <c r="L2903">
        <v>5</v>
      </c>
      <c r="M2903">
        <v>172</v>
      </c>
      <c r="N2903">
        <v>737</v>
      </c>
      <c r="O2903">
        <v>367</v>
      </c>
      <c r="P2903">
        <v>737</v>
      </c>
      <c r="Q2903">
        <v>0</v>
      </c>
      <c r="R2903">
        <v>2</v>
      </c>
      <c r="S2903">
        <v>0</v>
      </c>
      <c r="U2903">
        <v>1</v>
      </c>
      <c r="V2903">
        <v>0</v>
      </c>
      <c r="Y2903">
        <v>362</v>
      </c>
      <c r="Z2903">
        <v>1</v>
      </c>
      <c r="AA2903">
        <v>0</v>
      </c>
      <c r="AC2903">
        <v>0</v>
      </c>
      <c r="AD2903">
        <v>0</v>
      </c>
      <c r="AE2903">
        <v>0</v>
      </c>
      <c r="AF2903">
        <v>0</v>
      </c>
      <c r="AK2903">
        <v>1</v>
      </c>
      <c r="AL2903">
        <v>0</v>
      </c>
      <c r="AM2903">
        <v>0</v>
      </c>
      <c r="AN2903">
        <v>0</v>
      </c>
      <c r="BC2903">
        <v>0</v>
      </c>
      <c r="BD2903">
        <v>0</v>
      </c>
      <c r="BE2903">
        <v>367</v>
      </c>
      <c r="BF2903">
        <v>367</v>
      </c>
      <c r="BG2903">
        <v>517</v>
      </c>
      <c r="BJ2903">
        <v>1</v>
      </c>
      <c r="BL2903" t="s">
        <v>6025</v>
      </c>
      <c r="BM2903" s="4">
        <v>43283.375</v>
      </c>
      <c r="BN2903" s="4">
        <v>43283.379641203705</v>
      </c>
      <c r="BO2903" s="4">
        <v>43283.379641203705</v>
      </c>
      <c r="BP2903" t="s">
        <v>92</v>
      </c>
      <c r="BQ2903" t="s">
        <v>93</v>
      </c>
      <c r="BR2903" t="s">
        <v>94</v>
      </c>
    </row>
    <row r="2904" spans="1:70" x14ac:dyDescent="0.3">
      <c r="A2904" t="str">
        <f>"202048B0100"</f>
        <v>202048B0100</v>
      </c>
      <c r="B2904" t="s">
        <v>6026</v>
      </c>
      <c r="C2904">
        <v>20</v>
      </c>
      <c r="D2904" t="s">
        <v>88</v>
      </c>
      <c r="E2904">
        <v>470</v>
      </c>
      <c r="F2904" t="s">
        <v>5948</v>
      </c>
      <c r="G2904">
        <v>2048</v>
      </c>
      <c r="H2904">
        <v>1</v>
      </c>
      <c r="I2904" t="s">
        <v>90</v>
      </c>
      <c r="J2904">
        <v>0</v>
      </c>
      <c r="K2904">
        <v>2</v>
      </c>
      <c r="L2904">
        <v>5</v>
      </c>
      <c r="M2904">
        <v>144</v>
      </c>
      <c r="N2904">
        <v>285</v>
      </c>
      <c r="O2904">
        <v>3</v>
      </c>
      <c r="P2904">
        <v>0</v>
      </c>
      <c r="Q2904">
        <v>1</v>
      </c>
      <c r="R2904">
        <v>3</v>
      </c>
      <c r="S2904" t="s">
        <v>105</v>
      </c>
      <c r="U2904">
        <v>3</v>
      </c>
      <c r="V2904" t="s">
        <v>105</v>
      </c>
      <c r="Y2904">
        <v>284</v>
      </c>
      <c r="Z2904" t="s">
        <v>105</v>
      </c>
      <c r="AA2904" t="s">
        <v>105</v>
      </c>
      <c r="AC2904" t="s">
        <v>105</v>
      </c>
      <c r="AD2904" t="s">
        <v>105</v>
      </c>
      <c r="AE2904" t="s">
        <v>105</v>
      </c>
      <c r="AF2904" t="s">
        <v>105</v>
      </c>
      <c r="AK2904" t="s">
        <v>105</v>
      </c>
      <c r="AL2904" t="s">
        <v>105</v>
      </c>
      <c r="AM2904" t="s">
        <v>105</v>
      </c>
      <c r="AN2904" t="s">
        <v>105</v>
      </c>
      <c r="BC2904" t="s">
        <v>105</v>
      </c>
      <c r="BD2904">
        <v>7</v>
      </c>
      <c r="BE2904" t="s">
        <v>105</v>
      </c>
      <c r="BF2904">
        <v>298</v>
      </c>
      <c r="BG2904">
        <v>406</v>
      </c>
      <c r="BI2904" t="s">
        <v>106</v>
      </c>
      <c r="BJ2904">
        <v>1</v>
      </c>
      <c r="BL2904" t="s">
        <v>6027</v>
      </c>
      <c r="BM2904" s="4">
        <v>43283.372916666667</v>
      </c>
      <c r="BN2904" s="4">
        <v>43283.378310185188</v>
      </c>
      <c r="BO2904" s="4">
        <v>43283.378310185188</v>
      </c>
      <c r="BP2904" t="s">
        <v>92</v>
      </c>
      <c r="BQ2904" t="s">
        <v>93</v>
      </c>
      <c r="BR2904" t="s">
        <v>94</v>
      </c>
    </row>
    <row r="2905" spans="1:70" x14ac:dyDescent="0.3">
      <c r="A2905" t="str">
        <f>"202048C0100"</f>
        <v>202048C0100</v>
      </c>
      <c r="B2905" t="s">
        <v>6028</v>
      </c>
      <c r="C2905">
        <v>20</v>
      </c>
      <c r="D2905" t="s">
        <v>88</v>
      </c>
      <c r="E2905">
        <v>470</v>
      </c>
      <c r="F2905" t="s">
        <v>5948</v>
      </c>
      <c r="G2905">
        <v>2048</v>
      </c>
      <c r="H2905">
        <v>1</v>
      </c>
      <c r="I2905" t="s">
        <v>98</v>
      </c>
      <c r="J2905">
        <v>0</v>
      </c>
      <c r="K2905">
        <v>2</v>
      </c>
      <c r="L2905">
        <v>5</v>
      </c>
      <c r="M2905">
        <v>186</v>
      </c>
      <c r="N2905">
        <v>243</v>
      </c>
      <c r="O2905">
        <v>2</v>
      </c>
      <c r="P2905">
        <v>243</v>
      </c>
      <c r="Q2905">
        <v>0</v>
      </c>
      <c r="R2905">
        <v>2</v>
      </c>
      <c r="S2905">
        <v>0</v>
      </c>
      <c r="U2905">
        <v>2</v>
      </c>
      <c r="V2905">
        <v>1</v>
      </c>
      <c r="Y2905">
        <v>233</v>
      </c>
      <c r="Z2905">
        <v>0</v>
      </c>
      <c r="AA2905">
        <v>1</v>
      </c>
      <c r="AC2905" t="s">
        <v>105</v>
      </c>
      <c r="AD2905" t="s">
        <v>105</v>
      </c>
      <c r="AE2905" t="s">
        <v>105</v>
      </c>
      <c r="AF2905" t="s">
        <v>105</v>
      </c>
      <c r="AK2905" t="s">
        <v>105</v>
      </c>
      <c r="AL2905" t="s">
        <v>105</v>
      </c>
      <c r="AM2905" t="s">
        <v>105</v>
      </c>
      <c r="AN2905" t="s">
        <v>105</v>
      </c>
      <c r="BC2905" t="s">
        <v>105</v>
      </c>
      <c r="BD2905">
        <v>2</v>
      </c>
      <c r="BE2905">
        <v>243</v>
      </c>
      <c r="BF2905">
        <v>241</v>
      </c>
      <c r="BG2905">
        <v>405</v>
      </c>
      <c r="BI2905" t="s">
        <v>106</v>
      </c>
      <c r="BJ2905">
        <v>1</v>
      </c>
      <c r="BL2905" t="s">
        <v>6029</v>
      </c>
      <c r="BM2905" s="4">
        <v>43283.378472222219</v>
      </c>
      <c r="BN2905" s="4">
        <v>43283.384097222224</v>
      </c>
      <c r="BO2905" s="4">
        <v>43283.384097222224</v>
      </c>
      <c r="BP2905" t="s">
        <v>92</v>
      </c>
      <c r="BQ2905" t="s">
        <v>93</v>
      </c>
      <c r="BR2905" t="s">
        <v>94</v>
      </c>
    </row>
    <row r="2906" spans="1:70" x14ac:dyDescent="0.3">
      <c r="A2906" t="str">
        <f>"202048E0100"</f>
        <v>202048E0100</v>
      </c>
      <c r="B2906" s="2" t="s">
        <v>6030</v>
      </c>
      <c r="C2906">
        <v>20</v>
      </c>
      <c r="D2906" t="s">
        <v>88</v>
      </c>
      <c r="E2906">
        <v>470</v>
      </c>
      <c r="F2906" t="s">
        <v>5948</v>
      </c>
      <c r="G2906">
        <v>2048</v>
      </c>
      <c r="H2906">
        <v>1</v>
      </c>
      <c r="I2906" t="s">
        <v>156</v>
      </c>
      <c r="J2906">
        <v>0</v>
      </c>
      <c r="K2906">
        <v>2</v>
      </c>
      <c r="L2906">
        <v>5</v>
      </c>
      <c r="M2906">
        <v>50</v>
      </c>
      <c r="N2906">
        <v>522</v>
      </c>
      <c r="O2906">
        <v>0</v>
      </c>
      <c r="P2906">
        <v>522</v>
      </c>
      <c r="Q2906">
        <v>0</v>
      </c>
      <c r="R2906">
        <v>0</v>
      </c>
      <c r="S2906">
        <v>0</v>
      </c>
      <c r="U2906">
        <v>0</v>
      </c>
      <c r="V2906">
        <v>0</v>
      </c>
      <c r="Y2906">
        <v>517</v>
      </c>
      <c r="Z2906">
        <v>0</v>
      </c>
      <c r="AA2906">
        <v>0</v>
      </c>
      <c r="AC2906">
        <v>0</v>
      </c>
      <c r="AD2906">
        <v>0</v>
      </c>
      <c r="AE2906">
        <v>0</v>
      </c>
      <c r="AF2906">
        <v>0</v>
      </c>
      <c r="AK2906">
        <v>3</v>
      </c>
      <c r="AL2906">
        <v>0</v>
      </c>
      <c r="AM2906">
        <v>0</v>
      </c>
      <c r="AN2906">
        <v>0</v>
      </c>
      <c r="BC2906">
        <v>0</v>
      </c>
      <c r="BD2906">
        <v>2</v>
      </c>
      <c r="BE2906">
        <v>522</v>
      </c>
      <c r="BF2906">
        <v>522</v>
      </c>
      <c r="BG2906">
        <v>550</v>
      </c>
      <c r="BJ2906">
        <v>1</v>
      </c>
      <c r="BL2906" t="s">
        <v>6031</v>
      </c>
      <c r="BM2906" s="4">
        <v>43283.373611111114</v>
      </c>
      <c r="BN2906" s="4">
        <v>43283.382743055554</v>
      </c>
      <c r="BO2906" s="4">
        <v>43283.382743055554</v>
      </c>
      <c r="BP2906" t="s">
        <v>92</v>
      </c>
      <c r="BQ2906" t="s">
        <v>93</v>
      </c>
      <c r="BR2906" t="s">
        <v>94</v>
      </c>
    </row>
    <row r="2907" spans="1:70" x14ac:dyDescent="0.3">
      <c r="A2907" t="str">
        <f>"202049B0100"</f>
        <v>202049B0100</v>
      </c>
      <c r="B2907" t="s">
        <v>6032</v>
      </c>
      <c r="C2907">
        <v>20</v>
      </c>
      <c r="D2907" t="s">
        <v>88</v>
      </c>
      <c r="E2907">
        <v>470</v>
      </c>
      <c r="F2907" t="s">
        <v>5948</v>
      </c>
      <c r="G2907">
        <v>2049</v>
      </c>
      <c r="H2907">
        <v>1</v>
      </c>
      <c r="I2907" t="s">
        <v>90</v>
      </c>
      <c r="J2907">
        <v>0</v>
      </c>
      <c r="K2907">
        <v>2</v>
      </c>
      <c r="L2907">
        <v>5</v>
      </c>
      <c r="M2907">
        <v>311</v>
      </c>
      <c r="N2907">
        <v>415</v>
      </c>
      <c r="O2907">
        <v>4</v>
      </c>
      <c r="P2907">
        <v>414</v>
      </c>
      <c r="Q2907">
        <v>0</v>
      </c>
      <c r="R2907">
        <v>5</v>
      </c>
      <c r="S2907">
        <v>0</v>
      </c>
      <c r="U2907">
        <v>2</v>
      </c>
      <c r="V2907">
        <v>0</v>
      </c>
      <c r="Y2907">
        <v>400</v>
      </c>
      <c r="Z2907">
        <v>0</v>
      </c>
      <c r="AA2907">
        <v>0</v>
      </c>
      <c r="AC2907">
        <v>0</v>
      </c>
      <c r="AD2907">
        <v>0</v>
      </c>
      <c r="AE2907">
        <v>0</v>
      </c>
      <c r="AF2907">
        <v>0</v>
      </c>
      <c r="AK2907">
        <v>0</v>
      </c>
      <c r="AL2907">
        <v>0</v>
      </c>
      <c r="AM2907">
        <v>0</v>
      </c>
      <c r="AN2907">
        <v>0</v>
      </c>
      <c r="BC2907">
        <v>0</v>
      </c>
      <c r="BD2907">
        <v>7</v>
      </c>
      <c r="BE2907">
        <v>414</v>
      </c>
      <c r="BF2907">
        <v>414</v>
      </c>
      <c r="BG2907">
        <v>702</v>
      </c>
      <c r="BJ2907">
        <v>1</v>
      </c>
      <c r="BL2907" t="s">
        <v>6033</v>
      </c>
      <c r="BM2907" s="4">
        <v>43283.380555555559</v>
      </c>
      <c r="BN2907" s="4">
        <v>43283.383819444447</v>
      </c>
      <c r="BO2907" s="4">
        <v>43283.383819444447</v>
      </c>
      <c r="BP2907" t="s">
        <v>92</v>
      </c>
      <c r="BQ2907" t="s">
        <v>93</v>
      </c>
      <c r="BR2907" t="s">
        <v>94</v>
      </c>
    </row>
    <row r="2908" spans="1:70" x14ac:dyDescent="0.3">
      <c r="A2908" t="str">
        <f>"202453B0100"</f>
        <v>202453B0100</v>
      </c>
      <c r="B2908" t="s">
        <v>6034</v>
      </c>
      <c r="C2908">
        <v>20</v>
      </c>
      <c r="D2908" t="s">
        <v>88</v>
      </c>
      <c r="E2908">
        <v>470</v>
      </c>
      <c r="F2908" t="s">
        <v>5948</v>
      </c>
      <c r="G2908">
        <v>2453</v>
      </c>
      <c r="H2908">
        <v>1</v>
      </c>
      <c r="I2908" t="s">
        <v>90</v>
      </c>
      <c r="J2908">
        <v>0</v>
      </c>
      <c r="K2908">
        <v>2</v>
      </c>
      <c r="L2908">
        <v>5</v>
      </c>
      <c r="M2908">
        <v>69</v>
      </c>
      <c r="N2908">
        <v>164</v>
      </c>
      <c r="O2908">
        <v>5</v>
      </c>
      <c r="P2908" t="s">
        <v>105</v>
      </c>
      <c r="Q2908">
        <v>0</v>
      </c>
      <c r="R2908">
        <v>79</v>
      </c>
      <c r="S2908">
        <v>10</v>
      </c>
      <c r="U2908">
        <v>0</v>
      </c>
      <c r="V2908">
        <v>1</v>
      </c>
      <c r="Y2908">
        <v>47</v>
      </c>
      <c r="Z2908">
        <v>1</v>
      </c>
      <c r="AA2908">
        <v>7</v>
      </c>
      <c r="AC2908">
        <v>0</v>
      </c>
      <c r="AD2908">
        <v>0</v>
      </c>
      <c r="AE2908">
        <v>0</v>
      </c>
      <c r="AF2908">
        <v>0</v>
      </c>
      <c r="AK2908">
        <v>0</v>
      </c>
      <c r="AL2908">
        <v>0</v>
      </c>
      <c r="AM2908">
        <v>0</v>
      </c>
      <c r="AN2908">
        <v>0</v>
      </c>
      <c r="BC2908">
        <v>0</v>
      </c>
      <c r="BD2908">
        <v>19</v>
      </c>
      <c r="BE2908">
        <v>164</v>
      </c>
      <c r="BF2908">
        <v>164</v>
      </c>
      <c r="BG2908">
        <v>211</v>
      </c>
      <c r="BJ2908">
        <v>1</v>
      </c>
      <c r="BL2908" t="s">
        <v>6035</v>
      </c>
      <c r="BM2908" s="4">
        <v>43283.140277777777</v>
      </c>
      <c r="BN2908" s="4">
        <v>43283.159479166665</v>
      </c>
      <c r="BO2908" s="4">
        <v>43283.159479166665</v>
      </c>
      <c r="BP2908" t="s">
        <v>92</v>
      </c>
      <c r="BQ2908" t="s">
        <v>93</v>
      </c>
      <c r="BR2908" t="s">
        <v>94</v>
      </c>
    </row>
    <row r="2909" spans="1:70" x14ac:dyDescent="0.3">
      <c r="A2909" t="str">
        <f>"202057B0100"</f>
        <v>202057B0100</v>
      </c>
      <c r="B2909" t="s">
        <v>6036</v>
      </c>
      <c r="C2909">
        <v>20</v>
      </c>
      <c r="D2909" t="s">
        <v>88</v>
      </c>
      <c r="E2909">
        <v>473</v>
      </c>
      <c r="F2909" t="s">
        <v>6037</v>
      </c>
      <c r="G2909">
        <v>2057</v>
      </c>
      <c r="H2909">
        <v>1</v>
      </c>
      <c r="I2909" t="s">
        <v>90</v>
      </c>
      <c r="J2909">
        <v>0</v>
      </c>
      <c r="K2909">
        <v>2</v>
      </c>
      <c r="L2909">
        <v>5</v>
      </c>
      <c r="BG2909">
        <v>447</v>
      </c>
      <c r="BI2909" t="s">
        <v>122</v>
      </c>
      <c r="BJ2909">
        <v>0</v>
      </c>
      <c r="BL2909" t="s">
        <v>6038</v>
      </c>
      <c r="BM2909" s="4">
        <v>43283.289583333331</v>
      </c>
      <c r="BN2909" s="4">
        <v>43283.796111111114</v>
      </c>
      <c r="BO2909" s="4">
        <v>43283.796111111114</v>
      </c>
      <c r="BP2909" t="s">
        <v>92</v>
      </c>
      <c r="BQ2909" t="s">
        <v>93</v>
      </c>
      <c r="BR2909" t="s">
        <v>94</v>
      </c>
    </row>
    <row r="2910" spans="1:70" x14ac:dyDescent="0.3">
      <c r="A2910" t="str">
        <f>"202057C0100"</f>
        <v>202057C0100</v>
      </c>
      <c r="B2910" t="s">
        <v>6039</v>
      </c>
      <c r="C2910">
        <v>20</v>
      </c>
      <c r="D2910" t="s">
        <v>88</v>
      </c>
      <c r="E2910">
        <v>473</v>
      </c>
      <c r="F2910" t="s">
        <v>6037</v>
      </c>
      <c r="G2910">
        <v>2057</v>
      </c>
      <c r="H2910">
        <v>1</v>
      </c>
      <c r="I2910" t="s">
        <v>98</v>
      </c>
      <c r="J2910">
        <v>0</v>
      </c>
      <c r="K2910">
        <v>2</v>
      </c>
      <c r="L2910">
        <v>5</v>
      </c>
      <c r="BG2910">
        <v>446</v>
      </c>
      <c r="BI2910" t="s">
        <v>122</v>
      </c>
      <c r="BJ2910">
        <v>0</v>
      </c>
      <c r="BL2910" t="s">
        <v>6040</v>
      </c>
      <c r="BM2910" s="4">
        <v>43283.289583333331</v>
      </c>
      <c r="BN2910" s="4">
        <v>43283.796689814815</v>
      </c>
      <c r="BO2910" s="4">
        <v>43283.796689814815</v>
      </c>
      <c r="BP2910" t="s">
        <v>92</v>
      </c>
      <c r="BQ2910" t="s">
        <v>93</v>
      </c>
      <c r="BR2910" t="s">
        <v>94</v>
      </c>
    </row>
    <row r="2911" spans="1:70" x14ac:dyDescent="0.3">
      <c r="A2911" t="str">
        <f>"202058B0100"</f>
        <v>202058B0100</v>
      </c>
      <c r="B2911" t="s">
        <v>6041</v>
      </c>
      <c r="C2911">
        <v>20</v>
      </c>
      <c r="D2911" t="s">
        <v>88</v>
      </c>
      <c r="E2911">
        <v>473</v>
      </c>
      <c r="F2911" t="s">
        <v>6037</v>
      </c>
      <c r="G2911">
        <v>2058</v>
      </c>
      <c r="H2911">
        <v>1</v>
      </c>
      <c r="I2911" t="s">
        <v>90</v>
      </c>
      <c r="J2911">
        <v>0</v>
      </c>
      <c r="K2911">
        <v>2</v>
      </c>
      <c r="L2911">
        <v>5</v>
      </c>
      <c r="M2911">
        <v>119</v>
      </c>
      <c r="N2911">
        <v>441</v>
      </c>
      <c r="O2911">
        <v>0</v>
      </c>
      <c r="P2911">
        <v>440</v>
      </c>
      <c r="Q2911">
        <v>0</v>
      </c>
      <c r="R2911">
        <v>184</v>
      </c>
      <c r="S2911">
        <v>1</v>
      </c>
      <c r="T2911">
        <v>23</v>
      </c>
      <c r="U2911">
        <v>110</v>
      </c>
      <c r="V2911">
        <v>1</v>
      </c>
      <c r="W2911">
        <v>20</v>
      </c>
      <c r="X2911">
        <v>3</v>
      </c>
      <c r="Y2911">
        <v>91</v>
      </c>
      <c r="Z2911">
        <v>1</v>
      </c>
      <c r="AC2911">
        <v>0</v>
      </c>
      <c r="AD2911">
        <v>0</v>
      </c>
      <c r="AE2911">
        <v>0</v>
      </c>
      <c r="AF2911">
        <v>0</v>
      </c>
      <c r="AG2911">
        <v>0</v>
      </c>
      <c r="AH2911">
        <v>0</v>
      </c>
      <c r="AI2911">
        <v>0</v>
      </c>
      <c r="AJ2911">
        <v>0</v>
      </c>
      <c r="AK2911">
        <v>0</v>
      </c>
      <c r="AL2911">
        <v>0</v>
      </c>
      <c r="AM2911">
        <v>0</v>
      </c>
      <c r="AN2911">
        <v>0</v>
      </c>
      <c r="BC2911">
        <v>0</v>
      </c>
      <c r="BD2911">
        <v>0</v>
      </c>
      <c r="BE2911">
        <v>440</v>
      </c>
      <c r="BF2911">
        <v>434</v>
      </c>
      <c r="BG2911">
        <v>541</v>
      </c>
      <c r="BJ2911">
        <v>1</v>
      </c>
      <c r="BL2911" t="s">
        <v>6042</v>
      </c>
      <c r="BM2911" s="4">
        <v>43283.425694444442</v>
      </c>
      <c r="BN2911" s="4">
        <v>43283.43241898148</v>
      </c>
      <c r="BO2911" s="4">
        <v>43283.43241898148</v>
      </c>
      <c r="BP2911" t="s">
        <v>92</v>
      </c>
      <c r="BQ2911" t="s">
        <v>93</v>
      </c>
      <c r="BR2911" t="s">
        <v>94</v>
      </c>
    </row>
    <row r="2912" spans="1:70" x14ac:dyDescent="0.3">
      <c r="A2912" t="str">
        <f>"202058C0100"</f>
        <v>202058C0100</v>
      </c>
      <c r="B2912" t="s">
        <v>6043</v>
      </c>
      <c r="C2912">
        <v>20</v>
      </c>
      <c r="D2912" t="s">
        <v>88</v>
      </c>
      <c r="E2912">
        <v>473</v>
      </c>
      <c r="F2912" t="s">
        <v>6037</v>
      </c>
      <c r="G2912">
        <v>2058</v>
      </c>
      <c r="H2912">
        <v>1</v>
      </c>
      <c r="I2912" t="s">
        <v>98</v>
      </c>
      <c r="J2912">
        <v>0</v>
      </c>
      <c r="K2912">
        <v>2</v>
      </c>
      <c r="L2912">
        <v>5</v>
      </c>
      <c r="BG2912">
        <v>540</v>
      </c>
      <c r="BI2912" t="s">
        <v>122</v>
      </c>
      <c r="BJ2912">
        <v>0</v>
      </c>
      <c r="BL2912" t="s">
        <v>6044</v>
      </c>
      <c r="BM2912" s="4">
        <v>43283.290277777778</v>
      </c>
      <c r="BN2912" s="4">
        <v>43283.796817129631</v>
      </c>
      <c r="BO2912" s="4">
        <v>43283.796817129631</v>
      </c>
      <c r="BP2912" t="s">
        <v>92</v>
      </c>
      <c r="BQ2912" t="s">
        <v>93</v>
      </c>
      <c r="BR2912" t="s">
        <v>94</v>
      </c>
    </row>
    <row r="2913" spans="1:70" x14ac:dyDescent="0.3">
      <c r="A2913" t="str">
        <f>"202058C0200"</f>
        <v>202058C0200</v>
      </c>
      <c r="B2913" t="s">
        <v>6045</v>
      </c>
      <c r="C2913">
        <v>20</v>
      </c>
      <c r="D2913" t="s">
        <v>88</v>
      </c>
      <c r="E2913">
        <v>473</v>
      </c>
      <c r="F2913" t="s">
        <v>6037</v>
      </c>
      <c r="G2913">
        <v>2058</v>
      </c>
      <c r="H2913">
        <v>2</v>
      </c>
      <c r="I2913" t="s">
        <v>98</v>
      </c>
      <c r="J2913">
        <v>0</v>
      </c>
      <c r="K2913">
        <v>2</v>
      </c>
      <c r="L2913">
        <v>5</v>
      </c>
      <c r="BG2913">
        <v>540</v>
      </c>
      <c r="BI2913" t="s">
        <v>122</v>
      </c>
      <c r="BJ2913">
        <v>0</v>
      </c>
      <c r="BL2913" t="s">
        <v>6046</v>
      </c>
      <c r="BM2913" s="4">
        <v>43283.290972222225</v>
      </c>
      <c r="BN2913" s="4">
        <v>43283.796956018516</v>
      </c>
      <c r="BO2913" s="4">
        <v>43283.796956018516</v>
      </c>
      <c r="BP2913" t="s">
        <v>92</v>
      </c>
      <c r="BQ2913" t="s">
        <v>93</v>
      </c>
      <c r="BR2913" t="s">
        <v>94</v>
      </c>
    </row>
    <row r="2914" spans="1:70" x14ac:dyDescent="0.3">
      <c r="A2914" t="str">
        <f>"202059B0100"</f>
        <v>202059B0100</v>
      </c>
      <c r="B2914" t="s">
        <v>6047</v>
      </c>
      <c r="C2914">
        <v>20</v>
      </c>
      <c r="D2914" t="s">
        <v>88</v>
      </c>
      <c r="E2914">
        <v>473</v>
      </c>
      <c r="F2914" t="s">
        <v>6037</v>
      </c>
      <c r="G2914">
        <v>2059</v>
      </c>
      <c r="H2914">
        <v>1</v>
      </c>
      <c r="I2914" t="s">
        <v>90</v>
      </c>
      <c r="J2914">
        <v>0</v>
      </c>
      <c r="K2914">
        <v>2</v>
      </c>
      <c r="L2914">
        <v>5</v>
      </c>
      <c r="BG2914">
        <v>287</v>
      </c>
      <c r="BI2914" t="s">
        <v>122</v>
      </c>
      <c r="BJ2914">
        <v>0</v>
      </c>
      <c r="BL2914" t="s">
        <v>6048</v>
      </c>
      <c r="BM2914" s="4">
        <v>43283.290972222225</v>
      </c>
      <c r="BN2914" s="4">
        <v>43283.797048611108</v>
      </c>
      <c r="BO2914" s="4">
        <v>43283.797048611108</v>
      </c>
      <c r="BP2914" t="s">
        <v>92</v>
      </c>
      <c r="BQ2914" t="s">
        <v>93</v>
      </c>
      <c r="BR2914" t="s">
        <v>94</v>
      </c>
    </row>
    <row r="2915" spans="1:70" x14ac:dyDescent="0.3">
      <c r="A2915" t="str">
        <f>"202062B0100"</f>
        <v>202062B0100</v>
      </c>
      <c r="B2915" t="s">
        <v>6049</v>
      </c>
      <c r="C2915">
        <v>20</v>
      </c>
      <c r="D2915" t="s">
        <v>88</v>
      </c>
      <c r="E2915">
        <v>475</v>
      </c>
      <c r="F2915" t="s">
        <v>6050</v>
      </c>
      <c r="G2915">
        <v>2062</v>
      </c>
      <c r="H2915">
        <v>1</v>
      </c>
      <c r="I2915" t="s">
        <v>90</v>
      </c>
      <c r="J2915">
        <v>0</v>
      </c>
      <c r="K2915">
        <v>1</v>
      </c>
      <c r="L2915">
        <v>5</v>
      </c>
      <c r="M2915">
        <v>138</v>
      </c>
      <c r="N2915">
        <v>404</v>
      </c>
      <c r="O2915">
        <v>0</v>
      </c>
      <c r="P2915">
        <v>402</v>
      </c>
      <c r="Q2915">
        <v>0</v>
      </c>
      <c r="R2915">
        <v>219</v>
      </c>
      <c r="S2915">
        <v>1</v>
      </c>
      <c r="T2915">
        <v>4</v>
      </c>
      <c r="U2915">
        <v>3</v>
      </c>
      <c r="V2915">
        <v>2</v>
      </c>
      <c r="W2915">
        <v>0</v>
      </c>
      <c r="X2915">
        <v>1</v>
      </c>
      <c r="Y2915">
        <v>166</v>
      </c>
      <c r="Z2915">
        <v>2</v>
      </c>
      <c r="AC2915">
        <v>0</v>
      </c>
      <c r="AD2915">
        <v>0</v>
      </c>
      <c r="AE2915">
        <v>0</v>
      </c>
      <c r="AF2915">
        <v>0</v>
      </c>
      <c r="AG2915">
        <v>0</v>
      </c>
      <c r="AH2915">
        <v>2</v>
      </c>
      <c r="AI2915">
        <v>0</v>
      </c>
      <c r="AJ2915">
        <v>0</v>
      </c>
      <c r="AK2915">
        <v>0</v>
      </c>
      <c r="AL2915">
        <v>0</v>
      </c>
      <c r="AM2915">
        <v>0</v>
      </c>
      <c r="AN2915">
        <v>0</v>
      </c>
      <c r="BC2915">
        <v>0</v>
      </c>
      <c r="BD2915">
        <v>4</v>
      </c>
      <c r="BE2915" t="s">
        <v>105</v>
      </c>
      <c r="BF2915">
        <v>404</v>
      </c>
      <c r="BG2915">
        <v>520</v>
      </c>
      <c r="BJ2915">
        <v>1</v>
      </c>
      <c r="BL2915" t="s">
        <v>6051</v>
      </c>
      <c r="BM2915" s="4">
        <v>43283.367361111108</v>
      </c>
      <c r="BN2915" s="4">
        <v>43283.378391203703</v>
      </c>
      <c r="BO2915" s="4">
        <v>43283.378391203703</v>
      </c>
      <c r="BP2915" t="s">
        <v>92</v>
      </c>
      <c r="BQ2915" t="s">
        <v>93</v>
      </c>
      <c r="BR2915" t="s">
        <v>94</v>
      </c>
    </row>
    <row r="2916" spans="1:70" x14ac:dyDescent="0.3">
      <c r="A2916" t="str">
        <f>"202062C0100"</f>
        <v>202062C0100</v>
      </c>
      <c r="B2916" t="s">
        <v>6052</v>
      </c>
      <c r="C2916">
        <v>20</v>
      </c>
      <c r="D2916" t="s">
        <v>88</v>
      </c>
      <c r="E2916">
        <v>475</v>
      </c>
      <c r="F2916" t="s">
        <v>6050</v>
      </c>
      <c r="G2916">
        <v>2062</v>
      </c>
      <c r="H2916">
        <v>1</v>
      </c>
      <c r="I2916" t="s">
        <v>98</v>
      </c>
      <c r="J2916">
        <v>0</v>
      </c>
      <c r="K2916">
        <v>1</v>
      </c>
      <c r="L2916">
        <v>5</v>
      </c>
      <c r="M2916">
        <v>126</v>
      </c>
      <c r="N2916">
        <v>542</v>
      </c>
      <c r="O2916">
        <v>0</v>
      </c>
      <c r="P2916">
        <v>416</v>
      </c>
      <c r="Q2916">
        <v>0</v>
      </c>
      <c r="R2916">
        <v>183</v>
      </c>
      <c r="S2916">
        <v>1</v>
      </c>
      <c r="T2916">
        <v>7</v>
      </c>
      <c r="U2916">
        <v>1</v>
      </c>
      <c r="V2916">
        <v>1</v>
      </c>
      <c r="W2916">
        <v>0</v>
      </c>
      <c r="X2916">
        <v>0</v>
      </c>
      <c r="Y2916">
        <v>222</v>
      </c>
      <c r="Z2916">
        <v>0</v>
      </c>
      <c r="AC2916">
        <v>0</v>
      </c>
      <c r="AD2916">
        <v>0</v>
      </c>
      <c r="AE2916">
        <v>0</v>
      </c>
      <c r="AF2916">
        <v>0</v>
      </c>
      <c r="AG2916">
        <v>0</v>
      </c>
      <c r="AH2916">
        <v>1</v>
      </c>
      <c r="AI2916">
        <v>0</v>
      </c>
      <c r="AJ2916">
        <v>0</v>
      </c>
      <c r="AK2916">
        <v>0</v>
      </c>
      <c r="AL2916">
        <v>0</v>
      </c>
      <c r="AM2916">
        <v>0</v>
      </c>
      <c r="AN2916">
        <v>0</v>
      </c>
      <c r="BC2916">
        <v>0</v>
      </c>
      <c r="BD2916">
        <v>0</v>
      </c>
      <c r="BE2916">
        <v>416</v>
      </c>
      <c r="BF2916">
        <v>416</v>
      </c>
      <c r="BG2916">
        <v>520</v>
      </c>
      <c r="BJ2916">
        <v>1</v>
      </c>
      <c r="BL2916" t="s">
        <v>6053</v>
      </c>
      <c r="BM2916" s="4">
        <v>43283.364583333336</v>
      </c>
      <c r="BN2916" s="4">
        <v>43283.376122685186</v>
      </c>
      <c r="BO2916" s="4">
        <v>43283.376122685186</v>
      </c>
      <c r="BP2916" t="s">
        <v>92</v>
      </c>
      <c r="BQ2916" t="s">
        <v>93</v>
      </c>
      <c r="BR2916" t="s">
        <v>94</v>
      </c>
    </row>
    <row r="2917" spans="1:70" x14ac:dyDescent="0.3">
      <c r="A2917" t="str">
        <f>"202062C0200"</f>
        <v>202062C0200</v>
      </c>
      <c r="B2917" t="s">
        <v>6054</v>
      </c>
      <c r="C2917">
        <v>20</v>
      </c>
      <c r="D2917" t="s">
        <v>88</v>
      </c>
      <c r="E2917">
        <v>475</v>
      </c>
      <c r="F2917" t="s">
        <v>6050</v>
      </c>
      <c r="G2917">
        <v>2062</v>
      </c>
      <c r="H2917">
        <v>2</v>
      </c>
      <c r="I2917" t="s">
        <v>98</v>
      </c>
      <c r="J2917">
        <v>0</v>
      </c>
      <c r="K2917">
        <v>1</v>
      </c>
      <c r="L2917">
        <v>5</v>
      </c>
      <c r="M2917">
        <v>122</v>
      </c>
      <c r="N2917">
        <v>420</v>
      </c>
      <c r="O2917">
        <v>0</v>
      </c>
      <c r="P2917">
        <v>420</v>
      </c>
      <c r="Q2917">
        <v>0</v>
      </c>
      <c r="R2917">
        <v>225</v>
      </c>
      <c r="S2917">
        <v>7</v>
      </c>
      <c r="T2917">
        <v>0</v>
      </c>
      <c r="U2917">
        <v>0</v>
      </c>
      <c r="V2917">
        <v>0</v>
      </c>
      <c r="W2917">
        <v>1</v>
      </c>
      <c r="X2917">
        <v>0</v>
      </c>
      <c r="Y2917">
        <v>180</v>
      </c>
      <c r="Z2917" t="s">
        <v>105</v>
      </c>
      <c r="AC2917">
        <v>0</v>
      </c>
      <c r="AD2917">
        <v>0</v>
      </c>
      <c r="AE2917">
        <v>0</v>
      </c>
      <c r="AF2917">
        <v>0</v>
      </c>
      <c r="AG2917">
        <v>0</v>
      </c>
      <c r="AH2917">
        <v>0</v>
      </c>
      <c r="AI2917">
        <v>0</v>
      </c>
      <c r="AJ2917">
        <v>0</v>
      </c>
      <c r="AK2917">
        <v>0</v>
      </c>
      <c r="AL2917">
        <v>0</v>
      </c>
      <c r="AM2917">
        <v>0</v>
      </c>
      <c r="AN2917">
        <v>0</v>
      </c>
      <c r="BC2917">
        <v>0</v>
      </c>
      <c r="BD2917">
        <v>7</v>
      </c>
      <c r="BE2917">
        <v>420</v>
      </c>
      <c r="BF2917">
        <v>420</v>
      </c>
      <c r="BG2917">
        <v>520</v>
      </c>
      <c r="BI2917" t="s">
        <v>106</v>
      </c>
      <c r="BJ2917">
        <v>1</v>
      </c>
      <c r="BL2917" t="s">
        <v>6055</v>
      </c>
      <c r="BM2917" s="4">
        <v>43283.367361111108</v>
      </c>
      <c r="BN2917" s="4">
        <v>43283.376956018517</v>
      </c>
      <c r="BO2917" s="4">
        <v>43283.376956018517</v>
      </c>
      <c r="BP2917" t="s">
        <v>92</v>
      </c>
      <c r="BQ2917" t="s">
        <v>93</v>
      </c>
      <c r="BR2917" t="s">
        <v>94</v>
      </c>
    </row>
    <row r="2918" spans="1:70" x14ac:dyDescent="0.3">
      <c r="A2918" t="str">
        <f>"202063B0100"</f>
        <v>202063B0100</v>
      </c>
      <c r="B2918" t="s">
        <v>6056</v>
      </c>
      <c r="C2918">
        <v>20</v>
      </c>
      <c r="D2918" t="s">
        <v>88</v>
      </c>
      <c r="E2918">
        <v>475</v>
      </c>
      <c r="F2918" t="s">
        <v>6050</v>
      </c>
      <c r="G2918">
        <v>2063</v>
      </c>
      <c r="H2918">
        <v>1</v>
      </c>
      <c r="I2918" t="s">
        <v>90</v>
      </c>
      <c r="J2918">
        <v>0</v>
      </c>
      <c r="K2918">
        <v>2</v>
      </c>
      <c r="L2918">
        <v>5</v>
      </c>
      <c r="M2918">
        <v>106</v>
      </c>
      <c r="N2918">
        <v>349</v>
      </c>
      <c r="O2918">
        <v>0</v>
      </c>
      <c r="P2918">
        <v>349</v>
      </c>
      <c r="Q2918">
        <v>0</v>
      </c>
      <c r="R2918">
        <v>202</v>
      </c>
      <c r="S2918">
        <v>2</v>
      </c>
      <c r="T2918">
        <v>3</v>
      </c>
      <c r="U2918">
        <v>2</v>
      </c>
      <c r="V2918">
        <v>1</v>
      </c>
      <c r="W2918">
        <v>0</v>
      </c>
      <c r="X2918">
        <v>1</v>
      </c>
      <c r="Y2918">
        <v>118</v>
      </c>
      <c r="Z2918">
        <v>1</v>
      </c>
      <c r="AC2918">
        <v>0</v>
      </c>
      <c r="AD2918">
        <v>0</v>
      </c>
      <c r="AE2918">
        <v>0</v>
      </c>
      <c r="AF2918">
        <v>0</v>
      </c>
      <c r="AG2918">
        <v>2</v>
      </c>
      <c r="AH2918">
        <v>3</v>
      </c>
      <c r="AI2918">
        <v>1</v>
      </c>
      <c r="AJ2918">
        <v>0</v>
      </c>
      <c r="AK2918">
        <v>0</v>
      </c>
      <c r="AL2918">
        <v>2</v>
      </c>
      <c r="AM2918">
        <v>0</v>
      </c>
      <c r="AN2918">
        <v>1</v>
      </c>
      <c r="BC2918">
        <v>0</v>
      </c>
      <c r="BD2918">
        <v>10</v>
      </c>
      <c r="BE2918">
        <v>349</v>
      </c>
      <c r="BF2918">
        <v>349</v>
      </c>
      <c r="BG2918">
        <v>433</v>
      </c>
      <c r="BJ2918">
        <v>1</v>
      </c>
      <c r="BL2918" t="s">
        <v>6057</v>
      </c>
      <c r="BM2918" s="4">
        <v>43283.367361111108</v>
      </c>
      <c r="BN2918" s="4">
        <v>43283.393807870372</v>
      </c>
      <c r="BO2918" s="4">
        <v>43283.393807870372</v>
      </c>
      <c r="BP2918" t="s">
        <v>92</v>
      </c>
      <c r="BQ2918" t="s">
        <v>93</v>
      </c>
      <c r="BR2918" t="s">
        <v>94</v>
      </c>
    </row>
    <row r="2919" spans="1:70" x14ac:dyDescent="0.3">
      <c r="A2919" t="str">
        <f>"202064B0100"</f>
        <v>202064B0100</v>
      </c>
      <c r="B2919" t="s">
        <v>6058</v>
      </c>
      <c r="C2919">
        <v>20</v>
      </c>
      <c r="D2919" t="s">
        <v>88</v>
      </c>
      <c r="E2919">
        <v>475</v>
      </c>
      <c r="F2919" t="s">
        <v>6050</v>
      </c>
      <c r="G2919">
        <v>2064</v>
      </c>
      <c r="H2919">
        <v>1</v>
      </c>
      <c r="I2919" t="s">
        <v>90</v>
      </c>
      <c r="J2919">
        <v>0</v>
      </c>
      <c r="K2919">
        <v>2</v>
      </c>
      <c r="L2919">
        <v>5</v>
      </c>
      <c r="M2919">
        <v>221</v>
      </c>
      <c r="N2919">
        <v>0</v>
      </c>
      <c r="O2919">
        <v>468</v>
      </c>
      <c r="P2919">
        <v>0</v>
      </c>
      <c r="Q2919">
        <v>0</v>
      </c>
      <c r="R2919">
        <v>247</v>
      </c>
      <c r="S2919">
        <v>4</v>
      </c>
      <c r="T2919">
        <v>5</v>
      </c>
      <c r="U2919">
        <v>5</v>
      </c>
      <c r="V2919">
        <v>8</v>
      </c>
      <c r="W2919">
        <v>0</v>
      </c>
      <c r="X2919">
        <v>2</v>
      </c>
      <c r="Y2919">
        <v>176</v>
      </c>
      <c r="Z2919">
        <v>1</v>
      </c>
      <c r="AC2919">
        <v>0</v>
      </c>
      <c r="AD2919">
        <v>0</v>
      </c>
      <c r="AE2919">
        <v>0</v>
      </c>
      <c r="AF2919">
        <v>0</v>
      </c>
      <c r="AG2919">
        <v>3</v>
      </c>
      <c r="AH2919">
        <v>1</v>
      </c>
      <c r="AI2919">
        <v>0</v>
      </c>
      <c r="AJ2919">
        <v>0</v>
      </c>
      <c r="AK2919">
        <v>2</v>
      </c>
      <c r="AL2919">
        <v>0</v>
      </c>
      <c r="AM2919">
        <v>0</v>
      </c>
      <c r="AN2919">
        <v>0</v>
      </c>
      <c r="BC2919">
        <v>0</v>
      </c>
      <c r="BD2919">
        <v>9</v>
      </c>
      <c r="BE2919">
        <v>468</v>
      </c>
      <c r="BF2919">
        <v>463</v>
      </c>
      <c r="BG2919">
        <v>667</v>
      </c>
      <c r="BJ2919">
        <v>1</v>
      </c>
      <c r="BL2919" t="s">
        <v>6059</v>
      </c>
      <c r="BM2919" s="4">
        <v>43283.165277777778</v>
      </c>
      <c r="BN2919" s="4">
        <v>43283.188194444447</v>
      </c>
      <c r="BO2919" s="4">
        <v>43283.188194444447</v>
      </c>
      <c r="BP2919" t="s">
        <v>92</v>
      </c>
      <c r="BQ2919" t="s">
        <v>93</v>
      </c>
      <c r="BR2919" t="s">
        <v>94</v>
      </c>
    </row>
    <row r="2920" spans="1:70" x14ac:dyDescent="0.3">
      <c r="A2920" t="str">
        <f>"202077B0100"</f>
        <v>202077B0100</v>
      </c>
      <c r="B2920" t="s">
        <v>6060</v>
      </c>
      <c r="C2920">
        <v>20</v>
      </c>
      <c r="D2920" t="s">
        <v>88</v>
      </c>
      <c r="E2920">
        <v>481</v>
      </c>
      <c r="F2920" t="s">
        <v>6061</v>
      </c>
      <c r="G2920">
        <v>2077</v>
      </c>
      <c r="H2920">
        <v>1</v>
      </c>
      <c r="I2920" t="s">
        <v>90</v>
      </c>
      <c r="J2920">
        <v>0</v>
      </c>
      <c r="K2920">
        <v>1</v>
      </c>
      <c r="L2920">
        <v>5</v>
      </c>
      <c r="M2920">
        <v>162</v>
      </c>
      <c r="N2920">
        <v>402</v>
      </c>
      <c r="O2920">
        <v>3</v>
      </c>
      <c r="P2920">
        <v>402</v>
      </c>
      <c r="Q2920">
        <v>3</v>
      </c>
      <c r="R2920">
        <v>100</v>
      </c>
      <c r="S2920">
        <v>44</v>
      </c>
      <c r="U2920">
        <v>41</v>
      </c>
      <c r="V2920" t="s">
        <v>105</v>
      </c>
      <c r="W2920">
        <v>4</v>
      </c>
      <c r="Y2920">
        <v>38</v>
      </c>
      <c r="Z2920" t="s">
        <v>105</v>
      </c>
      <c r="AA2920">
        <v>150</v>
      </c>
      <c r="AC2920" t="s">
        <v>105</v>
      </c>
      <c r="AD2920" t="s">
        <v>105</v>
      </c>
      <c r="AE2920" t="s">
        <v>105</v>
      </c>
      <c r="AF2920" t="s">
        <v>105</v>
      </c>
      <c r="AK2920">
        <v>3</v>
      </c>
      <c r="AL2920">
        <v>2</v>
      </c>
      <c r="AM2920">
        <v>2</v>
      </c>
      <c r="AN2920" t="s">
        <v>105</v>
      </c>
      <c r="BC2920" t="s">
        <v>105</v>
      </c>
      <c r="BD2920">
        <v>14</v>
      </c>
      <c r="BE2920">
        <v>402</v>
      </c>
      <c r="BF2920">
        <v>401</v>
      </c>
      <c r="BG2920">
        <v>542</v>
      </c>
      <c r="BI2920" t="s">
        <v>106</v>
      </c>
      <c r="BJ2920">
        <v>1</v>
      </c>
      <c r="BL2920" t="s">
        <v>6062</v>
      </c>
      <c r="BM2920" s="4">
        <v>43283.345833333333</v>
      </c>
      <c r="BN2920" s="4">
        <v>43283.372557870367</v>
      </c>
      <c r="BO2920" s="4">
        <v>43283.372557870367</v>
      </c>
      <c r="BP2920" t="s">
        <v>92</v>
      </c>
      <c r="BQ2920" t="s">
        <v>93</v>
      </c>
      <c r="BR2920" t="s">
        <v>94</v>
      </c>
    </row>
    <row r="2921" spans="1:70" x14ac:dyDescent="0.3">
      <c r="A2921" t="str">
        <f>"202078B0100"</f>
        <v>202078B0100</v>
      </c>
      <c r="B2921" t="s">
        <v>6063</v>
      </c>
      <c r="C2921">
        <v>20</v>
      </c>
      <c r="D2921" t="s">
        <v>88</v>
      </c>
      <c r="E2921">
        <v>481</v>
      </c>
      <c r="F2921" t="s">
        <v>6061</v>
      </c>
      <c r="G2921">
        <v>2078</v>
      </c>
      <c r="H2921">
        <v>1</v>
      </c>
      <c r="I2921" t="s">
        <v>90</v>
      </c>
      <c r="J2921">
        <v>0</v>
      </c>
      <c r="K2921">
        <v>1</v>
      </c>
      <c r="L2921">
        <v>5</v>
      </c>
      <c r="M2921">
        <v>169</v>
      </c>
      <c r="N2921">
        <v>599</v>
      </c>
      <c r="O2921">
        <v>0</v>
      </c>
      <c r="P2921">
        <v>599</v>
      </c>
      <c r="Q2921">
        <v>3</v>
      </c>
      <c r="R2921">
        <v>230</v>
      </c>
      <c r="S2921">
        <v>94</v>
      </c>
      <c r="U2921">
        <v>23</v>
      </c>
      <c r="V2921">
        <v>0</v>
      </c>
      <c r="W2921">
        <v>15</v>
      </c>
      <c r="Y2921">
        <v>57</v>
      </c>
      <c r="Z2921">
        <v>0</v>
      </c>
      <c r="AA2921">
        <v>152</v>
      </c>
      <c r="AC2921">
        <v>3</v>
      </c>
      <c r="AD2921">
        <v>0</v>
      </c>
      <c r="AE2921">
        <v>0</v>
      </c>
      <c r="AF2921">
        <v>0</v>
      </c>
      <c r="AK2921">
        <v>0</v>
      </c>
      <c r="AL2921">
        <v>3</v>
      </c>
      <c r="AM2921">
        <v>0</v>
      </c>
      <c r="AN2921">
        <v>0</v>
      </c>
      <c r="BC2921">
        <v>0</v>
      </c>
      <c r="BD2921">
        <v>19</v>
      </c>
      <c r="BE2921">
        <v>599</v>
      </c>
      <c r="BF2921">
        <v>599</v>
      </c>
      <c r="BG2921">
        <v>747</v>
      </c>
      <c r="BJ2921">
        <v>1</v>
      </c>
      <c r="BL2921" t="s">
        <v>6064</v>
      </c>
      <c r="BM2921" s="4">
        <v>43283.334722222222</v>
      </c>
      <c r="BN2921" s="4">
        <v>43283.352280092593</v>
      </c>
      <c r="BO2921" s="4">
        <v>43283.352280092593</v>
      </c>
      <c r="BP2921" t="s">
        <v>92</v>
      </c>
      <c r="BQ2921" t="s">
        <v>93</v>
      </c>
      <c r="BR2921" t="s">
        <v>94</v>
      </c>
    </row>
    <row r="2922" spans="1:70" x14ac:dyDescent="0.3">
      <c r="A2922" t="str">
        <f>"202079B0100"</f>
        <v>202079B0100</v>
      </c>
      <c r="B2922" t="s">
        <v>6065</v>
      </c>
      <c r="C2922">
        <v>20</v>
      </c>
      <c r="D2922" t="s">
        <v>88</v>
      </c>
      <c r="E2922">
        <v>481</v>
      </c>
      <c r="F2922" t="s">
        <v>6061</v>
      </c>
      <c r="G2922">
        <v>2079</v>
      </c>
      <c r="H2922">
        <v>1</v>
      </c>
      <c r="I2922" t="s">
        <v>90</v>
      </c>
      <c r="J2922">
        <v>0</v>
      </c>
      <c r="K2922">
        <v>1</v>
      </c>
      <c r="L2922">
        <v>5</v>
      </c>
      <c r="M2922">
        <v>128</v>
      </c>
      <c r="N2922" t="s">
        <v>127</v>
      </c>
      <c r="O2922">
        <v>5</v>
      </c>
      <c r="P2922" t="s">
        <v>105</v>
      </c>
      <c r="Q2922">
        <v>8</v>
      </c>
      <c r="R2922">
        <v>7</v>
      </c>
      <c r="S2922">
        <v>52</v>
      </c>
      <c r="U2922">
        <v>7</v>
      </c>
      <c r="V2922">
        <v>1</v>
      </c>
      <c r="W2922" t="s">
        <v>127</v>
      </c>
      <c r="Y2922">
        <v>30</v>
      </c>
      <c r="Z2922">
        <v>0</v>
      </c>
      <c r="AA2922">
        <v>86</v>
      </c>
      <c r="AC2922">
        <v>1</v>
      </c>
      <c r="AD2922">
        <v>1</v>
      </c>
      <c r="AE2922">
        <v>0</v>
      </c>
      <c r="AF2922">
        <v>1</v>
      </c>
      <c r="AK2922">
        <v>0</v>
      </c>
      <c r="AL2922">
        <v>0</v>
      </c>
      <c r="AM2922">
        <v>0</v>
      </c>
      <c r="AN2922">
        <v>0</v>
      </c>
      <c r="BC2922" t="s">
        <v>105</v>
      </c>
      <c r="BD2922">
        <v>17</v>
      </c>
      <c r="BE2922">
        <v>395</v>
      </c>
      <c r="BF2922">
        <v>211</v>
      </c>
      <c r="BG2922">
        <v>498</v>
      </c>
      <c r="BI2922" t="s">
        <v>106</v>
      </c>
      <c r="BJ2922">
        <v>1</v>
      </c>
      <c r="BL2922" t="s">
        <v>6066</v>
      </c>
      <c r="BM2922" s="4">
        <v>43283.347222222219</v>
      </c>
      <c r="BN2922" s="4">
        <v>43283.376342592594</v>
      </c>
      <c r="BO2922" s="4">
        <v>43283.376342592594</v>
      </c>
      <c r="BP2922" t="s">
        <v>92</v>
      </c>
      <c r="BQ2922" t="s">
        <v>93</v>
      </c>
      <c r="BR2922" t="s">
        <v>94</v>
      </c>
    </row>
    <row r="2923" spans="1:70" x14ac:dyDescent="0.3">
      <c r="A2923" t="str">
        <f>"202079C0100"</f>
        <v>202079C0100</v>
      </c>
      <c r="B2923" t="s">
        <v>6067</v>
      </c>
      <c r="C2923">
        <v>20</v>
      </c>
      <c r="D2923" t="s">
        <v>88</v>
      </c>
      <c r="E2923">
        <v>481</v>
      </c>
      <c r="F2923" t="s">
        <v>6061</v>
      </c>
      <c r="G2923">
        <v>2079</v>
      </c>
      <c r="H2923">
        <v>1</v>
      </c>
      <c r="I2923" t="s">
        <v>98</v>
      </c>
      <c r="J2923">
        <v>0</v>
      </c>
      <c r="K2923">
        <v>1</v>
      </c>
      <c r="L2923">
        <v>5</v>
      </c>
      <c r="M2923">
        <v>110</v>
      </c>
      <c r="N2923">
        <v>410</v>
      </c>
      <c r="O2923">
        <v>3</v>
      </c>
      <c r="P2923">
        <v>409</v>
      </c>
      <c r="Q2923">
        <v>4</v>
      </c>
      <c r="R2923">
        <v>189</v>
      </c>
      <c r="S2923">
        <v>36</v>
      </c>
      <c r="U2923">
        <v>22</v>
      </c>
      <c r="V2923">
        <v>2</v>
      </c>
      <c r="W2923">
        <v>3</v>
      </c>
      <c r="Y2923">
        <v>37</v>
      </c>
      <c r="Z2923">
        <v>0</v>
      </c>
      <c r="AA2923">
        <v>103</v>
      </c>
      <c r="AC2923">
        <v>2</v>
      </c>
      <c r="AD2923">
        <v>0</v>
      </c>
      <c r="AE2923">
        <v>0</v>
      </c>
      <c r="AF2923">
        <v>0</v>
      </c>
      <c r="AK2923">
        <v>1</v>
      </c>
      <c r="AL2923">
        <v>1</v>
      </c>
      <c r="AM2923">
        <v>0</v>
      </c>
      <c r="AN2923">
        <v>1</v>
      </c>
      <c r="BC2923">
        <v>0</v>
      </c>
      <c r="BD2923">
        <v>8</v>
      </c>
      <c r="BE2923">
        <v>409</v>
      </c>
      <c r="BF2923">
        <v>409</v>
      </c>
      <c r="BG2923">
        <v>497</v>
      </c>
      <c r="BJ2923">
        <v>1</v>
      </c>
      <c r="BL2923" t="s">
        <v>6068</v>
      </c>
      <c r="BM2923" s="4">
        <v>43283.349305555559</v>
      </c>
      <c r="BN2923" s="4">
        <v>43283.360972222225</v>
      </c>
      <c r="BO2923" s="4">
        <v>43283.360972222225</v>
      </c>
      <c r="BP2923" t="s">
        <v>92</v>
      </c>
      <c r="BQ2923" t="s">
        <v>93</v>
      </c>
      <c r="BR2923" t="s">
        <v>94</v>
      </c>
    </row>
    <row r="2924" spans="1:70" x14ac:dyDescent="0.3">
      <c r="A2924" t="str">
        <f>"202080B0100"</f>
        <v>202080B0100</v>
      </c>
      <c r="B2924" t="s">
        <v>6069</v>
      </c>
      <c r="C2924">
        <v>20</v>
      </c>
      <c r="D2924" t="s">
        <v>88</v>
      </c>
      <c r="E2924">
        <v>481</v>
      </c>
      <c r="F2924" t="s">
        <v>6061</v>
      </c>
      <c r="G2924">
        <v>2080</v>
      </c>
      <c r="H2924">
        <v>1</v>
      </c>
      <c r="I2924" t="s">
        <v>90</v>
      </c>
      <c r="J2924">
        <v>0</v>
      </c>
      <c r="K2924">
        <v>1</v>
      </c>
      <c r="L2924">
        <v>5</v>
      </c>
      <c r="M2924">
        <v>84</v>
      </c>
      <c r="N2924">
        <v>365</v>
      </c>
      <c r="O2924">
        <v>4</v>
      </c>
      <c r="P2924">
        <v>365</v>
      </c>
      <c r="Q2924">
        <v>2</v>
      </c>
      <c r="R2924">
        <v>111</v>
      </c>
      <c r="S2924">
        <v>34</v>
      </c>
      <c r="U2924">
        <v>23</v>
      </c>
      <c r="V2924">
        <v>1</v>
      </c>
      <c r="W2924">
        <v>4</v>
      </c>
      <c r="Y2924">
        <v>31</v>
      </c>
      <c r="Z2924">
        <v>0</v>
      </c>
      <c r="AA2924">
        <v>141</v>
      </c>
      <c r="AC2924">
        <v>0</v>
      </c>
      <c r="AD2924">
        <v>1</v>
      </c>
      <c r="AE2924">
        <v>0</v>
      </c>
      <c r="AF2924">
        <v>0</v>
      </c>
      <c r="AK2924">
        <v>1</v>
      </c>
      <c r="AL2924">
        <v>0</v>
      </c>
      <c r="AM2924">
        <v>0</v>
      </c>
      <c r="AN2924">
        <v>0</v>
      </c>
      <c r="BC2924">
        <v>0</v>
      </c>
      <c r="BD2924">
        <v>16</v>
      </c>
      <c r="BE2924">
        <v>365</v>
      </c>
      <c r="BF2924">
        <v>365</v>
      </c>
      <c r="BG2924">
        <v>427</v>
      </c>
      <c r="BJ2924">
        <v>1</v>
      </c>
      <c r="BL2924" t="s">
        <v>6070</v>
      </c>
      <c r="BM2924" s="4">
        <v>43283.337500000001</v>
      </c>
      <c r="BN2924" s="4">
        <v>43283.37059027778</v>
      </c>
      <c r="BO2924" s="4">
        <v>43283.37059027778</v>
      </c>
      <c r="BP2924" t="s">
        <v>92</v>
      </c>
      <c r="BQ2924" t="s">
        <v>93</v>
      </c>
      <c r="BR2924" t="s">
        <v>94</v>
      </c>
    </row>
    <row r="2925" spans="1:70" x14ac:dyDescent="0.3">
      <c r="A2925" t="str">
        <f>"202080E0100"</f>
        <v>202080E0100</v>
      </c>
      <c r="B2925" s="2" t="s">
        <v>6071</v>
      </c>
      <c r="C2925">
        <v>20</v>
      </c>
      <c r="D2925" t="s">
        <v>88</v>
      </c>
      <c r="E2925">
        <v>481</v>
      </c>
      <c r="F2925" t="s">
        <v>6061</v>
      </c>
      <c r="G2925">
        <v>2080</v>
      </c>
      <c r="H2925">
        <v>1</v>
      </c>
      <c r="I2925" t="s">
        <v>156</v>
      </c>
      <c r="J2925">
        <v>0</v>
      </c>
      <c r="K2925">
        <v>2</v>
      </c>
      <c r="L2925">
        <v>5</v>
      </c>
      <c r="M2925">
        <v>60</v>
      </c>
      <c r="N2925">
        <v>279</v>
      </c>
      <c r="O2925">
        <v>3</v>
      </c>
      <c r="P2925">
        <v>279</v>
      </c>
      <c r="Q2925">
        <v>2</v>
      </c>
      <c r="R2925">
        <v>112</v>
      </c>
      <c r="S2925">
        <v>22</v>
      </c>
      <c r="U2925">
        <v>44</v>
      </c>
      <c r="V2925">
        <v>0</v>
      </c>
      <c r="W2925">
        <v>0</v>
      </c>
      <c r="Y2925">
        <v>65</v>
      </c>
      <c r="Z2925">
        <v>0</v>
      </c>
      <c r="AA2925">
        <v>63</v>
      </c>
      <c r="AC2925">
        <v>0</v>
      </c>
      <c r="AD2925">
        <v>0</v>
      </c>
      <c r="AE2925">
        <v>2</v>
      </c>
      <c r="AF2925">
        <v>0</v>
      </c>
      <c r="AK2925">
        <v>0</v>
      </c>
      <c r="AL2925">
        <v>0</v>
      </c>
      <c r="AM2925">
        <v>0</v>
      </c>
      <c r="AN2925">
        <v>0</v>
      </c>
      <c r="BC2925">
        <v>0</v>
      </c>
      <c r="BD2925">
        <v>0</v>
      </c>
      <c r="BE2925">
        <v>279</v>
      </c>
      <c r="BF2925">
        <v>310</v>
      </c>
      <c r="BG2925">
        <v>319</v>
      </c>
      <c r="BJ2925">
        <v>1</v>
      </c>
      <c r="BL2925" t="s">
        <v>6072</v>
      </c>
      <c r="BM2925" s="4">
        <v>43283.489629629628</v>
      </c>
      <c r="BN2925" s="4">
        <v>43283.492939814816</v>
      </c>
      <c r="BO2925" s="4">
        <v>43283.492939814816</v>
      </c>
      <c r="BP2925" t="s">
        <v>92</v>
      </c>
      <c r="BQ2925" t="s">
        <v>93</v>
      </c>
      <c r="BR2925" t="s">
        <v>94</v>
      </c>
    </row>
    <row r="2926" spans="1:70" x14ac:dyDescent="0.3">
      <c r="A2926" t="str">
        <f>"202081B0100"</f>
        <v>202081B0100</v>
      </c>
      <c r="B2926" t="s">
        <v>6073</v>
      </c>
      <c r="C2926">
        <v>20</v>
      </c>
      <c r="D2926" t="s">
        <v>88</v>
      </c>
      <c r="E2926">
        <v>481</v>
      </c>
      <c r="F2926" t="s">
        <v>6061</v>
      </c>
      <c r="G2926">
        <v>2081</v>
      </c>
      <c r="H2926">
        <v>1</v>
      </c>
      <c r="I2926" t="s">
        <v>90</v>
      </c>
      <c r="J2926">
        <v>0</v>
      </c>
      <c r="K2926">
        <v>2</v>
      </c>
      <c r="L2926">
        <v>5</v>
      </c>
      <c r="BG2926">
        <v>461</v>
      </c>
      <c r="BI2926" t="s">
        <v>122</v>
      </c>
      <c r="BJ2926">
        <v>0</v>
      </c>
      <c r="BL2926" t="s">
        <v>6074</v>
      </c>
      <c r="BM2926" s="4">
        <v>43283.581944444442</v>
      </c>
      <c r="BN2926" s="4">
        <v>43283.583634259259</v>
      </c>
      <c r="BO2926" s="4">
        <v>43283.583634259259</v>
      </c>
      <c r="BP2926" t="s">
        <v>92</v>
      </c>
      <c r="BQ2926" t="s">
        <v>93</v>
      </c>
      <c r="BR2926" t="s">
        <v>94</v>
      </c>
    </row>
    <row r="2927" spans="1:70" x14ac:dyDescent="0.3">
      <c r="A2927" t="str">
        <f>"202082B0100"</f>
        <v>202082B0100</v>
      </c>
      <c r="B2927" t="s">
        <v>6075</v>
      </c>
      <c r="C2927">
        <v>20</v>
      </c>
      <c r="D2927" t="s">
        <v>88</v>
      </c>
      <c r="E2927">
        <v>481</v>
      </c>
      <c r="F2927" t="s">
        <v>6061</v>
      </c>
      <c r="G2927">
        <v>2082</v>
      </c>
      <c r="H2927">
        <v>1</v>
      </c>
      <c r="I2927" t="s">
        <v>90</v>
      </c>
      <c r="J2927">
        <v>0</v>
      </c>
      <c r="K2927">
        <v>2</v>
      </c>
      <c r="L2927">
        <v>5</v>
      </c>
      <c r="BG2927">
        <v>182</v>
      </c>
      <c r="BI2927" t="s">
        <v>122</v>
      </c>
      <c r="BJ2927">
        <v>0</v>
      </c>
      <c r="BL2927" t="s">
        <v>6076</v>
      </c>
      <c r="BM2927" s="4">
        <v>43283.581944444442</v>
      </c>
      <c r="BN2927" s="4">
        <v>43283.584143518521</v>
      </c>
      <c r="BO2927" s="4">
        <v>43283.584143518521</v>
      </c>
      <c r="BP2927" t="s">
        <v>92</v>
      </c>
      <c r="BQ2927" t="s">
        <v>93</v>
      </c>
      <c r="BR2927" t="s">
        <v>94</v>
      </c>
    </row>
    <row r="2928" spans="1:70" x14ac:dyDescent="0.3">
      <c r="A2928" t="str">
        <f>"202083B0100"</f>
        <v>202083B0100</v>
      </c>
      <c r="B2928" t="s">
        <v>6077</v>
      </c>
      <c r="C2928">
        <v>20</v>
      </c>
      <c r="D2928" t="s">
        <v>88</v>
      </c>
      <c r="E2928">
        <v>481</v>
      </c>
      <c r="F2928" t="s">
        <v>6061</v>
      </c>
      <c r="G2928">
        <v>2083</v>
      </c>
      <c r="H2928">
        <v>1</v>
      </c>
      <c r="I2928" t="s">
        <v>90</v>
      </c>
      <c r="J2928">
        <v>0</v>
      </c>
      <c r="K2928">
        <v>2</v>
      </c>
      <c r="L2928">
        <v>5</v>
      </c>
      <c r="M2928">
        <v>116</v>
      </c>
      <c r="N2928">
        <v>560</v>
      </c>
      <c r="O2928">
        <v>0</v>
      </c>
      <c r="P2928">
        <v>444</v>
      </c>
      <c r="Q2928">
        <v>25</v>
      </c>
      <c r="R2928">
        <v>117</v>
      </c>
      <c r="S2928">
        <v>97</v>
      </c>
      <c r="U2928">
        <v>35</v>
      </c>
      <c r="V2928">
        <v>8</v>
      </c>
      <c r="W2928">
        <v>5</v>
      </c>
      <c r="Y2928">
        <v>45</v>
      </c>
      <c r="Z2928">
        <v>4</v>
      </c>
      <c r="AA2928">
        <v>99</v>
      </c>
      <c r="AC2928">
        <v>0</v>
      </c>
      <c r="AD2928">
        <v>2</v>
      </c>
      <c r="AE2928">
        <v>0</v>
      </c>
      <c r="AF2928">
        <v>1</v>
      </c>
      <c r="AK2928">
        <v>1</v>
      </c>
      <c r="AL2928">
        <v>0</v>
      </c>
      <c r="AM2928">
        <v>0</v>
      </c>
      <c r="AN2928">
        <v>0</v>
      </c>
      <c r="BC2928">
        <v>0</v>
      </c>
      <c r="BD2928">
        <v>4</v>
      </c>
      <c r="BE2928">
        <v>444</v>
      </c>
      <c r="BF2928">
        <v>443</v>
      </c>
      <c r="BG2928">
        <v>538</v>
      </c>
      <c r="BJ2928">
        <v>1</v>
      </c>
      <c r="BL2928" t="s">
        <v>6078</v>
      </c>
      <c r="BM2928" s="4">
        <v>43283.341666666667</v>
      </c>
      <c r="BN2928" s="4">
        <v>43283.371064814812</v>
      </c>
      <c r="BO2928" s="4">
        <v>43283.371064814812</v>
      </c>
      <c r="BP2928" t="s">
        <v>92</v>
      </c>
      <c r="BQ2928" t="s">
        <v>93</v>
      </c>
      <c r="BR2928" t="s">
        <v>94</v>
      </c>
    </row>
    <row r="2929" spans="1:70" x14ac:dyDescent="0.3">
      <c r="A2929" t="str">
        <f>"202088B0100"</f>
        <v>202088B0100</v>
      </c>
      <c r="B2929" t="s">
        <v>6079</v>
      </c>
      <c r="C2929">
        <v>20</v>
      </c>
      <c r="D2929" t="s">
        <v>88</v>
      </c>
      <c r="E2929">
        <v>484</v>
      </c>
      <c r="F2929" t="s">
        <v>6080</v>
      </c>
      <c r="G2929">
        <v>2088</v>
      </c>
      <c r="H2929">
        <v>1</v>
      </c>
      <c r="I2929" t="s">
        <v>90</v>
      </c>
      <c r="J2929">
        <v>0</v>
      </c>
      <c r="K2929">
        <v>1</v>
      </c>
      <c r="L2929">
        <v>5</v>
      </c>
      <c r="M2929">
        <v>218</v>
      </c>
      <c r="N2929">
        <v>381</v>
      </c>
      <c r="O2929">
        <v>0</v>
      </c>
      <c r="P2929">
        <v>380</v>
      </c>
      <c r="Q2929">
        <v>9</v>
      </c>
      <c r="R2929">
        <v>73</v>
      </c>
      <c r="S2929">
        <v>157</v>
      </c>
      <c r="T2929">
        <v>1</v>
      </c>
      <c r="U2929">
        <v>7</v>
      </c>
      <c r="V2929">
        <v>4</v>
      </c>
      <c r="W2929">
        <v>2</v>
      </c>
      <c r="X2929">
        <v>2</v>
      </c>
      <c r="Y2929">
        <v>111</v>
      </c>
      <c r="Z2929">
        <v>2</v>
      </c>
      <c r="AA2929">
        <v>0</v>
      </c>
      <c r="AC2929">
        <v>2</v>
      </c>
      <c r="AD2929">
        <v>0</v>
      </c>
      <c r="AE2929">
        <v>0</v>
      </c>
      <c r="AF2929">
        <v>2</v>
      </c>
      <c r="AG2929">
        <v>1</v>
      </c>
      <c r="AH2929">
        <v>0</v>
      </c>
      <c r="AI2929">
        <v>0</v>
      </c>
      <c r="AJ2929">
        <v>0</v>
      </c>
      <c r="AK2929">
        <v>1</v>
      </c>
      <c r="AL2929">
        <v>0</v>
      </c>
      <c r="AM2929">
        <v>0</v>
      </c>
      <c r="AN2929">
        <v>0</v>
      </c>
      <c r="BC2929">
        <v>1</v>
      </c>
      <c r="BD2929">
        <v>5</v>
      </c>
      <c r="BE2929">
        <v>380</v>
      </c>
      <c r="BF2929">
        <v>380</v>
      </c>
      <c r="BG2929">
        <v>577</v>
      </c>
      <c r="BJ2929">
        <v>1</v>
      </c>
      <c r="BL2929" t="s">
        <v>6081</v>
      </c>
      <c r="BM2929" s="4">
        <v>43283.143750000003</v>
      </c>
      <c r="BN2929" s="4">
        <v>43283.172777777778</v>
      </c>
      <c r="BO2929" s="4">
        <v>43283.172777777778</v>
      </c>
      <c r="BP2929" t="s">
        <v>92</v>
      </c>
      <c r="BQ2929" t="s">
        <v>93</v>
      </c>
      <c r="BR2929" t="s">
        <v>94</v>
      </c>
    </row>
    <row r="2930" spans="1:70" x14ac:dyDescent="0.3">
      <c r="A2930" t="str">
        <f>"202088C0100"</f>
        <v>202088C0100</v>
      </c>
      <c r="B2930" t="s">
        <v>6082</v>
      </c>
      <c r="C2930">
        <v>20</v>
      </c>
      <c r="D2930" t="s">
        <v>88</v>
      </c>
      <c r="E2930">
        <v>484</v>
      </c>
      <c r="F2930" t="s">
        <v>6080</v>
      </c>
      <c r="G2930">
        <v>2088</v>
      </c>
      <c r="H2930">
        <v>1</v>
      </c>
      <c r="I2930" t="s">
        <v>98</v>
      </c>
      <c r="J2930">
        <v>0</v>
      </c>
      <c r="K2930">
        <v>1</v>
      </c>
      <c r="L2930">
        <v>5</v>
      </c>
      <c r="M2930">
        <v>202</v>
      </c>
      <c r="N2930">
        <v>397</v>
      </c>
      <c r="O2930">
        <v>3</v>
      </c>
      <c r="P2930">
        <v>397</v>
      </c>
      <c r="Q2930">
        <v>4</v>
      </c>
      <c r="R2930">
        <v>59</v>
      </c>
      <c r="S2930">
        <v>172</v>
      </c>
      <c r="T2930">
        <v>2</v>
      </c>
      <c r="U2930">
        <v>2</v>
      </c>
      <c r="V2930">
        <v>5</v>
      </c>
      <c r="W2930">
        <v>2</v>
      </c>
      <c r="X2930">
        <v>0</v>
      </c>
      <c r="Y2930">
        <v>127</v>
      </c>
      <c r="Z2930">
        <v>1</v>
      </c>
      <c r="AA2930">
        <v>0</v>
      </c>
      <c r="AC2930">
        <v>3</v>
      </c>
      <c r="AD2930">
        <v>1</v>
      </c>
      <c r="AE2930">
        <v>0</v>
      </c>
      <c r="AF2930">
        <v>0</v>
      </c>
      <c r="AG2930">
        <v>1</v>
      </c>
      <c r="AH2930">
        <v>0</v>
      </c>
      <c r="AI2930">
        <v>0</v>
      </c>
      <c r="AJ2930">
        <v>0</v>
      </c>
      <c r="AK2930">
        <v>1</v>
      </c>
      <c r="AL2930">
        <v>1</v>
      </c>
      <c r="AM2930">
        <v>0</v>
      </c>
      <c r="AN2930">
        <v>1</v>
      </c>
      <c r="BC2930">
        <v>0</v>
      </c>
      <c r="BD2930">
        <v>15</v>
      </c>
      <c r="BE2930">
        <v>397</v>
      </c>
      <c r="BF2930">
        <v>397</v>
      </c>
      <c r="BG2930">
        <v>577</v>
      </c>
      <c r="BJ2930">
        <v>1</v>
      </c>
      <c r="BL2930" t="s">
        <v>6083</v>
      </c>
      <c r="BM2930" s="4">
        <v>43283.202777777777</v>
      </c>
      <c r="BN2930" s="4">
        <v>43283.220486111109</v>
      </c>
      <c r="BO2930" s="4">
        <v>43283.220486111109</v>
      </c>
      <c r="BP2930" t="s">
        <v>92</v>
      </c>
      <c r="BQ2930" t="s">
        <v>93</v>
      </c>
      <c r="BR2930" t="s">
        <v>94</v>
      </c>
    </row>
    <row r="2931" spans="1:70" x14ac:dyDescent="0.3">
      <c r="A2931" t="str">
        <f>"202088C0200"</f>
        <v>202088C0200</v>
      </c>
      <c r="B2931" t="s">
        <v>6084</v>
      </c>
      <c r="C2931">
        <v>20</v>
      </c>
      <c r="D2931" t="s">
        <v>88</v>
      </c>
      <c r="E2931">
        <v>484</v>
      </c>
      <c r="F2931" t="s">
        <v>6080</v>
      </c>
      <c r="G2931">
        <v>2088</v>
      </c>
      <c r="H2931">
        <v>2</v>
      </c>
      <c r="I2931" t="s">
        <v>98</v>
      </c>
      <c r="J2931">
        <v>0</v>
      </c>
      <c r="K2931">
        <v>1</v>
      </c>
      <c r="L2931">
        <v>5</v>
      </c>
      <c r="M2931">
        <v>205</v>
      </c>
      <c r="N2931">
        <v>394</v>
      </c>
      <c r="O2931">
        <v>10</v>
      </c>
      <c r="P2931">
        <v>394</v>
      </c>
      <c r="Q2931">
        <v>7</v>
      </c>
      <c r="R2931">
        <v>68</v>
      </c>
      <c r="S2931">
        <v>130</v>
      </c>
      <c r="T2931">
        <v>0</v>
      </c>
      <c r="U2931">
        <v>7</v>
      </c>
      <c r="V2931">
        <v>2</v>
      </c>
      <c r="W2931">
        <v>7</v>
      </c>
      <c r="X2931">
        <v>1</v>
      </c>
      <c r="Y2931">
        <v>150</v>
      </c>
      <c r="Z2931">
        <v>0</v>
      </c>
      <c r="AA2931">
        <v>1</v>
      </c>
      <c r="AC2931">
        <v>3</v>
      </c>
      <c r="AD2931">
        <v>2</v>
      </c>
      <c r="AE2931">
        <v>0</v>
      </c>
      <c r="AF2931">
        <v>1</v>
      </c>
      <c r="AG2931">
        <v>3</v>
      </c>
      <c r="AH2931">
        <v>0</v>
      </c>
      <c r="AI2931">
        <v>1</v>
      </c>
      <c r="AJ2931">
        <v>0</v>
      </c>
      <c r="AK2931">
        <v>1</v>
      </c>
      <c r="AL2931">
        <v>3</v>
      </c>
      <c r="AM2931">
        <v>0</v>
      </c>
      <c r="AN2931">
        <v>0</v>
      </c>
      <c r="BC2931">
        <v>0</v>
      </c>
      <c r="BD2931">
        <v>7</v>
      </c>
      <c r="BE2931">
        <v>394</v>
      </c>
      <c r="BF2931">
        <v>394</v>
      </c>
      <c r="BG2931">
        <v>577</v>
      </c>
      <c r="BJ2931">
        <v>1</v>
      </c>
      <c r="BL2931" t="s">
        <v>6085</v>
      </c>
      <c r="BM2931" s="4">
        <v>43283.202777777777</v>
      </c>
      <c r="BN2931" s="4">
        <v>43283.220439814817</v>
      </c>
      <c r="BO2931" s="4">
        <v>43283.220439814817</v>
      </c>
      <c r="BP2931" t="s">
        <v>92</v>
      </c>
      <c r="BQ2931" t="s">
        <v>93</v>
      </c>
      <c r="BR2931" t="s">
        <v>94</v>
      </c>
    </row>
    <row r="2932" spans="1:70" x14ac:dyDescent="0.3">
      <c r="A2932" t="str">
        <f>"202088S0100"</f>
        <v>202088S0100</v>
      </c>
      <c r="B2932" t="s">
        <v>6086</v>
      </c>
      <c r="C2932">
        <v>20</v>
      </c>
      <c r="D2932" t="s">
        <v>88</v>
      </c>
      <c r="E2932">
        <v>484</v>
      </c>
      <c r="F2932" t="s">
        <v>6080</v>
      </c>
      <c r="G2932">
        <v>2088</v>
      </c>
      <c r="H2932">
        <v>1</v>
      </c>
      <c r="I2932" t="s">
        <v>113</v>
      </c>
      <c r="J2932">
        <v>0</v>
      </c>
      <c r="K2932">
        <v>1</v>
      </c>
      <c r="L2932">
        <v>6</v>
      </c>
      <c r="M2932">
        <v>748</v>
      </c>
      <c r="N2932">
        <v>24</v>
      </c>
      <c r="O2932">
        <v>0</v>
      </c>
      <c r="P2932">
        <v>24</v>
      </c>
      <c r="Q2932">
        <v>0</v>
      </c>
      <c r="R2932">
        <v>5</v>
      </c>
      <c r="S2932">
        <v>8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10</v>
      </c>
      <c r="Z2932">
        <v>0</v>
      </c>
      <c r="AA2932">
        <v>0</v>
      </c>
      <c r="AC2932">
        <v>0</v>
      </c>
      <c r="AD2932">
        <v>0</v>
      </c>
      <c r="AE2932">
        <v>0</v>
      </c>
      <c r="AF2932">
        <v>0</v>
      </c>
      <c r="AG2932">
        <v>0</v>
      </c>
      <c r="AH2932">
        <v>0</v>
      </c>
      <c r="AI2932">
        <v>0</v>
      </c>
      <c r="AJ2932">
        <v>0</v>
      </c>
      <c r="AK2932">
        <v>1</v>
      </c>
      <c r="AL2932">
        <v>0</v>
      </c>
      <c r="AM2932">
        <v>0</v>
      </c>
      <c r="AN2932">
        <v>0</v>
      </c>
      <c r="BC2932">
        <v>0</v>
      </c>
      <c r="BD2932">
        <v>0</v>
      </c>
      <c r="BE2932">
        <v>24</v>
      </c>
      <c r="BF2932">
        <v>24</v>
      </c>
      <c r="BG2932">
        <v>0</v>
      </c>
      <c r="BJ2932">
        <v>1</v>
      </c>
      <c r="BL2932" t="s">
        <v>6087</v>
      </c>
      <c r="BM2932" s="4">
        <v>43283.20416666667</v>
      </c>
      <c r="BN2932" s="4">
        <v>43283.223425925928</v>
      </c>
      <c r="BO2932" s="4">
        <v>43283.223425925928</v>
      </c>
      <c r="BP2932" t="s">
        <v>92</v>
      </c>
      <c r="BQ2932" t="s">
        <v>93</v>
      </c>
      <c r="BR2932" t="s">
        <v>94</v>
      </c>
    </row>
    <row r="2933" spans="1:70" x14ac:dyDescent="0.3">
      <c r="A2933" t="str">
        <f>"202089B0100"</f>
        <v>202089B0100</v>
      </c>
      <c r="B2933" t="s">
        <v>6088</v>
      </c>
      <c r="C2933">
        <v>20</v>
      </c>
      <c r="D2933" t="s">
        <v>88</v>
      </c>
      <c r="E2933">
        <v>484</v>
      </c>
      <c r="F2933" t="s">
        <v>6080</v>
      </c>
      <c r="G2933">
        <v>2089</v>
      </c>
      <c r="H2933">
        <v>1</v>
      </c>
      <c r="I2933" t="s">
        <v>90</v>
      </c>
      <c r="J2933">
        <v>0</v>
      </c>
      <c r="K2933">
        <v>1</v>
      </c>
      <c r="L2933">
        <v>5</v>
      </c>
      <c r="M2933">
        <v>193</v>
      </c>
      <c r="N2933">
        <v>402</v>
      </c>
      <c r="O2933">
        <v>2</v>
      </c>
      <c r="P2933" t="s">
        <v>105</v>
      </c>
      <c r="Q2933">
        <v>9</v>
      </c>
      <c r="R2933">
        <v>72</v>
      </c>
      <c r="S2933">
        <v>151</v>
      </c>
      <c r="T2933">
        <v>0</v>
      </c>
      <c r="U2933">
        <v>10</v>
      </c>
      <c r="V2933">
        <v>4</v>
      </c>
      <c r="W2933">
        <v>5</v>
      </c>
      <c r="X2933">
        <v>0</v>
      </c>
      <c r="Y2933">
        <v>115</v>
      </c>
      <c r="Z2933">
        <v>2</v>
      </c>
      <c r="AA2933">
        <v>0</v>
      </c>
      <c r="AC2933">
        <v>0</v>
      </c>
      <c r="AD2933">
        <v>0</v>
      </c>
      <c r="AE2933">
        <v>0</v>
      </c>
      <c r="AF2933">
        <v>1</v>
      </c>
      <c r="AG2933">
        <v>3</v>
      </c>
      <c r="AH2933">
        <v>1</v>
      </c>
      <c r="AI2933">
        <v>0</v>
      </c>
      <c r="AJ2933">
        <v>0</v>
      </c>
      <c r="AK2933">
        <v>6</v>
      </c>
      <c r="AL2933">
        <v>2</v>
      </c>
      <c r="AM2933">
        <v>0</v>
      </c>
      <c r="AN2933">
        <v>1</v>
      </c>
      <c r="BC2933">
        <v>0</v>
      </c>
      <c r="BD2933">
        <v>0</v>
      </c>
      <c r="BE2933">
        <v>393</v>
      </c>
      <c r="BF2933">
        <v>382</v>
      </c>
      <c r="BG2933">
        <v>573</v>
      </c>
      <c r="BJ2933">
        <v>1</v>
      </c>
      <c r="BL2933" s="2" t="s">
        <v>6089</v>
      </c>
      <c r="BM2933" s="4">
        <v>43283.214583333334</v>
      </c>
      <c r="BN2933" s="4">
        <v>43283.250462962962</v>
      </c>
      <c r="BO2933" s="4">
        <v>43283.250462962962</v>
      </c>
      <c r="BP2933" t="s">
        <v>92</v>
      </c>
      <c r="BQ2933" t="s">
        <v>93</v>
      </c>
      <c r="BR2933" t="s">
        <v>94</v>
      </c>
    </row>
    <row r="2934" spans="1:70" x14ac:dyDescent="0.3">
      <c r="A2934" t="str">
        <f>"202089C0100"</f>
        <v>202089C0100</v>
      </c>
      <c r="B2934" t="s">
        <v>6090</v>
      </c>
      <c r="C2934">
        <v>20</v>
      </c>
      <c r="D2934" t="s">
        <v>88</v>
      </c>
      <c r="E2934">
        <v>484</v>
      </c>
      <c r="F2934" t="s">
        <v>6080</v>
      </c>
      <c r="G2934">
        <v>2089</v>
      </c>
      <c r="H2934">
        <v>1</v>
      </c>
      <c r="I2934" t="s">
        <v>98</v>
      </c>
      <c r="J2934">
        <v>0</v>
      </c>
      <c r="K2934">
        <v>1</v>
      </c>
      <c r="L2934">
        <v>5</v>
      </c>
      <c r="M2934">
        <v>202</v>
      </c>
      <c r="N2934">
        <v>392</v>
      </c>
      <c r="O2934">
        <v>6</v>
      </c>
      <c r="P2934">
        <v>392</v>
      </c>
      <c r="Q2934">
        <v>5</v>
      </c>
      <c r="R2934">
        <v>84</v>
      </c>
      <c r="S2934">
        <v>143</v>
      </c>
      <c r="T2934">
        <v>0</v>
      </c>
      <c r="U2934">
        <v>7</v>
      </c>
      <c r="V2934">
        <v>5</v>
      </c>
      <c r="W2934">
        <v>1</v>
      </c>
      <c r="X2934">
        <v>1</v>
      </c>
      <c r="Y2934">
        <v>123</v>
      </c>
      <c r="Z2934">
        <v>5</v>
      </c>
      <c r="AA2934">
        <v>2</v>
      </c>
      <c r="AC2934">
        <v>6</v>
      </c>
      <c r="AD2934">
        <v>0</v>
      </c>
      <c r="AE2934">
        <v>0</v>
      </c>
      <c r="AF2934">
        <v>0</v>
      </c>
      <c r="AG2934">
        <v>2</v>
      </c>
      <c r="AH2934">
        <v>0</v>
      </c>
      <c r="AI2934">
        <v>0</v>
      </c>
      <c r="AJ2934">
        <v>0</v>
      </c>
      <c r="AK2934">
        <v>8</v>
      </c>
      <c r="AL2934">
        <v>0</v>
      </c>
      <c r="AM2934">
        <v>0</v>
      </c>
      <c r="AN2934">
        <v>0</v>
      </c>
      <c r="BC2934">
        <v>0</v>
      </c>
      <c r="BD2934">
        <v>0</v>
      </c>
      <c r="BE2934">
        <v>392</v>
      </c>
      <c r="BF2934">
        <v>392</v>
      </c>
      <c r="BG2934">
        <v>572</v>
      </c>
      <c r="BJ2934">
        <v>1</v>
      </c>
      <c r="BL2934" t="s">
        <v>6091</v>
      </c>
      <c r="BM2934" s="4">
        <v>43283.215277777781</v>
      </c>
      <c r="BN2934" s="4">
        <v>43283.256053240744</v>
      </c>
      <c r="BO2934" s="4">
        <v>43283.256053240744</v>
      </c>
      <c r="BP2934" t="s">
        <v>92</v>
      </c>
      <c r="BQ2934" t="s">
        <v>93</v>
      </c>
      <c r="BR2934" t="s">
        <v>94</v>
      </c>
    </row>
    <row r="2935" spans="1:70" x14ac:dyDescent="0.3">
      <c r="A2935" t="str">
        <f>"202089C0200"</f>
        <v>202089C0200</v>
      </c>
      <c r="B2935" t="s">
        <v>6092</v>
      </c>
      <c r="C2935">
        <v>20</v>
      </c>
      <c r="D2935" t="s">
        <v>88</v>
      </c>
      <c r="E2935">
        <v>484</v>
      </c>
      <c r="F2935" t="s">
        <v>6080</v>
      </c>
      <c r="G2935">
        <v>2089</v>
      </c>
      <c r="H2935">
        <v>2</v>
      </c>
      <c r="I2935" t="s">
        <v>98</v>
      </c>
      <c r="J2935">
        <v>0</v>
      </c>
      <c r="K2935">
        <v>1</v>
      </c>
      <c r="L2935">
        <v>5</v>
      </c>
      <c r="M2935">
        <v>183</v>
      </c>
      <c r="N2935">
        <v>411</v>
      </c>
      <c r="O2935">
        <v>0</v>
      </c>
      <c r="P2935">
        <v>411</v>
      </c>
      <c r="Q2935">
        <v>9</v>
      </c>
      <c r="R2935">
        <v>63</v>
      </c>
      <c r="S2935">
        <v>142</v>
      </c>
      <c r="T2935">
        <v>1</v>
      </c>
      <c r="U2935">
        <v>16</v>
      </c>
      <c r="V2935">
        <v>5</v>
      </c>
      <c r="W2935">
        <v>8</v>
      </c>
      <c r="X2935">
        <v>3</v>
      </c>
      <c r="Y2935">
        <v>134</v>
      </c>
      <c r="Z2935">
        <v>3</v>
      </c>
      <c r="AA2935">
        <v>1</v>
      </c>
      <c r="AC2935">
        <v>3</v>
      </c>
      <c r="AD2935">
        <v>2</v>
      </c>
      <c r="AE2935">
        <v>0</v>
      </c>
      <c r="AF2935">
        <v>0</v>
      </c>
      <c r="AG2935">
        <v>1</v>
      </c>
      <c r="AH2935">
        <v>0</v>
      </c>
      <c r="AI2935">
        <v>0</v>
      </c>
      <c r="AJ2935">
        <v>0</v>
      </c>
      <c r="AK2935">
        <v>2</v>
      </c>
      <c r="AL2935">
        <v>1</v>
      </c>
      <c r="AM2935">
        <v>0</v>
      </c>
      <c r="AN2935">
        <v>0</v>
      </c>
      <c r="BC2935">
        <v>0</v>
      </c>
      <c r="BD2935">
        <v>17</v>
      </c>
      <c r="BE2935">
        <v>411</v>
      </c>
      <c r="BF2935">
        <v>411</v>
      </c>
      <c r="BG2935">
        <v>572</v>
      </c>
      <c r="BJ2935">
        <v>1</v>
      </c>
      <c r="BL2935" t="s">
        <v>6093</v>
      </c>
      <c r="BM2935" s="4">
        <v>43283.213888888888</v>
      </c>
      <c r="BN2935" s="4">
        <v>43283.249259259261</v>
      </c>
      <c r="BO2935" s="4">
        <v>43283.249259259261</v>
      </c>
      <c r="BP2935" t="s">
        <v>92</v>
      </c>
      <c r="BQ2935" t="s">
        <v>93</v>
      </c>
      <c r="BR2935" t="s">
        <v>94</v>
      </c>
    </row>
    <row r="2936" spans="1:70" x14ac:dyDescent="0.3">
      <c r="A2936" t="str">
        <f>"202090B0100"</f>
        <v>202090B0100</v>
      </c>
      <c r="B2936" t="s">
        <v>6094</v>
      </c>
      <c r="C2936">
        <v>20</v>
      </c>
      <c r="D2936" t="s">
        <v>88</v>
      </c>
      <c r="E2936">
        <v>484</v>
      </c>
      <c r="F2936" t="s">
        <v>6080</v>
      </c>
      <c r="G2936">
        <v>2090</v>
      </c>
      <c r="H2936">
        <v>1</v>
      </c>
      <c r="I2936" t="s">
        <v>90</v>
      </c>
      <c r="J2936">
        <v>0</v>
      </c>
      <c r="K2936">
        <v>1</v>
      </c>
      <c r="L2936">
        <v>5</v>
      </c>
      <c r="M2936">
        <v>194</v>
      </c>
      <c r="N2936">
        <v>380</v>
      </c>
      <c r="O2936">
        <v>0</v>
      </c>
      <c r="P2936">
        <v>380</v>
      </c>
      <c r="Q2936">
        <v>11</v>
      </c>
      <c r="R2936">
        <v>77</v>
      </c>
      <c r="S2936">
        <v>132</v>
      </c>
      <c r="T2936">
        <v>3</v>
      </c>
      <c r="U2936">
        <v>5</v>
      </c>
      <c r="V2936">
        <v>3</v>
      </c>
      <c r="W2936">
        <v>0</v>
      </c>
      <c r="X2936">
        <v>3</v>
      </c>
      <c r="Y2936">
        <v>123</v>
      </c>
      <c r="Z2936">
        <v>0</v>
      </c>
      <c r="AA2936">
        <v>1</v>
      </c>
      <c r="AC2936">
        <v>2</v>
      </c>
      <c r="AD2936">
        <v>2</v>
      </c>
      <c r="AE2936">
        <v>0</v>
      </c>
      <c r="AF2936">
        <v>0</v>
      </c>
      <c r="AG2936">
        <v>4</v>
      </c>
      <c r="AH2936">
        <v>0</v>
      </c>
      <c r="AI2936">
        <v>0</v>
      </c>
      <c r="AJ2936">
        <v>0</v>
      </c>
      <c r="AK2936">
        <v>3</v>
      </c>
      <c r="AL2936">
        <v>0</v>
      </c>
      <c r="AM2936">
        <v>0</v>
      </c>
      <c r="AN2936">
        <v>0</v>
      </c>
      <c r="BC2936">
        <v>0</v>
      </c>
      <c r="BD2936">
        <v>11</v>
      </c>
      <c r="BE2936">
        <v>380</v>
      </c>
      <c r="BF2936">
        <v>380</v>
      </c>
      <c r="BG2936">
        <v>552</v>
      </c>
      <c r="BJ2936">
        <v>1</v>
      </c>
      <c r="BL2936" t="s">
        <v>6095</v>
      </c>
      <c r="BM2936" s="4">
        <v>43283.209722222222</v>
      </c>
      <c r="BN2936" s="4">
        <v>43283.233148148145</v>
      </c>
      <c r="BO2936" s="4">
        <v>43283.233148148145</v>
      </c>
      <c r="BP2936" t="s">
        <v>92</v>
      </c>
      <c r="BQ2936" t="s">
        <v>93</v>
      </c>
      <c r="BR2936" t="s">
        <v>94</v>
      </c>
    </row>
    <row r="2937" spans="1:70" x14ac:dyDescent="0.3">
      <c r="A2937" t="str">
        <f>"202090C0100"</f>
        <v>202090C0100</v>
      </c>
      <c r="B2937" t="s">
        <v>6096</v>
      </c>
      <c r="C2937">
        <v>20</v>
      </c>
      <c r="D2937" t="s">
        <v>88</v>
      </c>
      <c r="E2937">
        <v>484</v>
      </c>
      <c r="F2937" t="s">
        <v>6080</v>
      </c>
      <c r="G2937">
        <v>2090</v>
      </c>
      <c r="H2937">
        <v>1</v>
      </c>
      <c r="I2937" t="s">
        <v>98</v>
      </c>
      <c r="J2937">
        <v>0</v>
      </c>
      <c r="K2937">
        <v>1</v>
      </c>
      <c r="L2937">
        <v>5</v>
      </c>
      <c r="M2937">
        <v>207</v>
      </c>
      <c r="N2937">
        <v>367</v>
      </c>
      <c r="O2937">
        <v>0</v>
      </c>
      <c r="P2937">
        <v>366</v>
      </c>
      <c r="Q2937">
        <v>7</v>
      </c>
      <c r="R2937">
        <v>78</v>
      </c>
      <c r="S2937">
        <v>126</v>
      </c>
      <c r="T2937">
        <v>0</v>
      </c>
      <c r="U2937">
        <v>8</v>
      </c>
      <c r="V2937">
        <v>4</v>
      </c>
      <c r="W2937">
        <v>3</v>
      </c>
      <c r="X2937">
        <v>1</v>
      </c>
      <c r="Y2937">
        <v>115</v>
      </c>
      <c r="Z2937">
        <v>0</v>
      </c>
      <c r="AA2937">
        <v>0</v>
      </c>
      <c r="AC2937">
        <v>2</v>
      </c>
      <c r="AD2937">
        <v>1</v>
      </c>
      <c r="AE2937">
        <v>0</v>
      </c>
      <c r="AF2937">
        <v>0</v>
      </c>
      <c r="AG2937">
        <v>0</v>
      </c>
      <c r="AH2937">
        <v>4</v>
      </c>
      <c r="AI2937">
        <v>1</v>
      </c>
      <c r="AJ2937">
        <v>0</v>
      </c>
      <c r="AK2937">
        <v>1</v>
      </c>
      <c r="AL2937">
        <v>2</v>
      </c>
      <c r="AM2937">
        <v>0</v>
      </c>
      <c r="AN2937">
        <v>0</v>
      </c>
      <c r="BC2937">
        <v>0</v>
      </c>
      <c r="BD2937">
        <v>13</v>
      </c>
      <c r="BE2937">
        <v>366</v>
      </c>
      <c r="BF2937">
        <v>366</v>
      </c>
      <c r="BG2937">
        <v>551</v>
      </c>
      <c r="BJ2937">
        <v>1</v>
      </c>
      <c r="BL2937" t="s">
        <v>6097</v>
      </c>
      <c r="BM2937" s="4">
        <v>43283.210416666669</v>
      </c>
      <c r="BN2937" s="4">
        <v>43283.233252314814</v>
      </c>
      <c r="BO2937" s="4">
        <v>43283.233252314814</v>
      </c>
      <c r="BP2937" t="s">
        <v>92</v>
      </c>
      <c r="BQ2937" t="s">
        <v>93</v>
      </c>
      <c r="BR2937" t="s">
        <v>94</v>
      </c>
    </row>
    <row r="2938" spans="1:70" x14ac:dyDescent="0.3">
      <c r="A2938" t="str">
        <f>"202091B0100"</f>
        <v>202091B0100</v>
      </c>
      <c r="B2938" t="s">
        <v>6098</v>
      </c>
      <c r="C2938">
        <v>20</v>
      </c>
      <c r="D2938" t="s">
        <v>88</v>
      </c>
      <c r="E2938">
        <v>484</v>
      </c>
      <c r="F2938" t="s">
        <v>6080</v>
      </c>
      <c r="G2938">
        <v>2091</v>
      </c>
      <c r="H2938">
        <v>1</v>
      </c>
      <c r="I2938" t="s">
        <v>90</v>
      </c>
      <c r="J2938">
        <v>0</v>
      </c>
      <c r="K2938">
        <v>1</v>
      </c>
      <c r="L2938">
        <v>5</v>
      </c>
      <c r="M2938">
        <v>202</v>
      </c>
      <c r="N2938">
        <v>360</v>
      </c>
      <c r="O2938">
        <v>0</v>
      </c>
      <c r="P2938">
        <v>356</v>
      </c>
      <c r="Q2938">
        <v>6</v>
      </c>
      <c r="R2938">
        <v>67</v>
      </c>
      <c r="S2938">
        <v>147</v>
      </c>
      <c r="T2938">
        <v>1</v>
      </c>
      <c r="U2938">
        <v>5</v>
      </c>
      <c r="V2938">
        <v>0</v>
      </c>
      <c r="W2938">
        <v>2</v>
      </c>
      <c r="X2938">
        <v>2</v>
      </c>
      <c r="Y2938">
        <v>101</v>
      </c>
      <c r="Z2938">
        <v>3</v>
      </c>
      <c r="AA2938">
        <v>1</v>
      </c>
      <c r="AC2938">
        <v>2</v>
      </c>
      <c r="AD2938">
        <v>4</v>
      </c>
      <c r="AE2938">
        <v>0</v>
      </c>
      <c r="AF2938">
        <v>0</v>
      </c>
      <c r="AG2938">
        <v>0</v>
      </c>
      <c r="AH2938">
        <v>0</v>
      </c>
      <c r="AI2938">
        <v>0</v>
      </c>
      <c r="AJ2938">
        <v>0</v>
      </c>
      <c r="AK2938">
        <v>1</v>
      </c>
      <c r="AL2938">
        <v>1</v>
      </c>
      <c r="AM2938">
        <v>0</v>
      </c>
      <c r="AN2938">
        <v>1</v>
      </c>
      <c r="BC2938">
        <v>0</v>
      </c>
      <c r="BD2938">
        <v>12</v>
      </c>
      <c r="BE2938">
        <v>356</v>
      </c>
      <c r="BF2938">
        <v>356</v>
      </c>
      <c r="BG2938">
        <v>540</v>
      </c>
      <c r="BJ2938">
        <v>1</v>
      </c>
      <c r="BL2938" t="s">
        <v>6099</v>
      </c>
      <c r="BM2938" s="4">
        <v>43283.359027777777</v>
      </c>
      <c r="BN2938" s="4">
        <v>43283.375914351855</v>
      </c>
      <c r="BO2938" s="4">
        <v>43283.375914351855</v>
      </c>
      <c r="BP2938" t="s">
        <v>92</v>
      </c>
      <c r="BQ2938" t="s">
        <v>93</v>
      </c>
      <c r="BR2938" t="s">
        <v>94</v>
      </c>
    </row>
    <row r="2939" spans="1:70" x14ac:dyDescent="0.3">
      <c r="A2939" t="str">
        <f>"202091C0100"</f>
        <v>202091C0100</v>
      </c>
      <c r="B2939" t="s">
        <v>6100</v>
      </c>
      <c r="C2939">
        <v>20</v>
      </c>
      <c r="D2939" t="s">
        <v>88</v>
      </c>
      <c r="E2939">
        <v>484</v>
      </c>
      <c r="F2939" t="s">
        <v>6080</v>
      </c>
      <c r="G2939">
        <v>2091</v>
      </c>
      <c r="H2939">
        <v>1</v>
      </c>
      <c r="I2939" t="s">
        <v>98</v>
      </c>
      <c r="J2939">
        <v>0</v>
      </c>
      <c r="K2939">
        <v>1</v>
      </c>
      <c r="L2939">
        <v>5</v>
      </c>
      <c r="M2939">
        <v>204</v>
      </c>
      <c r="N2939">
        <v>353</v>
      </c>
      <c r="O2939">
        <v>3</v>
      </c>
      <c r="P2939">
        <v>359</v>
      </c>
      <c r="Q2939">
        <v>6</v>
      </c>
      <c r="R2939">
        <v>57</v>
      </c>
      <c r="S2939">
        <v>165</v>
      </c>
      <c r="T2939">
        <v>1</v>
      </c>
      <c r="U2939">
        <v>6</v>
      </c>
      <c r="V2939">
        <v>4</v>
      </c>
      <c r="W2939">
        <v>4</v>
      </c>
      <c r="X2939">
        <v>2</v>
      </c>
      <c r="Y2939">
        <v>94</v>
      </c>
      <c r="Z2939">
        <v>1</v>
      </c>
      <c r="AA2939">
        <v>0</v>
      </c>
      <c r="AC2939">
        <v>1</v>
      </c>
      <c r="AD2939">
        <v>1</v>
      </c>
      <c r="AE2939">
        <v>0</v>
      </c>
      <c r="AF2939">
        <v>1</v>
      </c>
      <c r="AG2939">
        <v>0</v>
      </c>
      <c r="AH2939">
        <v>1</v>
      </c>
      <c r="AI2939">
        <v>0</v>
      </c>
      <c r="AJ2939">
        <v>0</v>
      </c>
      <c r="AK2939">
        <v>1</v>
      </c>
      <c r="AL2939">
        <v>0</v>
      </c>
      <c r="AM2939">
        <v>0</v>
      </c>
      <c r="AN2939">
        <v>1</v>
      </c>
      <c r="BC2939">
        <v>0</v>
      </c>
      <c r="BD2939">
        <v>13</v>
      </c>
      <c r="BE2939">
        <v>359</v>
      </c>
      <c r="BF2939">
        <v>359</v>
      </c>
      <c r="BG2939">
        <v>539</v>
      </c>
      <c r="BJ2939">
        <v>1</v>
      </c>
      <c r="BL2939" t="s">
        <v>6101</v>
      </c>
      <c r="BM2939" s="4">
        <v>43283.359027777777</v>
      </c>
      <c r="BN2939" s="4">
        <v>43283.392928240741</v>
      </c>
      <c r="BO2939" s="4">
        <v>43283.392928240741</v>
      </c>
      <c r="BP2939" t="s">
        <v>92</v>
      </c>
      <c r="BQ2939" t="s">
        <v>93</v>
      </c>
      <c r="BR2939" t="s">
        <v>94</v>
      </c>
    </row>
    <row r="2940" spans="1:70" x14ac:dyDescent="0.3">
      <c r="A2940" t="str">
        <f>"202091C0200"</f>
        <v>202091C0200</v>
      </c>
      <c r="B2940" t="s">
        <v>6102</v>
      </c>
      <c r="C2940">
        <v>20</v>
      </c>
      <c r="D2940" t="s">
        <v>88</v>
      </c>
      <c r="E2940">
        <v>484</v>
      </c>
      <c r="F2940" t="s">
        <v>6080</v>
      </c>
      <c r="G2940">
        <v>2091</v>
      </c>
      <c r="H2940">
        <v>2</v>
      </c>
      <c r="I2940" t="s">
        <v>98</v>
      </c>
      <c r="J2940">
        <v>0</v>
      </c>
      <c r="K2940">
        <v>1</v>
      </c>
      <c r="L2940">
        <v>5</v>
      </c>
      <c r="M2940">
        <v>208</v>
      </c>
      <c r="N2940">
        <v>353</v>
      </c>
      <c r="O2940">
        <v>3</v>
      </c>
      <c r="P2940">
        <v>354</v>
      </c>
      <c r="Q2940">
        <v>3</v>
      </c>
      <c r="R2940">
        <v>52</v>
      </c>
      <c r="S2940">
        <v>162</v>
      </c>
      <c r="T2940">
        <v>1</v>
      </c>
      <c r="U2940">
        <v>12</v>
      </c>
      <c r="V2940">
        <v>2</v>
      </c>
      <c r="W2940">
        <v>1</v>
      </c>
      <c r="X2940">
        <v>0</v>
      </c>
      <c r="Y2940">
        <v>99</v>
      </c>
      <c r="Z2940">
        <v>1</v>
      </c>
      <c r="AA2940">
        <v>1</v>
      </c>
      <c r="AC2940">
        <v>1</v>
      </c>
      <c r="AD2940">
        <v>0</v>
      </c>
      <c r="AE2940">
        <v>0</v>
      </c>
      <c r="AF2940">
        <v>2</v>
      </c>
      <c r="AG2940">
        <v>1</v>
      </c>
      <c r="AH2940">
        <v>1</v>
      </c>
      <c r="AI2940">
        <v>0</v>
      </c>
      <c r="AJ2940">
        <v>0</v>
      </c>
      <c r="AK2940">
        <v>2</v>
      </c>
      <c r="AL2940">
        <v>0</v>
      </c>
      <c r="AM2940">
        <v>0</v>
      </c>
      <c r="AN2940">
        <v>0</v>
      </c>
      <c r="BC2940">
        <v>0</v>
      </c>
      <c r="BD2940">
        <v>13</v>
      </c>
      <c r="BE2940">
        <v>354</v>
      </c>
      <c r="BF2940">
        <v>354</v>
      </c>
      <c r="BG2940">
        <v>539</v>
      </c>
      <c r="BJ2940">
        <v>1</v>
      </c>
      <c r="BL2940" t="s">
        <v>6103</v>
      </c>
      <c r="BM2940" s="4">
        <v>43283.351388888892</v>
      </c>
      <c r="BN2940" s="4">
        <v>43283.374502314815</v>
      </c>
      <c r="BO2940" s="4">
        <v>43283.374502314815</v>
      </c>
      <c r="BP2940" t="s">
        <v>92</v>
      </c>
      <c r="BQ2940" t="s">
        <v>93</v>
      </c>
      <c r="BR2940" t="s">
        <v>94</v>
      </c>
    </row>
    <row r="2941" spans="1:70" x14ac:dyDescent="0.3">
      <c r="A2941" t="str">
        <f>"202092B0100"</f>
        <v>202092B0100</v>
      </c>
      <c r="B2941" t="s">
        <v>6104</v>
      </c>
      <c r="C2941">
        <v>20</v>
      </c>
      <c r="D2941" t="s">
        <v>88</v>
      </c>
      <c r="E2941">
        <v>484</v>
      </c>
      <c r="F2941" t="s">
        <v>6080</v>
      </c>
      <c r="G2941">
        <v>2092</v>
      </c>
      <c r="H2941">
        <v>1</v>
      </c>
      <c r="I2941" t="s">
        <v>90</v>
      </c>
      <c r="J2941">
        <v>0</v>
      </c>
      <c r="K2941">
        <v>1</v>
      </c>
      <c r="L2941">
        <v>5</v>
      </c>
      <c r="M2941">
        <v>166</v>
      </c>
      <c r="N2941">
        <v>403</v>
      </c>
      <c r="O2941">
        <v>6</v>
      </c>
      <c r="P2941">
        <v>403</v>
      </c>
      <c r="Q2941">
        <v>6</v>
      </c>
      <c r="R2941">
        <v>81</v>
      </c>
      <c r="S2941">
        <v>167</v>
      </c>
      <c r="T2941">
        <v>1</v>
      </c>
      <c r="U2941">
        <v>8</v>
      </c>
      <c r="V2941">
        <v>4</v>
      </c>
      <c r="W2941">
        <v>3</v>
      </c>
      <c r="X2941">
        <v>0</v>
      </c>
      <c r="Y2941">
        <v>106</v>
      </c>
      <c r="Z2941">
        <v>3</v>
      </c>
      <c r="AA2941">
        <v>2</v>
      </c>
      <c r="AC2941">
        <v>6</v>
      </c>
      <c r="AD2941">
        <v>2</v>
      </c>
      <c r="AE2941">
        <v>0</v>
      </c>
      <c r="AF2941">
        <v>0</v>
      </c>
      <c r="AG2941">
        <v>0</v>
      </c>
      <c r="AH2941">
        <v>0</v>
      </c>
      <c r="AI2941">
        <v>0</v>
      </c>
      <c r="AJ2941">
        <v>0</v>
      </c>
      <c r="AK2941">
        <v>0</v>
      </c>
      <c r="AL2941">
        <v>1</v>
      </c>
      <c r="AM2941">
        <v>0</v>
      </c>
      <c r="AN2941">
        <v>0</v>
      </c>
      <c r="BC2941">
        <v>0</v>
      </c>
      <c r="BD2941">
        <v>13</v>
      </c>
      <c r="BE2941">
        <v>403</v>
      </c>
      <c r="BF2941">
        <v>403</v>
      </c>
      <c r="BG2941">
        <v>547</v>
      </c>
      <c r="BJ2941">
        <v>1</v>
      </c>
      <c r="BL2941" t="s">
        <v>6105</v>
      </c>
      <c r="BM2941" s="4">
        <v>43283.211111111108</v>
      </c>
      <c r="BN2941" s="4">
        <v>43283.234942129631</v>
      </c>
      <c r="BO2941" s="4">
        <v>43283.234942129631</v>
      </c>
      <c r="BP2941" t="s">
        <v>92</v>
      </c>
      <c r="BQ2941" t="s">
        <v>93</v>
      </c>
      <c r="BR2941" t="s">
        <v>94</v>
      </c>
    </row>
    <row r="2942" spans="1:70" x14ac:dyDescent="0.3">
      <c r="A2942" t="str">
        <f>"202092C0100"</f>
        <v>202092C0100</v>
      </c>
      <c r="B2942" t="s">
        <v>6106</v>
      </c>
      <c r="C2942">
        <v>20</v>
      </c>
      <c r="D2942" t="s">
        <v>88</v>
      </c>
      <c r="E2942">
        <v>484</v>
      </c>
      <c r="F2942" t="s">
        <v>6080</v>
      </c>
      <c r="G2942">
        <v>2092</v>
      </c>
      <c r="H2942">
        <v>1</v>
      </c>
      <c r="I2942" t="s">
        <v>98</v>
      </c>
      <c r="J2942">
        <v>0</v>
      </c>
      <c r="K2942">
        <v>1</v>
      </c>
      <c r="L2942">
        <v>5</v>
      </c>
      <c r="BG2942">
        <v>547</v>
      </c>
      <c r="BI2942" t="s">
        <v>122</v>
      </c>
      <c r="BJ2942">
        <v>0</v>
      </c>
      <c r="BL2942" t="s">
        <v>6107</v>
      </c>
      <c r="BM2942" s="4">
        <v>43283.756944444445</v>
      </c>
      <c r="BN2942" s="4">
        <v>43283.758402777778</v>
      </c>
      <c r="BO2942" s="4">
        <v>43283.758402777778</v>
      </c>
      <c r="BP2942" t="s">
        <v>92</v>
      </c>
      <c r="BQ2942" t="s">
        <v>93</v>
      </c>
      <c r="BR2942" t="s">
        <v>94</v>
      </c>
    </row>
    <row r="2943" spans="1:70" x14ac:dyDescent="0.3">
      <c r="A2943" t="str">
        <f>"202092C0200"</f>
        <v>202092C0200</v>
      </c>
      <c r="B2943" t="s">
        <v>6108</v>
      </c>
      <c r="C2943">
        <v>20</v>
      </c>
      <c r="D2943" t="s">
        <v>88</v>
      </c>
      <c r="E2943">
        <v>484</v>
      </c>
      <c r="F2943" t="s">
        <v>6080</v>
      </c>
      <c r="G2943">
        <v>2092</v>
      </c>
      <c r="H2943">
        <v>2</v>
      </c>
      <c r="I2943" t="s">
        <v>98</v>
      </c>
      <c r="J2943">
        <v>0</v>
      </c>
      <c r="K2943">
        <v>1</v>
      </c>
      <c r="L2943">
        <v>5</v>
      </c>
      <c r="M2943">
        <v>182</v>
      </c>
      <c r="N2943">
        <v>383</v>
      </c>
      <c r="O2943">
        <v>5</v>
      </c>
      <c r="P2943">
        <v>387</v>
      </c>
      <c r="Q2943">
        <v>11</v>
      </c>
      <c r="R2943">
        <v>82</v>
      </c>
      <c r="S2943">
        <v>160</v>
      </c>
      <c r="T2943" t="s">
        <v>105</v>
      </c>
      <c r="U2943">
        <v>4</v>
      </c>
      <c r="V2943">
        <v>4</v>
      </c>
      <c r="W2943">
        <v>6</v>
      </c>
      <c r="X2943" t="s">
        <v>105</v>
      </c>
      <c r="Y2943">
        <v>104</v>
      </c>
      <c r="Z2943">
        <v>3</v>
      </c>
      <c r="AA2943" t="s">
        <v>105</v>
      </c>
      <c r="AC2943">
        <v>1</v>
      </c>
      <c r="AD2943" t="s">
        <v>105</v>
      </c>
      <c r="AE2943" t="s">
        <v>105</v>
      </c>
      <c r="AF2943">
        <v>2</v>
      </c>
      <c r="AG2943" t="s">
        <v>105</v>
      </c>
      <c r="AH2943" t="s">
        <v>105</v>
      </c>
      <c r="AI2943" t="s">
        <v>105</v>
      </c>
      <c r="AJ2943" t="s">
        <v>105</v>
      </c>
      <c r="AK2943">
        <v>3</v>
      </c>
      <c r="AL2943" t="s">
        <v>105</v>
      </c>
      <c r="AM2943" t="s">
        <v>105</v>
      </c>
      <c r="AN2943">
        <v>1</v>
      </c>
      <c r="BC2943" t="s">
        <v>105</v>
      </c>
      <c r="BD2943">
        <v>6</v>
      </c>
      <c r="BE2943">
        <v>387</v>
      </c>
      <c r="BF2943">
        <v>387</v>
      </c>
      <c r="BG2943">
        <v>547</v>
      </c>
      <c r="BI2943" t="s">
        <v>106</v>
      </c>
      <c r="BJ2943">
        <v>1</v>
      </c>
      <c r="BL2943" t="s">
        <v>6109</v>
      </c>
      <c r="BM2943" s="4">
        <v>43283.211111111108</v>
      </c>
      <c r="BN2943" s="4">
        <v>43283.238854166666</v>
      </c>
      <c r="BO2943" s="4">
        <v>43283.238854166666</v>
      </c>
      <c r="BP2943" t="s">
        <v>92</v>
      </c>
      <c r="BQ2943" t="s">
        <v>93</v>
      </c>
      <c r="BR2943" t="s">
        <v>94</v>
      </c>
    </row>
    <row r="2944" spans="1:70" x14ac:dyDescent="0.3">
      <c r="A2944" t="str">
        <f>"202093B0100"</f>
        <v>202093B0100</v>
      </c>
      <c r="B2944" t="s">
        <v>6110</v>
      </c>
      <c r="C2944">
        <v>20</v>
      </c>
      <c r="D2944" t="s">
        <v>88</v>
      </c>
      <c r="E2944">
        <v>484</v>
      </c>
      <c r="F2944" t="s">
        <v>6080</v>
      </c>
      <c r="G2944">
        <v>2093</v>
      </c>
      <c r="H2944">
        <v>1</v>
      </c>
      <c r="I2944" t="s">
        <v>90</v>
      </c>
      <c r="J2944">
        <v>0</v>
      </c>
      <c r="K2944">
        <v>1</v>
      </c>
      <c r="L2944">
        <v>5</v>
      </c>
      <c r="BG2944">
        <v>717</v>
      </c>
      <c r="BI2944" t="s">
        <v>122</v>
      </c>
      <c r="BJ2944">
        <v>0</v>
      </c>
      <c r="BL2944" t="s">
        <v>6111</v>
      </c>
      <c r="BM2944" s="4">
        <v>43283.756944444445</v>
      </c>
      <c r="BN2944" s="4">
        <v>43283.758912037039</v>
      </c>
      <c r="BO2944" s="4">
        <v>43283.758912037039</v>
      </c>
      <c r="BP2944" t="s">
        <v>92</v>
      </c>
      <c r="BQ2944" t="s">
        <v>93</v>
      </c>
      <c r="BR2944" t="s">
        <v>94</v>
      </c>
    </row>
    <row r="2945" spans="1:70" x14ac:dyDescent="0.3">
      <c r="A2945" t="str">
        <f>"202093C0100"</f>
        <v>202093C0100</v>
      </c>
      <c r="B2945" t="s">
        <v>6112</v>
      </c>
      <c r="C2945">
        <v>20</v>
      </c>
      <c r="D2945" t="s">
        <v>88</v>
      </c>
      <c r="E2945">
        <v>484</v>
      </c>
      <c r="F2945" t="s">
        <v>6080</v>
      </c>
      <c r="G2945">
        <v>2093</v>
      </c>
      <c r="H2945">
        <v>1</v>
      </c>
      <c r="I2945" t="s">
        <v>98</v>
      </c>
      <c r="J2945">
        <v>0</v>
      </c>
      <c r="K2945">
        <v>1</v>
      </c>
      <c r="L2945">
        <v>5</v>
      </c>
      <c r="BG2945">
        <v>716</v>
      </c>
      <c r="BI2945" t="s">
        <v>122</v>
      </c>
      <c r="BJ2945">
        <v>0</v>
      </c>
      <c r="BL2945" t="s">
        <v>6113</v>
      </c>
      <c r="BM2945" s="4">
        <v>43283.756944444445</v>
      </c>
      <c r="BN2945" s="4">
        <v>43283.759016203701</v>
      </c>
      <c r="BO2945" s="4">
        <v>43283.759016203701</v>
      </c>
      <c r="BP2945" t="s">
        <v>92</v>
      </c>
      <c r="BQ2945" t="s">
        <v>93</v>
      </c>
      <c r="BR2945" t="s">
        <v>94</v>
      </c>
    </row>
    <row r="2946" spans="1:70" x14ac:dyDescent="0.3">
      <c r="A2946" t="str">
        <f>"202094B0100"</f>
        <v>202094B0100</v>
      </c>
      <c r="B2946" t="s">
        <v>6114</v>
      </c>
      <c r="C2946">
        <v>20</v>
      </c>
      <c r="D2946" t="s">
        <v>88</v>
      </c>
      <c r="E2946">
        <v>484</v>
      </c>
      <c r="F2946" t="s">
        <v>6080</v>
      </c>
      <c r="G2946">
        <v>2094</v>
      </c>
      <c r="H2946">
        <v>1</v>
      </c>
      <c r="I2946" t="s">
        <v>90</v>
      </c>
      <c r="J2946">
        <v>0</v>
      </c>
      <c r="K2946">
        <v>1</v>
      </c>
      <c r="L2946">
        <v>5</v>
      </c>
      <c r="M2946">
        <v>234</v>
      </c>
      <c r="N2946">
        <v>391</v>
      </c>
      <c r="O2946">
        <v>9</v>
      </c>
      <c r="P2946">
        <v>392</v>
      </c>
      <c r="Q2946">
        <v>7</v>
      </c>
      <c r="R2946">
        <v>73</v>
      </c>
      <c r="S2946">
        <v>154</v>
      </c>
      <c r="T2946">
        <v>1</v>
      </c>
      <c r="U2946">
        <v>14</v>
      </c>
      <c r="V2946">
        <v>4</v>
      </c>
      <c r="W2946">
        <v>1</v>
      </c>
      <c r="X2946">
        <v>0</v>
      </c>
      <c r="Y2946">
        <v>111</v>
      </c>
      <c r="Z2946">
        <v>1</v>
      </c>
      <c r="AA2946">
        <v>1</v>
      </c>
      <c r="AC2946">
        <v>1</v>
      </c>
      <c r="AD2946">
        <v>1</v>
      </c>
      <c r="AE2946">
        <v>0</v>
      </c>
      <c r="AF2946">
        <v>1</v>
      </c>
      <c r="AG2946">
        <v>1</v>
      </c>
      <c r="AH2946">
        <v>1</v>
      </c>
      <c r="AI2946">
        <v>0</v>
      </c>
      <c r="AJ2946">
        <v>0</v>
      </c>
      <c r="AK2946">
        <v>4</v>
      </c>
      <c r="AL2946">
        <v>2</v>
      </c>
      <c r="AM2946">
        <v>0</v>
      </c>
      <c r="AN2946">
        <v>1</v>
      </c>
      <c r="BC2946">
        <v>0</v>
      </c>
      <c r="BD2946">
        <v>12</v>
      </c>
      <c r="BE2946">
        <v>392</v>
      </c>
      <c r="BF2946">
        <v>391</v>
      </c>
      <c r="BG2946">
        <v>603</v>
      </c>
      <c r="BJ2946">
        <v>1</v>
      </c>
      <c r="BL2946" t="s">
        <v>6115</v>
      </c>
      <c r="BM2946" s="4">
        <v>43283.213194444441</v>
      </c>
      <c r="BN2946" s="4">
        <v>43283.246076388888</v>
      </c>
      <c r="BO2946" s="4">
        <v>43283.246076388888</v>
      </c>
      <c r="BP2946" t="s">
        <v>92</v>
      </c>
      <c r="BQ2946" t="s">
        <v>93</v>
      </c>
      <c r="BR2946" t="s">
        <v>94</v>
      </c>
    </row>
    <row r="2947" spans="1:70" x14ac:dyDescent="0.3">
      <c r="A2947" t="str">
        <f>"202094C0100"</f>
        <v>202094C0100</v>
      </c>
      <c r="B2947" t="s">
        <v>6116</v>
      </c>
      <c r="C2947">
        <v>20</v>
      </c>
      <c r="D2947" t="s">
        <v>88</v>
      </c>
      <c r="E2947">
        <v>484</v>
      </c>
      <c r="F2947" t="s">
        <v>6080</v>
      </c>
      <c r="G2947">
        <v>2094</v>
      </c>
      <c r="H2947">
        <v>1</v>
      </c>
      <c r="I2947" t="s">
        <v>98</v>
      </c>
      <c r="J2947">
        <v>0</v>
      </c>
      <c r="K2947">
        <v>1</v>
      </c>
      <c r="L2947">
        <v>5</v>
      </c>
      <c r="M2947">
        <v>220</v>
      </c>
      <c r="N2947">
        <v>411</v>
      </c>
      <c r="O2947">
        <v>8</v>
      </c>
      <c r="P2947" t="s">
        <v>105</v>
      </c>
      <c r="Q2947">
        <v>7</v>
      </c>
      <c r="R2947">
        <v>71</v>
      </c>
      <c r="S2947">
        <v>142</v>
      </c>
      <c r="T2947">
        <v>1</v>
      </c>
      <c r="U2947">
        <v>8</v>
      </c>
      <c r="V2947">
        <v>4</v>
      </c>
      <c r="W2947">
        <v>0</v>
      </c>
      <c r="X2947">
        <v>0</v>
      </c>
      <c r="Y2947">
        <v>151</v>
      </c>
      <c r="Z2947">
        <v>2</v>
      </c>
      <c r="AA2947">
        <v>1</v>
      </c>
      <c r="AC2947">
        <v>3</v>
      </c>
      <c r="AD2947">
        <v>2</v>
      </c>
      <c r="AE2947">
        <v>1</v>
      </c>
      <c r="AF2947" t="s">
        <v>127</v>
      </c>
      <c r="AG2947">
        <v>0</v>
      </c>
      <c r="AH2947">
        <v>2</v>
      </c>
      <c r="AI2947">
        <v>0</v>
      </c>
      <c r="AJ2947">
        <v>0</v>
      </c>
      <c r="AK2947">
        <v>1</v>
      </c>
      <c r="AL2947">
        <v>0</v>
      </c>
      <c r="AM2947">
        <v>0</v>
      </c>
      <c r="AN2947">
        <v>0</v>
      </c>
      <c r="BC2947" t="s">
        <v>105</v>
      </c>
      <c r="BD2947">
        <v>11</v>
      </c>
      <c r="BE2947">
        <v>408</v>
      </c>
      <c r="BF2947">
        <v>407</v>
      </c>
      <c r="BG2947">
        <v>602</v>
      </c>
      <c r="BI2947" t="s">
        <v>106</v>
      </c>
      <c r="BJ2947">
        <v>1</v>
      </c>
      <c r="BL2947" t="s">
        <v>6117</v>
      </c>
      <c r="BM2947" s="4">
        <v>43283.213194444441</v>
      </c>
      <c r="BN2947" s="4">
        <v>43283.252581018518</v>
      </c>
      <c r="BO2947" s="4">
        <v>43283.252581018518</v>
      </c>
      <c r="BP2947" t="s">
        <v>92</v>
      </c>
      <c r="BQ2947" t="s">
        <v>93</v>
      </c>
      <c r="BR2947" t="s">
        <v>94</v>
      </c>
    </row>
    <row r="2948" spans="1:70" x14ac:dyDescent="0.3">
      <c r="A2948" t="str">
        <f>"202094C0200"</f>
        <v>202094C0200</v>
      </c>
      <c r="B2948" t="s">
        <v>6118</v>
      </c>
      <c r="C2948">
        <v>20</v>
      </c>
      <c r="D2948" t="s">
        <v>88</v>
      </c>
      <c r="E2948">
        <v>484</v>
      </c>
      <c r="F2948" t="s">
        <v>6080</v>
      </c>
      <c r="G2948">
        <v>2094</v>
      </c>
      <c r="H2948">
        <v>2</v>
      </c>
      <c r="I2948" t="s">
        <v>98</v>
      </c>
      <c r="J2948">
        <v>0</v>
      </c>
      <c r="K2948">
        <v>1</v>
      </c>
      <c r="L2948">
        <v>5</v>
      </c>
      <c r="M2948">
        <v>239</v>
      </c>
      <c r="N2948">
        <v>385</v>
      </c>
      <c r="O2948">
        <v>7</v>
      </c>
      <c r="P2948">
        <v>387</v>
      </c>
      <c r="Q2948">
        <v>4</v>
      </c>
      <c r="R2948">
        <v>67</v>
      </c>
      <c r="S2948">
        <v>142</v>
      </c>
      <c r="T2948">
        <v>1</v>
      </c>
      <c r="U2948">
        <v>4</v>
      </c>
      <c r="V2948">
        <v>5</v>
      </c>
      <c r="W2948">
        <v>2</v>
      </c>
      <c r="X2948">
        <v>1</v>
      </c>
      <c r="Y2948">
        <v>130</v>
      </c>
      <c r="Z2948">
        <v>3</v>
      </c>
      <c r="AA2948">
        <v>0</v>
      </c>
      <c r="AC2948">
        <v>3</v>
      </c>
      <c r="AD2948">
        <v>4</v>
      </c>
      <c r="AE2948">
        <v>0</v>
      </c>
      <c r="AF2948">
        <v>1</v>
      </c>
      <c r="AG2948">
        <v>1</v>
      </c>
      <c r="AH2948">
        <v>0</v>
      </c>
      <c r="AI2948">
        <v>0</v>
      </c>
      <c r="AJ2948">
        <v>0</v>
      </c>
      <c r="AK2948">
        <v>6</v>
      </c>
      <c r="AL2948">
        <v>0</v>
      </c>
      <c r="AM2948">
        <v>0</v>
      </c>
      <c r="AN2948">
        <v>1</v>
      </c>
      <c r="BC2948">
        <v>0</v>
      </c>
      <c r="BD2948">
        <v>12</v>
      </c>
      <c r="BE2948">
        <v>387</v>
      </c>
      <c r="BF2948">
        <v>387</v>
      </c>
      <c r="BG2948">
        <v>602</v>
      </c>
      <c r="BJ2948">
        <v>1</v>
      </c>
      <c r="BL2948" t="s">
        <v>6119</v>
      </c>
      <c r="BM2948" s="4">
        <v>43283.213888888888</v>
      </c>
      <c r="BN2948" s="4">
        <v>43283.251400462963</v>
      </c>
      <c r="BO2948" s="4">
        <v>43283.251400462963</v>
      </c>
      <c r="BP2948" t="s">
        <v>92</v>
      </c>
      <c r="BQ2948" t="s">
        <v>93</v>
      </c>
      <c r="BR2948" t="s">
        <v>94</v>
      </c>
    </row>
    <row r="2949" spans="1:70" x14ac:dyDescent="0.3">
      <c r="A2949" t="str">
        <f>"202095B0100"</f>
        <v>202095B0100</v>
      </c>
      <c r="B2949" t="s">
        <v>6120</v>
      </c>
      <c r="C2949">
        <v>20</v>
      </c>
      <c r="D2949" t="s">
        <v>88</v>
      </c>
      <c r="E2949">
        <v>484</v>
      </c>
      <c r="F2949" t="s">
        <v>6080</v>
      </c>
      <c r="G2949">
        <v>2095</v>
      </c>
      <c r="H2949">
        <v>1</v>
      </c>
      <c r="I2949" t="s">
        <v>90</v>
      </c>
      <c r="J2949">
        <v>0</v>
      </c>
      <c r="K2949">
        <v>1</v>
      </c>
      <c r="L2949">
        <v>5</v>
      </c>
      <c r="M2949">
        <v>241</v>
      </c>
      <c r="N2949">
        <v>407</v>
      </c>
      <c r="O2949">
        <v>6</v>
      </c>
      <c r="P2949">
        <v>408</v>
      </c>
      <c r="Q2949">
        <v>5</v>
      </c>
      <c r="R2949">
        <v>78</v>
      </c>
      <c r="S2949">
        <v>168</v>
      </c>
      <c r="T2949">
        <v>2</v>
      </c>
      <c r="U2949">
        <v>2</v>
      </c>
      <c r="V2949">
        <v>4</v>
      </c>
      <c r="W2949">
        <v>2</v>
      </c>
      <c r="X2949">
        <v>1</v>
      </c>
      <c r="Y2949">
        <v>117</v>
      </c>
      <c r="Z2949">
        <v>0</v>
      </c>
      <c r="AA2949">
        <v>1</v>
      </c>
      <c r="AC2949">
        <v>5</v>
      </c>
      <c r="AD2949">
        <v>3</v>
      </c>
      <c r="AE2949">
        <v>0</v>
      </c>
      <c r="AF2949">
        <v>1</v>
      </c>
      <c r="AG2949">
        <v>0</v>
      </c>
      <c r="AH2949">
        <v>1</v>
      </c>
      <c r="AI2949">
        <v>0</v>
      </c>
      <c r="AJ2949">
        <v>0</v>
      </c>
      <c r="AK2949">
        <v>3</v>
      </c>
      <c r="AL2949">
        <v>3</v>
      </c>
      <c r="AM2949">
        <v>1</v>
      </c>
      <c r="AN2949">
        <v>1</v>
      </c>
      <c r="BC2949">
        <v>0</v>
      </c>
      <c r="BD2949">
        <v>10</v>
      </c>
      <c r="BE2949">
        <v>408</v>
      </c>
      <c r="BF2949">
        <v>408</v>
      </c>
      <c r="BG2949">
        <v>629</v>
      </c>
      <c r="BJ2949">
        <v>1</v>
      </c>
      <c r="BL2949" t="s">
        <v>6121</v>
      </c>
      <c r="BM2949" s="4">
        <v>43283.209027777775</v>
      </c>
      <c r="BN2949" s="4">
        <v>43283.230798611112</v>
      </c>
      <c r="BO2949" s="4">
        <v>43283.230798611112</v>
      </c>
      <c r="BP2949" t="s">
        <v>92</v>
      </c>
      <c r="BQ2949" t="s">
        <v>93</v>
      </c>
      <c r="BR2949" t="s">
        <v>94</v>
      </c>
    </row>
    <row r="2950" spans="1:70" x14ac:dyDescent="0.3">
      <c r="A2950" t="str">
        <f>"202095C0100"</f>
        <v>202095C0100</v>
      </c>
      <c r="B2950" t="s">
        <v>6122</v>
      </c>
      <c r="C2950">
        <v>20</v>
      </c>
      <c r="D2950" t="s">
        <v>88</v>
      </c>
      <c r="E2950">
        <v>484</v>
      </c>
      <c r="F2950" t="s">
        <v>6080</v>
      </c>
      <c r="G2950">
        <v>2095</v>
      </c>
      <c r="H2950">
        <v>1</v>
      </c>
      <c r="I2950" t="s">
        <v>98</v>
      </c>
      <c r="J2950">
        <v>0</v>
      </c>
      <c r="K2950">
        <v>1</v>
      </c>
      <c r="L2950">
        <v>5</v>
      </c>
      <c r="M2950">
        <v>200</v>
      </c>
      <c r="N2950">
        <v>448</v>
      </c>
      <c r="O2950">
        <v>9</v>
      </c>
      <c r="P2950">
        <v>446</v>
      </c>
      <c r="Q2950">
        <v>5</v>
      </c>
      <c r="R2950">
        <v>113</v>
      </c>
      <c r="S2950">
        <v>156</v>
      </c>
      <c r="T2950">
        <v>2</v>
      </c>
      <c r="U2950">
        <v>9</v>
      </c>
      <c r="V2950">
        <v>4</v>
      </c>
      <c r="W2950">
        <v>0</v>
      </c>
      <c r="X2950">
        <v>0</v>
      </c>
      <c r="Y2950">
        <v>136</v>
      </c>
      <c r="Z2950">
        <v>1</v>
      </c>
      <c r="AA2950">
        <v>0</v>
      </c>
      <c r="AC2950">
        <v>3</v>
      </c>
      <c r="AD2950">
        <v>2</v>
      </c>
      <c r="AE2950">
        <v>0</v>
      </c>
      <c r="AF2950">
        <v>1</v>
      </c>
      <c r="AG2950">
        <v>3</v>
      </c>
      <c r="AH2950">
        <v>1</v>
      </c>
      <c r="AI2950">
        <v>0</v>
      </c>
      <c r="AJ2950">
        <v>0</v>
      </c>
      <c r="AK2950">
        <v>0</v>
      </c>
      <c r="AL2950">
        <v>0</v>
      </c>
      <c r="AM2950" t="s">
        <v>127</v>
      </c>
      <c r="AN2950">
        <v>0</v>
      </c>
      <c r="BC2950">
        <v>0</v>
      </c>
      <c r="BD2950">
        <v>9</v>
      </c>
      <c r="BE2950">
        <v>446</v>
      </c>
      <c r="BF2950">
        <v>445</v>
      </c>
      <c r="BG2950">
        <v>628</v>
      </c>
      <c r="BI2950" t="s">
        <v>106</v>
      </c>
      <c r="BJ2950">
        <v>1</v>
      </c>
      <c r="BL2950" t="s">
        <v>6123</v>
      </c>
      <c r="BM2950" s="4">
        <v>43283.209027777775</v>
      </c>
      <c r="BN2950" s="4">
        <v>43283.247037037036</v>
      </c>
      <c r="BO2950" s="4">
        <v>43283.247037037036</v>
      </c>
      <c r="BP2950" t="s">
        <v>92</v>
      </c>
      <c r="BQ2950" t="s">
        <v>93</v>
      </c>
      <c r="BR2950" t="s">
        <v>94</v>
      </c>
    </row>
    <row r="2951" spans="1:70" x14ac:dyDescent="0.3">
      <c r="A2951" t="str">
        <f>"202096B0100"</f>
        <v>202096B0100</v>
      </c>
      <c r="B2951" t="s">
        <v>6124</v>
      </c>
      <c r="C2951">
        <v>20</v>
      </c>
      <c r="D2951" t="s">
        <v>88</v>
      </c>
      <c r="E2951">
        <v>484</v>
      </c>
      <c r="F2951" t="s">
        <v>6080</v>
      </c>
      <c r="G2951">
        <v>2096</v>
      </c>
      <c r="H2951">
        <v>1</v>
      </c>
      <c r="I2951" t="s">
        <v>90</v>
      </c>
      <c r="J2951">
        <v>0</v>
      </c>
      <c r="K2951">
        <v>1</v>
      </c>
      <c r="L2951">
        <v>5</v>
      </c>
      <c r="M2951">
        <v>247</v>
      </c>
      <c r="N2951">
        <v>491</v>
      </c>
      <c r="O2951">
        <v>11</v>
      </c>
      <c r="P2951">
        <v>491</v>
      </c>
      <c r="Q2951">
        <v>8</v>
      </c>
      <c r="R2951">
        <v>81</v>
      </c>
      <c r="S2951">
        <v>149</v>
      </c>
      <c r="T2951">
        <v>1</v>
      </c>
      <c r="U2951">
        <v>5</v>
      </c>
      <c r="V2951">
        <v>4</v>
      </c>
      <c r="W2951">
        <v>2</v>
      </c>
      <c r="X2951">
        <v>2</v>
      </c>
      <c r="Y2951">
        <v>203</v>
      </c>
      <c r="Z2951">
        <v>8</v>
      </c>
      <c r="AA2951">
        <v>1</v>
      </c>
      <c r="AC2951">
        <v>2</v>
      </c>
      <c r="AD2951">
        <v>2</v>
      </c>
      <c r="AE2951">
        <v>0</v>
      </c>
      <c r="AF2951">
        <v>1</v>
      </c>
      <c r="AG2951">
        <v>3</v>
      </c>
      <c r="AH2951">
        <v>1</v>
      </c>
      <c r="AI2951">
        <v>0</v>
      </c>
      <c r="AJ2951">
        <v>0</v>
      </c>
      <c r="AK2951">
        <v>9</v>
      </c>
      <c r="AL2951">
        <v>0</v>
      </c>
      <c r="AM2951">
        <v>0</v>
      </c>
      <c r="AN2951">
        <v>0</v>
      </c>
      <c r="BC2951">
        <v>0</v>
      </c>
      <c r="BD2951">
        <v>9</v>
      </c>
      <c r="BE2951">
        <v>491</v>
      </c>
      <c r="BF2951">
        <v>491</v>
      </c>
      <c r="BG2951">
        <v>716</v>
      </c>
      <c r="BJ2951">
        <v>1</v>
      </c>
      <c r="BL2951" t="s">
        <v>6125</v>
      </c>
      <c r="BM2951" s="4">
        <v>43283.215277777781</v>
      </c>
      <c r="BN2951" s="4">
        <v>43283.237939814811</v>
      </c>
      <c r="BO2951" s="4">
        <v>43283.237939814811</v>
      </c>
      <c r="BP2951" t="s">
        <v>92</v>
      </c>
      <c r="BQ2951" t="s">
        <v>93</v>
      </c>
      <c r="BR2951" t="s">
        <v>94</v>
      </c>
    </row>
    <row r="2952" spans="1:70" x14ac:dyDescent="0.3">
      <c r="A2952" t="str">
        <f>"202096C0100"</f>
        <v>202096C0100</v>
      </c>
      <c r="B2952" t="s">
        <v>6126</v>
      </c>
      <c r="C2952">
        <v>20</v>
      </c>
      <c r="D2952" t="s">
        <v>88</v>
      </c>
      <c r="E2952">
        <v>484</v>
      </c>
      <c r="F2952" t="s">
        <v>6080</v>
      </c>
      <c r="G2952">
        <v>2096</v>
      </c>
      <c r="H2952">
        <v>1</v>
      </c>
      <c r="I2952" t="s">
        <v>98</v>
      </c>
      <c r="J2952">
        <v>0</v>
      </c>
      <c r="K2952">
        <v>1</v>
      </c>
      <c r="L2952">
        <v>5</v>
      </c>
      <c r="M2952">
        <v>251</v>
      </c>
      <c r="N2952">
        <v>485</v>
      </c>
      <c r="O2952">
        <v>8</v>
      </c>
      <c r="P2952" t="s">
        <v>105</v>
      </c>
      <c r="Q2952">
        <v>6</v>
      </c>
      <c r="R2952">
        <v>65</v>
      </c>
      <c r="S2952">
        <v>153</v>
      </c>
      <c r="T2952">
        <v>1</v>
      </c>
      <c r="U2952">
        <v>19</v>
      </c>
      <c r="V2952">
        <v>3</v>
      </c>
      <c r="W2952">
        <v>1</v>
      </c>
      <c r="X2952">
        <v>3</v>
      </c>
      <c r="Y2952">
        <v>203</v>
      </c>
      <c r="Z2952">
        <v>3</v>
      </c>
      <c r="AA2952">
        <v>0</v>
      </c>
      <c r="AC2952">
        <v>1</v>
      </c>
      <c r="AD2952">
        <v>3</v>
      </c>
      <c r="AE2952">
        <v>0</v>
      </c>
      <c r="AF2952">
        <v>0</v>
      </c>
      <c r="AG2952">
        <v>1</v>
      </c>
      <c r="AH2952">
        <v>1</v>
      </c>
      <c r="AI2952">
        <v>0</v>
      </c>
      <c r="AJ2952">
        <v>0</v>
      </c>
      <c r="AK2952">
        <v>4</v>
      </c>
      <c r="AL2952">
        <v>1</v>
      </c>
      <c r="AM2952">
        <v>0</v>
      </c>
      <c r="AN2952">
        <v>2</v>
      </c>
      <c r="BC2952">
        <v>0</v>
      </c>
      <c r="BD2952">
        <v>18</v>
      </c>
      <c r="BE2952">
        <v>487</v>
      </c>
      <c r="BF2952">
        <v>488</v>
      </c>
      <c r="BG2952">
        <v>716</v>
      </c>
      <c r="BJ2952">
        <v>1</v>
      </c>
      <c r="BL2952" t="s">
        <v>6127</v>
      </c>
      <c r="BM2952" s="4">
        <v>43283.208333333336</v>
      </c>
      <c r="BN2952" s="4">
        <v>43283.242928240739</v>
      </c>
      <c r="BO2952" s="4">
        <v>43283.242928240739</v>
      </c>
      <c r="BP2952" t="s">
        <v>92</v>
      </c>
      <c r="BQ2952" t="s">
        <v>93</v>
      </c>
      <c r="BR2952" t="s">
        <v>94</v>
      </c>
    </row>
    <row r="2953" spans="1:70" x14ac:dyDescent="0.3">
      <c r="A2953" t="str">
        <f>"202097B0100"</f>
        <v>202097B0100</v>
      </c>
      <c r="B2953" t="s">
        <v>6128</v>
      </c>
      <c r="C2953">
        <v>20</v>
      </c>
      <c r="D2953" t="s">
        <v>88</v>
      </c>
      <c r="E2953">
        <v>484</v>
      </c>
      <c r="F2953" t="s">
        <v>6080</v>
      </c>
      <c r="G2953">
        <v>2097</v>
      </c>
      <c r="H2953">
        <v>1</v>
      </c>
      <c r="I2953" t="s">
        <v>90</v>
      </c>
      <c r="J2953">
        <v>0</v>
      </c>
      <c r="K2953">
        <v>1</v>
      </c>
      <c r="L2953">
        <v>5</v>
      </c>
      <c r="M2953" t="s">
        <v>105</v>
      </c>
      <c r="N2953" t="s">
        <v>105</v>
      </c>
      <c r="O2953" t="s">
        <v>105</v>
      </c>
      <c r="P2953" t="s">
        <v>105</v>
      </c>
      <c r="Q2953">
        <v>9</v>
      </c>
      <c r="R2953">
        <v>100</v>
      </c>
      <c r="S2953">
        <v>147</v>
      </c>
      <c r="T2953">
        <v>2</v>
      </c>
      <c r="U2953">
        <v>13</v>
      </c>
      <c r="V2953">
        <v>4</v>
      </c>
      <c r="W2953">
        <v>4</v>
      </c>
      <c r="X2953">
        <v>2</v>
      </c>
      <c r="Y2953">
        <v>138</v>
      </c>
      <c r="Z2953">
        <v>0</v>
      </c>
      <c r="AA2953">
        <v>2</v>
      </c>
      <c r="AC2953">
        <v>1</v>
      </c>
      <c r="AD2953">
        <v>1</v>
      </c>
      <c r="AE2953">
        <v>0</v>
      </c>
      <c r="AF2953">
        <v>0</v>
      </c>
      <c r="AG2953">
        <v>1</v>
      </c>
      <c r="AH2953">
        <v>2</v>
      </c>
      <c r="AI2953">
        <v>0</v>
      </c>
      <c r="AJ2953">
        <v>0</v>
      </c>
      <c r="AK2953">
        <v>0</v>
      </c>
      <c r="AL2953">
        <v>0</v>
      </c>
      <c r="AM2953">
        <v>0</v>
      </c>
      <c r="AN2953">
        <v>1</v>
      </c>
      <c r="BC2953">
        <v>0</v>
      </c>
      <c r="BD2953">
        <v>16</v>
      </c>
      <c r="BE2953">
        <v>441</v>
      </c>
      <c r="BF2953">
        <v>443</v>
      </c>
      <c r="BG2953">
        <v>690</v>
      </c>
      <c r="BJ2953">
        <v>1</v>
      </c>
      <c r="BL2953" t="s">
        <v>6129</v>
      </c>
      <c r="BM2953" s="4">
        <v>43283.359027777777</v>
      </c>
      <c r="BN2953" s="4">
        <v>43283.374918981484</v>
      </c>
      <c r="BO2953" s="4">
        <v>43283.374918981484</v>
      </c>
      <c r="BP2953" t="s">
        <v>92</v>
      </c>
      <c r="BQ2953" t="s">
        <v>93</v>
      </c>
      <c r="BR2953" t="s">
        <v>94</v>
      </c>
    </row>
    <row r="2954" spans="1:70" x14ac:dyDescent="0.3">
      <c r="A2954" t="str">
        <f>"202097C0100"</f>
        <v>202097C0100</v>
      </c>
      <c r="B2954" t="s">
        <v>6130</v>
      </c>
      <c r="C2954">
        <v>20</v>
      </c>
      <c r="D2954" t="s">
        <v>88</v>
      </c>
      <c r="E2954">
        <v>484</v>
      </c>
      <c r="F2954" t="s">
        <v>6080</v>
      </c>
      <c r="G2954">
        <v>2097</v>
      </c>
      <c r="H2954">
        <v>1</v>
      </c>
      <c r="I2954" t="s">
        <v>98</v>
      </c>
      <c r="J2954">
        <v>0</v>
      </c>
      <c r="K2954">
        <v>1</v>
      </c>
      <c r="L2954">
        <v>5</v>
      </c>
      <c r="M2954">
        <v>250</v>
      </c>
      <c r="N2954">
        <v>460</v>
      </c>
      <c r="O2954">
        <v>5</v>
      </c>
      <c r="P2954">
        <v>459</v>
      </c>
      <c r="Q2954">
        <v>6</v>
      </c>
      <c r="R2954">
        <v>101</v>
      </c>
      <c r="S2954">
        <v>136</v>
      </c>
      <c r="T2954">
        <v>2</v>
      </c>
      <c r="U2954">
        <v>15</v>
      </c>
      <c r="V2954" t="s">
        <v>105</v>
      </c>
      <c r="W2954">
        <v>4</v>
      </c>
      <c r="X2954">
        <v>4</v>
      </c>
      <c r="Y2954">
        <v>152</v>
      </c>
      <c r="Z2954">
        <v>1</v>
      </c>
      <c r="AA2954">
        <v>1</v>
      </c>
      <c r="AC2954">
        <v>3</v>
      </c>
      <c r="AD2954">
        <v>2</v>
      </c>
      <c r="AE2954" t="s">
        <v>105</v>
      </c>
      <c r="AF2954">
        <v>1</v>
      </c>
      <c r="AG2954">
        <v>1</v>
      </c>
      <c r="AH2954">
        <v>1</v>
      </c>
      <c r="AI2954" t="s">
        <v>105</v>
      </c>
      <c r="AJ2954" t="s">
        <v>105</v>
      </c>
      <c r="AK2954" t="s">
        <v>105</v>
      </c>
      <c r="AL2954">
        <v>1</v>
      </c>
      <c r="AM2954" t="s">
        <v>105</v>
      </c>
      <c r="AN2954" t="s">
        <v>105</v>
      </c>
      <c r="BC2954" t="s">
        <v>105</v>
      </c>
      <c r="BD2954">
        <v>16</v>
      </c>
      <c r="BE2954">
        <v>459</v>
      </c>
      <c r="BF2954">
        <v>447</v>
      </c>
      <c r="BG2954">
        <v>689</v>
      </c>
      <c r="BI2954" t="s">
        <v>106</v>
      </c>
      <c r="BJ2954">
        <v>1</v>
      </c>
      <c r="BL2954" t="s">
        <v>6131</v>
      </c>
      <c r="BM2954" s="4">
        <v>43283.35833333333</v>
      </c>
      <c r="BN2954" s="4">
        <v>43283.375520833331</v>
      </c>
      <c r="BO2954" s="4">
        <v>43283.375520833331</v>
      </c>
      <c r="BP2954" t="s">
        <v>92</v>
      </c>
      <c r="BQ2954" t="s">
        <v>93</v>
      </c>
      <c r="BR2954" t="s">
        <v>94</v>
      </c>
    </row>
    <row r="2955" spans="1:70" x14ac:dyDescent="0.3">
      <c r="A2955" t="str">
        <f>"202097C0200"</f>
        <v>202097C0200</v>
      </c>
      <c r="B2955" t="s">
        <v>6132</v>
      </c>
      <c r="C2955">
        <v>20</v>
      </c>
      <c r="D2955" t="s">
        <v>88</v>
      </c>
      <c r="E2955">
        <v>484</v>
      </c>
      <c r="F2955" t="s">
        <v>6080</v>
      </c>
      <c r="G2955">
        <v>2097</v>
      </c>
      <c r="H2955">
        <v>2</v>
      </c>
      <c r="I2955" t="s">
        <v>98</v>
      </c>
      <c r="J2955">
        <v>0</v>
      </c>
      <c r="K2955">
        <v>1</v>
      </c>
      <c r="L2955">
        <v>5</v>
      </c>
      <c r="M2955">
        <v>257</v>
      </c>
      <c r="N2955">
        <v>454</v>
      </c>
      <c r="O2955">
        <v>2</v>
      </c>
      <c r="P2955">
        <v>454</v>
      </c>
      <c r="Q2955">
        <v>12</v>
      </c>
      <c r="R2955">
        <v>81</v>
      </c>
      <c r="S2955">
        <v>139</v>
      </c>
      <c r="T2955">
        <v>0</v>
      </c>
      <c r="U2955">
        <v>15</v>
      </c>
      <c r="V2955">
        <v>7</v>
      </c>
      <c r="W2955">
        <v>2</v>
      </c>
      <c r="X2955">
        <v>1</v>
      </c>
      <c r="Y2955">
        <v>171</v>
      </c>
      <c r="Z2955">
        <v>1</v>
      </c>
      <c r="AA2955">
        <v>1</v>
      </c>
      <c r="AC2955">
        <v>0</v>
      </c>
      <c r="AD2955">
        <v>1</v>
      </c>
      <c r="AE2955">
        <v>0</v>
      </c>
      <c r="AF2955">
        <v>0</v>
      </c>
      <c r="AG2955">
        <v>0</v>
      </c>
      <c r="AH2955">
        <v>2</v>
      </c>
      <c r="AI2955">
        <v>1</v>
      </c>
      <c r="AJ2955">
        <v>0</v>
      </c>
      <c r="AK2955">
        <v>3</v>
      </c>
      <c r="AL2955">
        <v>2</v>
      </c>
      <c r="AM2955">
        <v>3</v>
      </c>
      <c r="AN2955">
        <v>0</v>
      </c>
      <c r="BC2955">
        <v>0</v>
      </c>
      <c r="BD2955">
        <v>12</v>
      </c>
      <c r="BE2955">
        <v>454</v>
      </c>
      <c r="BF2955">
        <v>454</v>
      </c>
      <c r="BG2955">
        <v>689</v>
      </c>
      <c r="BJ2955">
        <v>1</v>
      </c>
      <c r="BL2955" s="2" t="s">
        <v>6133</v>
      </c>
      <c r="BM2955" s="4">
        <v>43283.35833333333</v>
      </c>
      <c r="BN2955" s="4">
        <v>43283.373032407406</v>
      </c>
      <c r="BO2955" s="4">
        <v>43283.373032407406</v>
      </c>
      <c r="BP2955" t="s">
        <v>92</v>
      </c>
      <c r="BQ2955" t="s">
        <v>93</v>
      </c>
      <c r="BR2955" t="s">
        <v>94</v>
      </c>
    </row>
    <row r="2956" spans="1:70" x14ac:dyDescent="0.3">
      <c r="A2956" t="str">
        <f>"202098B0100"</f>
        <v>202098B0100</v>
      </c>
      <c r="B2956" t="s">
        <v>6134</v>
      </c>
      <c r="C2956">
        <v>20</v>
      </c>
      <c r="D2956" t="s">
        <v>88</v>
      </c>
      <c r="E2956">
        <v>484</v>
      </c>
      <c r="F2956" t="s">
        <v>6080</v>
      </c>
      <c r="G2956">
        <v>2098</v>
      </c>
      <c r="H2956">
        <v>1</v>
      </c>
      <c r="I2956" t="s">
        <v>90</v>
      </c>
      <c r="J2956">
        <v>0</v>
      </c>
      <c r="K2956">
        <v>1</v>
      </c>
      <c r="L2956">
        <v>5</v>
      </c>
      <c r="M2956">
        <v>207</v>
      </c>
      <c r="N2956">
        <v>435</v>
      </c>
      <c r="O2956">
        <v>8</v>
      </c>
      <c r="P2956">
        <v>437</v>
      </c>
      <c r="Q2956">
        <v>10</v>
      </c>
      <c r="R2956">
        <v>84</v>
      </c>
      <c r="S2956">
        <v>142</v>
      </c>
      <c r="T2956">
        <v>2</v>
      </c>
      <c r="U2956">
        <v>18</v>
      </c>
      <c r="V2956">
        <v>1</v>
      </c>
      <c r="W2956">
        <v>2</v>
      </c>
      <c r="X2956">
        <v>1</v>
      </c>
      <c r="Y2956">
        <v>147</v>
      </c>
      <c r="Z2956">
        <v>0</v>
      </c>
      <c r="AA2956">
        <v>0</v>
      </c>
      <c r="AC2956">
        <v>0</v>
      </c>
      <c r="AD2956">
        <v>0</v>
      </c>
      <c r="AE2956">
        <v>0</v>
      </c>
      <c r="AF2956">
        <v>2</v>
      </c>
      <c r="AG2956">
        <v>1</v>
      </c>
      <c r="AH2956">
        <v>1</v>
      </c>
      <c r="AI2956">
        <v>0</v>
      </c>
      <c r="AJ2956">
        <v>0</v>
      </c>
      <c r="AK2956">
        <v>1</v>
      </c>
      <c r="AL2956">
        <v>2</v>
      </c>
      <c r="AM2956">
        <v>0</v>
      </c>
      <c r="AN2956">
        <v>0</v>
      </c>
      <c r="BC2956">
        <v>0</v>
      </c>
      <c r="BD2956">
        <v>23</v>
      </c>
      <c r="BE2956">
        <v>437</v>
      </c>
      <c r="BF2956">
        <v>437</v>
      </c>
      <c r="BG2956">
        <v>620</v>
      </c>
      <c r="BJ2956">
        <v>1</v>
      </c>
      <c r="BL2956" t="s">
        <v>6135</v>
      </c>
      <c r="BM2956" s="4">
        <v>43283.356249999997</v>
      </c>
      <c r="BN2956" s="4">
        <v>43283.369652777779</v>
      </c>
      <c r="BO2956" s="4">
        <v>43283.369652777779</v>
      </c>
      <c r="BP2956" t="s">
        <v>92</v>
      </c>
      <c r="BQ2956" t="s">
        <v>93</v>
      </c>
      <c r="BR2956" t="s">
        <v>94</v>
      </c>
    </row>
    <row r="2957" spans="1:70" x14ac:dyDescent="0.3">
      <c r="A2957" t="str">
        <f>"202098C0100"</f>
        <v>202098C0100</v>
      </c>
      <c r="B2957" t="s">
        <v>6136</v>
      </c>
      <c r="C2957">
        <v>20</v>
      </c>
      <c r="D2957" t="s">
        <v>88</v>
      </c>
      <c r="E2957">
        <v>484</v>
      </c>
      <c r="F2957" t="s">
        <v>6080</v>
      </c>
      <c r="G2957">
        <v>2098</v>
      </c>
      <c r="H2957">
        <v>1</v>
      </c>
      <c r="I2957" t="s">
        <v>98</v>
      </c>
      <c r="J2957">
        <v>0</v>
      </c>
      <c r="K2957">
        <v>1</v>
      </c>
      <c r="L2957">
        <v>5</v>
      </c>
      <c r="M2957">
        <v>218</v>
      </c>
      <c r="N2957">
        <v>424</v>
      </c>
      <c r="O2957">
        <v>8</v>
      </c>
      <c r="P2957">
        <v>424</v>
      </c>
      <c r="Q2957">
        <v>5</v>
      </c>
      <c r="R2957">
        <v>75</v>
      </c>
      <c r="S2957">
        <v>145</v>
      </c>
      <c r="T2957">
        <v>2</v>
      </c>
      <c r="U2957">
        <v>14</v>
      </c>
      <c r="V2957">
        <v>2</v>
      </c>
      <c r="W2957">
        <v>1</v>
      </c>
      <c r="X2957">
        <v>0</v>
      </c>
      <c r="Y2957">
        <v>147</v>
      </c>
      <c r="Z2957">
        <v>3</v>
      </c>
      <c r="AA2957">
        <v>0</v>
      </c>
      <c r="AC2957">
        <v>3</v>
      </c>
      <c r="AD2957">
        <v>1</v>
      </c>
      <c r="AE2957">
        <v>0</v>
      </c>
      <c r="AF2957">
        <v>0</v>
      </c>
      <c r="AG2957">
        <v>1</v>
      </c>
      <c r="AH2957">
        <v>0</v>
      </c>
      <c r="AI2957">
        <v>0</v>
      </c>
      <c r="AJ2957">
        <v>0</v>
      </c>
      <c r="AK2957">
        <v>1</v>
      </c>
      <c r="AL2957">
        <v>1</v>
      </c>
      <c r="AM2957">
        <v>0</v>
      </c>
      <c r="AN2957">
        <v>0</v>
      </c>
      <c r="BC2957">
        <v>0</v>
      </c>
      <c r="BD2957">
        <v>23</v>
      </c>
      <c r="BE2957">
        <v>424</v>
      </c>
      <c r="BF2957">
        <v>424</v>
      </c>
      <c r="BG2957">
        <v>620</v>
      </c>
      <c r="BJ2957">
        <v>1</v>
      </c>
      <c r="BL2957" t="s">
        <v>6137</v>
      </c>
      <c r="BM2957" s="4">
        <v>43283.356249999997</v>
      </c>
      <c r="BN2957" s="4">
        <v>43283.368668981479</v>
      </c>
      <c r="BO2957" s="4">
        <v>43283.368668981479</v>
      </c>
      <c r="BP2957" t="s">
        <v>92</v>
      </c>
      <c r="BQ2957" t="s">
        <v>93</v>
      </c>
      <c r="BR2957" t="s">
        <v>94</v>
      </c>
    </row>
    <row r="2958" spans="1:70" x14ac:dyDescent="0.3">
      <c r="A2958" t="str">
        <f>"202098C0200"</f>
        <v>202098C0200</v>
      </c>
      <c r="B2958" t="s">
        <v>6138</v>
      </c>
      <c r="C2958">
        <v>20</v>
      </c>
      <c r="D2958" t="s">
        <v>88</v>
      </c>
      <c r="E2958">
        <v>484</v>
      </c>
      <c r="F2958" t="s">
        <v>6080</v>
      </c>
      <c r="G2958">
        <v>2098</v>
      </c>
      <c r="H2958">
        <v>2</v>
      </c>
      <c r="I2958" t="s">
        <v>98</v>
      </c>
      <c r="J2958">
        <v>0</v>
      </c>
      <c r="K2958">
        <v>1</v>
      </c>
      <c r="L2958">
        <v>5</v>
      </c>
      <c r="M2958">
        <v>221</v>
      </c>
      <c r="N2958">
        <v>417</v>
      </c>
      <c r="O2958">
        <v>10</v>
      </c>
      <c r="P2958">
        <v>406</v>
      </c>
      <c r="Q2958">
        <v>4</v>
      </c>
      <c r="R2958">
        <v>75</v>
      </c>
      <c r="S2958">
        <v>123</v>
      </c>
      <c r="T2958">
        <v>2</v>
      </c>
      <c r="U2958">
        <v>7</v>
      </c>
      <c r="V2958">
        <v>1</v>
      </c>
      <c r="W2958">
        <v>4</v>
      </c>
      <c r="X2958">
        <v>2</v>
      </c>
      <c r="Y2958">
        <v>155</v>
      </c>
      <c r="Z2958">
        <v>2</v>
      </c>
      <c r="AA2958">
        <v>0</v>
      </c>
      <c r="AC2958">
        <v>0</v>
      </c>
      <c r="AD2958">
        <v>1</v>
      </c>
      <c r="AE2958">
        <v>0</v>
      </c>
      <c r="AF2958">
        <v>3</v>
      </c>
      <c r="AG2958">
        <v>2</v>
      </c>
      <c r="AH2958">
        <v>2</v>
      </c>
      <c r="AI2958">
        <v>0</v>
      </c>
      <c r="AJ2958">
        <v>0</v>
      </c>
      <c r="AK2958">
        <v>3</v>
      </c>
      <c r="AL2958">
        <v>1</v>
      </c>
      <c r="AM2958">
        <v>0</v>
      </c>
      <c r="AN2958">
        <v>0</v>
      </c>
      <c r="BC2958">
        <v>0</v>
      </c>
      <c r="BD2958">
        <v>19</v>
      </c>
      <c r="BE2958">
        <v>406</v>
      </c>
      <c r="BF2958">
        <v>406</v>
      </c>
      <c r="BG2958">
        <v>620</v>
      </c>
      <c r="BJ2958">
        <v>1</v>
      </c>
      <c r="BL2958" t="s">
        <v>6139</v>
      </c>
      <c r="BM2958" s="4">
        <v>43283.356249999997</v>
      </c>
      <c r="BN2958" s="4">
        <v>43283.390474537038</v>
      </c>
      <c r="BO2958" s="4">
        <v>43283.390474537038</v>
      </c>
      <c r="BP2958" t="s">
        <v>92</v>
      </c>
      <c r="BQ2958" t="s">
        <v>93</v>
      </c>
      <c r="BR2958" t="s">
        <v>94</v>
      </c>
    </row>
    <row r="2959" spans="1:70" x14ac:dyDescent="0.3">
      <c r="A2959" t="str">
        <f>"202098C0300"</f>
        <v>202098C0300</v>
      </c>
      <c r="B2959" t="s">
        <v>6140</v>
      </c>
      <c r="C2959">
        <v>20</v>
      </c>
      <c r="D2959" t="s">
        <v>88</v>
      </c>
      <c r="E2959">
        <v>484</v>
      </c>
      <c r="F2959" t="s">
        <v>6080</v>
      </c>
      <c r="G2959">
        <v>2098</v>
      </c>
      <c r="H2959">
        <v>3</v>
      </c>
      <c r="I2959" t="s">
        <v>98</v>
      </c>
      <c r="J2959">
        <v>0</v>
      </c>
      <c r="K2959">
        <v>1</v>
      </c>
      <c r="L2959">
        <v>5</v>
      </c>
      <c r="M2959">
        <v>231</v>
      </c>
      <c r="N2959">
        <v>412</v>
      </c>
      <c r="O2959">
        <v>8</v>
      </c>
      <c r="P2959">
        <v>412</v>
      </c>
      <c r="Q2959">
        <v>6</v>
      </c>
      <c r="R2959">
        <v>69</v>
      </c>
      <c r="S2959">
        <v>127</v>
      </c>
      <c r="T2959">
        <v>0</v>
      </c>
      <c r="U2959">
        <v>8</v>
      </c>
      <c r="V2959">
        <v>3</v>
      </c>
      <c r="W2959">
        <v>2</v>
      </c>
      <c r="X2959">
        <v>9</v>
      </c>
      <c r="Y2959">
        <v>156</v>
      </c>
      <c r="Z2959">
        <v>8</v>
      </c>
      <c r="AA2959">
        <v>0</v>
      </c>
      <c r="AC2959">
        <v>0</v>
      </c>
      <c r="AD2959">
        <v>1</v>
      </c>
      <c r="AE2959">
        <v>0</v>
      </c>
      <c r="AF2959">
        <v>3</v>
      </c>
      <c r="AG2959">
        <v>1</v>
      </c>
      <c r="AH2959">
        <v>0</v>
      </c>
      <c r="AI2959">
        <v>0</v>
      </c>
      <c r="AJ2959">
        <v>0</v>
      </c>
      <c r="AK2959">
        <v>4</v>
      </c>
      <c r="AL2959">
        <v>3</v>
      </c>
      <c r="AM2959">
        <v>0</v>
      </c>
      <c r="AN2959">
        <v>1</v>
      </c>
      <c r="BC2959">
        <v>0</v>
      </c>
      <c r="BD2959">
        <v>12</v>
      </c>
      <c r="BE2959">
        <v>412</v>
      </c>
      <c r="BF2959">
        <v>413</v>
      </c>
      <c r="BG2959">
        <v>619</v>
      </c>
      <c r="BJ2959">
        <v>1</v>
      </c>
      <c r="BL2959" t="s">
        <v>6141</v>
      </c>
      <c r="BM2959" s="4">
        <v>43283.356944444444</v>
      </c>
      <c r="BN2959" s="4">
        <v>43283.37128472222</v>
      </c>
      <c r="BO2959" s="4">
        <v>43283.37128472222</v>
      </c>
      <c r="BP2959" t="s">
        <v>92</v>
      </c>
      <c r="BQ2959" t="s">
        <v>93</v>
      </c>
      <c r="BR2959" t="s">
        <v>94</v>
      </c>
    </row>
    <row r="2960" spans="1:70" x14ac:dyDescent="0.3">
      <c r="A2960" t="str">
        <f>"202099B0100"</f>
        <v>202099B0100</v>
      </c>
      <c r="B2960" t="s">
        <v>6142</v>
      </c>
      <c r="C2960">
        <v>20</v>
      </c>
      <c r="D2960" t="s">
        <v>88</v>
      </c>
      <c r="E2960">
        <v>484</v>
      </c>
      <c r="F2960" t="s">
        <v>6080</v>
      </c>
      <c r="G2960">
        <v>2099</v>
      </c>
      <c r="H2960">
        <v>1</v>
      </c>
      <c r="I2960" t="s">
        <v>90</v>
      </c>
      <c r="J2960">
        <v>0</v>
      </c>
      <c r="K2960">
        <v>2</v>
      </c>
      <c r="L2960">
        <v>5</v>
      </c>
      <c r="BG2960">
        <v>593</v>
      </c>
      <c r="BI2960" t="s">
        <v>122</v>
      </c>
      <c r="BJ2960">
        <v>0</v>
      </c>
      <c r="BL2960" t="s">
        <v>6143</v>
      </c>
      <c r="BM2960" s="4">
        <v>43283.757638888892</v>
      </c>
      <c r="BN2960" s="4">
        <v>43283.758784722224</v>
      </c>
      <c r="BO2960" s="4">
        <v>43283.758784722224</v>
      </c>
      <c r="BP2960" t="s">
        <v>92</v>
      </c>
      <c r="BQ2960" t="s">
        <v>93</v>
      </c>
      <c r="BR2960" t="s">
        <v>94</v>
      </c>
    </row>
    <row r="2961" spans="1:70" x14ac:dyDescent="0.3">
      <c r="A2961" t="str">
        <f>"202099C0100"</f>
        <v>202099C0100</v>
      </c>
      <c r="B2961" t="s">
        <v>6144</v>
      </c>
      <c r="C2961">
        <v>20</v>
      </c>
      <c r="D2961" t="s">
        <v>88</v>
      </c>
      <c r="E2961">
        <v>484</v>
      </c>
      <c r="F2961" t="s">
        <v>6080</v>
      </c>
      <c r="G2961">
        <v>2099</v>
      </c>
      <c r="H2961">
        <v>1</v>
      </c>
      <c r="I2961" t="s">
        <v>98</v>
      </c>
      <c r="J2961">
        <v>0</v>
      </c>
      <c r="K2961">
        <v>2</v>
      </c>
      <c r="L2961">
        <v>5</v>
      </c>
      <c r="M2961">
        <v>211</v>
      </c>
      <c r="N2961">
        <v>403</v>
      </c>
      <c r="O2961">
        <v>2</v>
      </c>
      <c r="P2961">
        <v>394</v>
      </c>
      <c r="Q2961">
        <v>7</v>
      </c>
      <c r="R2961">
        <v>98</v>
      </c>
      <c r="S2961">
        <v>129</v>
      </c>
      <c r="T2961">
        <v>1</v>
      </c>
      <c r="U2961">
        <v>10</v>
      </c>
      <c r="V2961">
        <v>3</v>
      </c>
      <c r="W2961">
        <v>3</v>
      </c>
      <c r="X2961">
        <v>1</v>
      </c>
      <c r="Y2961">
        <v>117</v>
      </c>
      <c r="Z2961">
        <v>1</v>
      </c>
      <c r="AA2961">
        <v>1</v>
      </c>
      <c r="AC2961">
        <v>4</v>
      </c>
      <c r="AD2961">
        <v>2</v>
      </c>
      <c r="AE2961">
        <v>0</v>
      </c>
      <c r="AF2961">
        <v>0</v>
      </c>
      <c r="AG2961">
        <v>1</v>
      </c>
      <c r="AH2961">
        <v>0</v>
      </c>
      <c r="AI2961">
        <v>0</v>
      </c>
      <c r="AJ2961">
        <v>0</v>
      </c>
      <c r="AK2961">
        <v>4</v>
      </c>
      <c r="AL2961">
        <v>1</v>
      </c>
      <c r="AM2961">
        <v>0</v>
      </c>
      <c r="AN2961">
        <v>0</v>
      </c>
      <c r="BC2961">
        <v>0</v>
      </c>
      <c r="BD2961">
        <v>11</v>
      </c>
      <c r="BE2961">
        <v>394</v>
      </c>
      <c r="BF2961">
        <v>394</v>
      </c>
      <c r="BG2961">
        <v>592</v>
      </c>
      <c r="BJ2961">
        <v>1</v>
      </c>
      <c r="BL2961" t="s">
        <v>6145</v>
      </c>
      <c r="BM2961" s="4">
        <v>43283.206944444442</v>
      </c>
      <c r="BN2961" s="4">
        <v>43283.229756944442</v>
      </c>
      <c r="BO2961" s="4">
        <v>43283.229756944442</v>
      </c>
      <c r="BP2961" t="s">
        <v>92</v>
      </c>
      <c r="BQ2961" t="s">
        <v>93</v>
      </c>
      <c r="BR2961" t="s">
        <v>94</v>
      </c>
    </row>
    <row r="2962" spans="1:70" x14ac:dyDescent="0.3">
      <c r="A2962" t="str">
        <f>"202099C0200"</f>
        <v>202099C0200</v>
      </c>
      <c r="B2962" t="s">
        <v>6146</v>
      </c>
      <c r="C2962">
        <v>20</v>
      </c>
      <c r="D2962" t="s">
        <v>88</v>
      </c>
      <c r="E2962">
        <v>484</v>
      </c>
      <c r="F2962" t="s">
        <v>6080</v>
      </c>
      <c r="G2962">
        <v>2099</v>
      </c>
      <c r="H2962">
        <v>2</v>
      </c>
      <c r="I2962" t="s">
        <v>98</v>
      </c>
      <c r="J2962">
        <v>0</v>
      </c>
      <c r="K2962">
        <v>2</v>
      </c>
      <c r="L2962">
        <v>5</v>
      </c>
      <c r="M2962">
        <v>210</v>
      </c>
      <c r="N2962">
        <v>404</v>
      </c>
      <c r="O2962">
        <v>6</v>
      </c>
      <c r="P2962">
        <v>394</v>
      </c>
      <c r="Q2962">
        <v>8</v>
      </c>
      <c r="R2962">
        <v>81</v>
      </c>
      <c r="S2962">
        <v>125</v>
      </c>
      <c r="T2962">
        <v>3</v>
      </c>
      <c r="U2962">
        <v>7</v>
      </c>
      <c r="V2962">
        <v>4</v>
      </c>
      <c r="W2962">
        <v>5</v>
      </c>
      <c r="X2962">
        <v>1</v>
      </c>
      <c r="Y2962">
        <v>136</v>
      </c>
      <c r="Z2962">
        <v>2</v>
      </c>
      <c r="AA2962">
        <v>0</v>
      </c>
      <c r="AC2962">
        <v>0</v>
      </c>
      <c r="AD2962">
        <v>2</v>
      </c>
      <c r="AE2962">
        <v>0</v>
      </c>
      <c r="AF2962">
        <v>1</v>
      </c>
      <c r="AG2962">
        <v>2</v>
      </c>
      <c r="AH2962">
        <v>3</v>
      </c>
      <c r="AI2962">
        <v>0</v>
      </c>
      <c r="AJ2962">
        <v>0</v>
      </c>
      <c r="AK2962">
        <v>2</v>
      </c>
      <c r="AL2962">
        <v>0</v>
      </c>
      <c r="AM2962">
        <v>0</v>
      </c>
      <c r="AN2962">
        <v>0</v>
      </c>
      <c r="BC2962" t="s">
        <v>105</v>
      </c>
      <c r="BD2962">
        <v>12</v>
      </c>
      <c r="BE2962">
        <v>394</v>
      </c>
      <c r="BF2962">
        <v>394</v>
      </c>
      <c r="BG2962">
        <v>592</v>
      </c>
      <c r="BI2962" t="s">
        <v>106</v>
      </c>
      <c r="BJ2962">
        <v>1</v>
      </c>
      <c r="BL2962" t="s">
        <v>6147</v>
      </c>
      <c r="BM2962" s="4">
        <v>43283.205555555556</v>
      </c>
      <c r="BN2962" s="4">
        <v>43283.224085648151</v>
      </c>
      <c r="BO2962" s="4">
        <v>43283.224085648151</v>
      </c>
      <c r="BP2962" t="s">
        <v>92</v>
      </c>
      <c r="BQ2962" t="s">
        <v>93</v>
      </c>
      <c r="BR2962" t="s">
        <v>94</v>
      </c>
    </row>
    <row r="2963" spans="1:70" x14ac:dyDescent="0.3">
      <c r="A2963" t="str">
        <f>"202099C0300"</f>
        <v>202099C0300</v>
      </c>
      <c r="B2963" t="s">
        <v>6148</v>
      </c>
      <c r="C2963">
        <v>20</v>
      </c>
      <c r="D2963" t="s">
        <v>88</v>
      </c>
      <c r="E2963">
        <v>484</v>
      </c>
      <c r="F2963" t="s">
        <v>6080</v>
      </c>
      <c r="G2963">
        <v>2099</v>
      </c>
      <c r="H2963">
        <v>3</v>
      </c>
      <c r="I2963" t="s">
        <v>98</v>
      </c>
      <c r="J2963">
        <v>0</v>
      </c>
      <c r="K2963">
        <v>2</v>
      </c>
      <c r="L2963">
        <v>5</v>
      </c>
      <c r="M2963">
        <v>214</v>
      </c>
      <c r="N2963">
        <v>398</v>
      </c>
      <c r="O2963">
        <v>0</v>
      </c>
      <c r="P2963">
        <v>398</v>
      </c>
      <c r="Q2963">
        <v>3</v>
      </c>
      <c r="R2963">
        <v>81</v>
      </c>
      <c r="S2963">
        <v>144</v>
      </c>
      <c r="T2963">
        <v>5</v>
      </c>
      <c r="U2963">
        <v>9</v>
      </c>
      <c r="V2963">
        <v>9</v>
      </c>
      <c r="W2963">
        <v>3</v>
      </c>
      <c r="X2963">
        <v>1</v>
      </c>
      <c r="Y2963">
        <v>120</v>
      </c>
      <c r="Z2963">
        <v>1</v>
      </c>
      <c r="AA2963">
        <v>0</v>
      </c>
      <c r="AC2963">
        <v>4</v>
      </c>
      <c r="AD2963">
        <v>0</v>
      </c>
      <c r="AE2963">
        <v>0</v>
      </c>
      <c r="AF2963">
        <v>0</v>
      </c>
      <c r="AG2963">
        <v>1</v>
      </c>
      <c r="AH2963">
        <v>3</v>
      </c>
      <c r="AI2963">
        <v>0</v>
      </c>
      <c r="AJ2963">
        <v>0</v>
      </c>
      <c r="AK2963">
        <v>1</v>
      </c>
      <c r="AL2963">
        <v>3</v>
      </c>
      <c r="AM2963">
        <v>0</v>
      </c>
      <c r="AN2963">
        <v>0</v>
      </c>
      <c r="BC2963">
        <v>0</v>
      </c>
      <c r="BD2963">
        <v>10</v>
      </c>
      <c r="BE2963">
        <v>402</v>
      </c>
      <c r="BF2963">
        <v>398</v>
      </c>
      <c r="BG2963">
        <v>592</v>
      </c>
      <c r="BJ2963">
        <v>1</v>
      </c>
      <c r="BL2963" t="s">
        <v>6149</v>
      </c>
      <c r="BM2963" s="4">
        <v>43283.204861111109</v>
      </c>
      <c r="BN2963" s="4">
        <v>43283.22111111111</v>
      </c>
      <c r="BO2963" s="4">
        <v>43283.22111111111</v>
      </c>
      <c r="BP2963" t="s">
        <v>92</v>
      </c>
      <c r="BQ2963" t="s">
        <v>93</v>
      </c>
      <c r="BR2963" t="s">
        <v>94</v>
      </c>
    </row>
    <row r="2964" spans="1:70" x14ac:dyDescent="0.3">
      <c r="A2964" t="str">
        <f>"202100B0100"</f>
        <v>202100B0100</v>
      </c>
      <c r="B2964" t="s">
        <v>6150</v>
      </c>
      <c r="C2964">
        <v>20</v>
      </c>
      <c r="D2964" t="s">
        <v>88</v>
      </c>
      <c r="E2964">
        <v>484</v>
      </c>
      <c r="F2964" t="s">
        <v>6080</v>
      </c>
      <c r="G2964">
        <v>2100</v>
      </c>
      <c r="H2964">
        <v>1</v>
      </c>
      <c r="I2964" t="s">
        <v>90</v>
      </c>
      <c r="J2964">
        <v>0</v>
      </c>
      <c r="K2964">
        <v>2</v>
      </c>
      <c r="L2964">
        <v>5</v>
      </c>
      <c r="M2964">
        <v>293</v>
      </c>
      <c r="N2964">
        <v>483</v>
      </c>
      <c r="O2964">
        <v>2</v>
      </c>
      <c r="P2964">
        <v>481</v>
      </c>
      <c r="Q2964">
        <v>11</v>
      </c>
      <c r="R2964">
        <v>94</v>
      </c>
      <c r="S2964">
        <v>183</v>
      </c>
      <c r="T2964">
        <v>3</v>
      </c>
      <c r="U2964">
        <v>6</v>
      </c>
      <c r="V2964">
        <v>2</v>
      </c>
      <c r="W2964">
        <v>4</v>
      </c>
      <c r="X2964">
        <v>0</v>
      </c>
      <c r="Y2964">
        <v>141</v>
      </c>
      <c r="Z2964">
        <v>4</v>
      </c>
      <c r="AA2964">
        <v>1</v>
      </c>
      <c r="AC2964">
        <v>2</v>
      </c>
      <c r="AD2964">
        <v>6</v>
      </c>
      <c r="AE2964">
        <v>0</v>
      </c>
      <c r="AF2964">
        <v>0</v>
      </c>
      <c r="AG2964">
        <v>0</v>
      </c>
      <c r="AH2964">
        <v>0</v>
      </c>
      <c r="AI2964">
        <v>0</v>
      </c>
      <c r="AJ2964">
        <v>0</v>
      </c>
      <c r="AK2964">
        <v>2</v>
      </c>
      <c r="AL2964">
        <v>0</v>
      </c>
      <c r="AM2964">
        <v>0</v>
      </c>
      <c r="AN2964">
        <v>1</v>
      </c>
      <c r="BC2964">
        <v>2</v>
      </c>
      <c r="BD2964">
        <v>19</v>
      </c>
      <c r="BE2964">
        <v>481</v>
      </c>
      <c r="BF2964">
        <v>481</v>
      </c>
      <c r="BG2964">
        <v>747</v>
      </c>
      <c r="BJ2964">
        <v>1</v>
      </c>
      <c r="BL2964" s="2" t="s">
        <v>6151</v>
      </c>
      <c r="BM2964" s="4">
        <v>43283.290972222225</v>
      </c>
      <c r="BN2964" s="4">
        <v>43283.317430555559</v>
      </c>
      <c r="BO2964" s="4">
        <v>43283.317430555559</v>
      </c>
      <c r="BP2964" t="s">
        <v>92</v>
      </c>
      <c r="BQ2964" t="s">
        <v>93</v>
      </c>
      <c r="BR2964" t="s">
        <v>94</v>
      </c>
    </row>
    <row r="2965" spans="1:70" x14ac:dyDescent="0.3">
      <c r="A2965" t="str">
        <f>"202100C0100"</f>
        <v>202100C0100</v>
      </c>
      <c r="B2965" t="s">
        <v>6152</v>
      </c>
      <c r="C2965">
        <v>20</v>
      </c>
      <c r="D2965" t="s">
        <v>88</v>
      </c>
      <c r="E2965">
        <v>484</v>
      </c>
      <c r="F2965" t="s">
        <v>6080</v>
      </c>
      <c r="G2965">
        <v>2100</v>
      </c>
      <c r="H2965">
        <v>1</v>
      </c>
      <c r="I2965" t="s">
        <v>98</v>
      </c>
      <c r="J2965">
        <v>0</v>
      </c>
      <c r="K2965">
        <v>2</v>
      </c>
      <c r="L2965">
        <v>5</v>
      </c>
      <c r="M2965">
        <v>302</v>
      </c>
      <c r="N2965">
        <v>466</v>
      </c>
      <c r="O2965">
        <v>1</v>
      </c>
      <c r="P2965">
        <v>466</v>
      </c>
      <c r="Q2965">
        <v>2</v>
      </c>
      <c r="R2965">
        <v>81</v>
      </c>
      <c r="S2965">
        <v>157</v>
      </c>
      <c r="T2965">
        <v>3</v>
      </c>
      <c r="U2965">
        <v>14</v>
      </c>
      <c r="V2965">
        <v>7</v>
      </c>
      <c r="W2965">
        <v>2</v>
      </c>
      <c r="X2965">
        <v>2</v>
      </c>
      <c r="Y2965">
        <v>160</v>
      </c>
      <c r="Z2965">
        <v>2</v>
      </c>
      <c r="AA2965">
        <v>0</v>
      </c>
      <c r="AC2965">
        <v>3</v>
      </c>
      <c r="AD2965">
        <v>2</v>
      </c>
      <c r="AE2965">
        <v>0</v>
      </c>
      <c r="AF2965">
        <v>0</v>
      </c>
      <c r="AG2965">
        <v>4</v>
      </c>
      <c r="AH2965">
        <v>3</v>
      </c>
      <c r="AI2965">
        <v>0</v>
      </c>
      <c r="AJ2965">
        <v>0</v>
      </c>
      <c r="AK2965">
        <v>3</v>
      </c>
      <c r="AL2965">
        <v>0</v>
      </c>
      <c r="AM2965">
        <v>0</v>
      </c>
      <c r="AN2965">
        <v>0</v>
      </c>
      <c r="BC2965" t="s">
        <v>105</v>
      </c>
      <c r="BD2965">
        <v>18</v>
      </c>
      <c r="BE2965">
        <v>463</v>
      </c>
      <c r="BF2965">
        <v>463</v>
      </c>
      <c r="BG2965">
        <v>747</v>
      </c>
      <c r="BI2965" t="s">
        <v>106</v>
      </c>
      <c r="BJ2965">
        <v>1</v>
      </c>
      <c r="BL2965" t="s">
        <v>6153</v>
      </c>
      <c r="BM2965" s="4">
        <v>43283.356944444444</v>
      </c>
      <c r="BN2965" s="4">
        <v>43283.391435185185</v>
      </c>
      <c r="BO2965" s="4">
        <v>43283.391435185185</v>
      </c>
      <c r="BP2965" t="s">
        <v>92</v>
      </c>
      <c r="BQ2965" t="s">
        <v>93</v>
      </c>
      <c r="BR2965" t="s">
        <v>94</v>
      </c>
    </row>
    <row r="2966" spans="1:70" x14ac:dyDescent="0.3">
      <c r="A2966" t="str">
        <f>"202100C0200"</f>
        <v>202100C0200</v>
      </c>
      <c r="B2966" t="s">
        <v>6154</v>
      </c>
      <c r="C2966">
        <v>20</v>
      </c>
      <c r="D2966" t="s">
        <v>88</v>
      </c>
      <c r="E2966">
        <v>484</v>
      </c>
      <c r="F2966" t="s">
        <v>6080</v>
      </c>
      <c r="G2966">
        <v>2100</v>
      </c>
      <c r="H2966">
        <v>2</v>
      </c>
      <c r="I2966" t="s">
        <v>98</v>
      </c>
      <c r="J2966">
        <v>0</v>
      </c>
      <c r="K2966">
        <v>2</v>
      </c>
      <c r="L2966">
        <v>5</v>
      </c>
      <c r="M2966">
        <v>284</v>
      </c>
      <c r="N2966">
        <v>485</v>
      </c>
      <c r="O2966">
        <v>4</v>
      </c>
      <c r="P2966">
        <v>487</v>
      </c>
      <c r="Q2966">
        <v>11</v>
      </c>
      <c r="R2966">
        <v>87</v>
      </c>
      <c r="S2966">
        <v>180</v>
      </c>
      <c r="T2966">
        <v>1</v>
      </c>
      <c r="U2966">
        <v>16</v>
      </c>
      <c r="V2966">
        <v>4</v>
      </c>
      <c r="W2966">
        <v>3</v>
      </c>
      <c r="X2966">
        <v>1</v>
      </c>
      <c r="Y2966">
        <v>146</v>
      </c>
      <c r="Z2966">
        <v>4</v>
      </c>
      <c r="AA2966">
        <v>0</v>
      </c>
      <c r="AC2966">
        <v>2</v>
      </c>
      <c r="AD2966">
        <v>3</v>
      </c>
      <c r="AE2966">
        <v>0</v>
      </c>
      <c r="AF2966">
        <v>0</v>
      </c>
      <c r="AG2966">
        <v>2</v>
      </c>
      <c r="AH2966">
        <v>1</v>
      </c>
      <c r="AI2966">
        <v>0</v>
      </c>
      <c r="AJ2966">
        <v>0</v>
      </c>
      <c r="AK2966">
        <v>2</v>
      </c>
      <c r="AL2966">
        <v>0</v>
      </c>
      <c r="AM2966">
        <v>2</v>
      </c>
      <c r="AN2966">
        <v>1</v>
      </c>
      <c r="BC2966">
        <v>0</v>
      </c>
      <c r="BD2966">
        <v>21</v>
      </c>
      <c r="BE2966">
        <v>487</v>
      </c>
      <c r="BF2966">
        <v>487</v>
      </c>
      <c r="BG2966">
        <v>747</v>
      </c>
      <c r="BJ2966">
        <v>1</v>
      </c>
      <c r="BL2966" t="s">
        <v>6155</v>
      </c>
      <c r="BM2966" s="4">
        <v>43283.35833333333</v>
      </c>
      <c r="BN2966" s="4">
        <v>43283.372511574074</v>
      </c>
      <c r="BO2966" s="4">
        <v>43283.372511574074</v>
      </c>
      <c r="BP2966" t="s">
        <v>92</v>
      </c>
      <c r="BQ2966" t="s">
        <v>93</v>
      </c>
      <c r="BR2966" t="s">
        <v>94</v>
      </c>
    </row>
    <row r="2967" spans="1:70" x14ac:dyDescent="0.3">
      <c r="A2967" t="str">
        <f>"202100C0300"</f>
        <v>202100C0300</v>
      </c>
      <c r="B2967" t="s">
        <v>6156</v>
      </c>
      <c r="C2967">
        <v>20</v>
      </c>
      <c r="D2967" t="s">
        <v>88</v>
      </c>
      <c r="E2967">
        <v>484</v>
      </c>
      <c r="F2967" t="s">
        <v>6080</v>
      </c>
      <c r="G2967">
        <v>2100</v>
      </c>
      <c r="H2967">
        <v>3</v>
      </c>
      <c r="I2967" t="s">
        <v>98</v>
      </c>
      <c r="J2967">
        <v>0</v>
      </c>
      <c r="K2967">
        <v>2</v>
      </c>
      <c r="L2967">
        <v>5</v>
      </c>
      <c r="BG2967">
        <v>747</v>
      </c>
      <c r="BI2967" t="s">
        <v>122</v>
      </c>
      <c r="BJ2967">
        <v>0</v>
      </c>
      <c r="BL2967" t="s">
        <v>6157</v>
      </c>
      <c r="BM2967" s="4">
        <v>43283.757638888892</v>
      </c>
      <c r="BN2967" s="4">
        <v>43283.762256944443</v>
      </c>
      <c r="BO2967" s="4">
        <v>43283.762256944443</v>
      </c>
      <c r="BP2967" t="s">
        <v>92</v>
      </c>
      <c r="BQ2967" t="s">
        <v>93</v>
      </c>
      <c r="BR2967" t="s">
        <v>94</v>
      </c>
    </row>
    <row r="2968" spans="1:70" x14ac:dyDescent="0.3">
      <c r="A2968" t="str">
        <f>"202100C0400"</f>
        <v>202100C0400</v>
      </c>
      <c r="B2968" t="s">
        <v>6158</v>
      </c>
      <c r="C2968">
        <v>20</v>
      </c>
      <c r="D2968" t="s">
        <v>88</v>
      </c>
      <c r="E2968">
        <v>484</v>
      </c>
      <c r="F2968" t="s">
        <v>6080</v>
      </c>
      <c r="G2968">
        <v>2100</v>
      </c>
      <c r="H2968">
        <v>4</v>
      </c>
      <c r="I2968" t="s">
        <v>98</v>
      </c>
      <c r="J2968">
        <v>0</v>
      </c>
      <c r="K2968">
        <v>2</v>
      </c>
      <c r="L2968">
        <v>5</v>
      </c>
      <c r="M2968">
        <v>291</v>
      </c>
      <c r="N2968">
        <v>478</v>
      </c>
      <c r="O2968">
        <v>6</v>
      </c>
      <c r="P2968">
        <v>475</v>
      </c>
      <c r="Q2968">
        <v>9</v>
      </c>
      <c r="R2968">
        <v>114</v>
      </c>
      <c r="S2968">
        <v>161</v>
      </c>
      <c r="T2968">
        <v>0</v>
      </c>
      <c r="U2968">
        <v>10</v>
      </c>
      <c r="V2968">
        <v>1</v>
      </c>
      <c r="W2968">
        <v>3</v>
      </c>
      <c r="X2968">
        <v>2</v>
      </c>
      <c r="Y2968">
        <v>132</v>
      </c>
      <c r="Z2968">
        <v>1</v>
      </c>
      <c r="AA2968">
        <v>0</v>
      </c>
      <c r="AC2968">
        <v>4</v>
      </c>
      <c r="AD2968">
        <v>1</v>
      </c>
      <c r="AE2968">
        <v>1</v>
      </c>
      <c r="AF2968">
        <v>0</v>
      </c>
      <c r="AG2968">
        <v>3</v>
      </c>
      <c r="AH2968">
        <v>1</v>
      </c>
      <c r="AI2968">
        <v>2</v>
      </c>
      <c r="AJ2968">
        <v>0</v>
      </c>
      <c r="AK2968">
        <v>3</v>
      </c>
      <c r="AL2968">
        <v>1</v>
      </c>
      <c r="AM2968">
        <v>0</v>
      </c>
      <c r="AN2968">
        <v>0</v>
      </c>
      <c r="BC2968">
        <v>0</v>
      </c>
      <c r="BD2968">
        <v>26</v>
      </c>
      <c r="BE2968">
        <v>475</v>
      </c>
      <c r="BF2968">
        <v>475</v>
      </c>
      <c r="BG2968">
        <v>747</v>
      </c>
      <c r="BJ2968">
        <v>1</v>
      </c>
      <c r="BL2968" t="s">
        <v>6159</v>
      </c>
      <c r="BM2968" s="4">
        <v>43283.299305555556</v>
      </c>
      <c r="BN2968" s="4">
        <v>43283.32707175926</v>
      </c>
      <c r="BO2968" s="4">
        <v>43283.32707175926</v>
      </c>
      <c r="BP2968" t="s">
        <v>92</v>
      </c>
      <c r="BQ2968" t="s">
        <v>93</v>
      </c>
      <c r="BR2968" t="s">
        <v>94</v>
      </c>
    </row>
    <row r="2969" spans="1:70" x14ac:dyDescent="0.3">
      <c r="A2969" t="str">
        <f>"202101B0100"</f>
        <v>202101B0100</v>
      </c>
      <c r="B2969" t="s">
        <v>6160</v>
      </c>
      <c r="C2969">
        <v>20</v>
      </c>
      <c r="D2969" t="s">
        <v>88</v>
      </c>
      <c r="E2969">
        <v>484</v>
      </c>
      <c r="F2969" t="s">
        <v>6080</v>
      </c>
      <c r="G2969">
        <v>2101</v>
      </c>
      <c r="H2969">
        <v>1</v>
      </c>
      <c r="I2969" t="s">
        <v>90</v>
      </c>
      <c r="J2969">
        <v>0</v>
      </c>
      <c r="K2969">
        <v>2</v>
      </c>
      <c r="L2969">
        <v>5</v>
      </c>
      <c r="M2969">
        <v>169</v>
      </c>
      <c r="N2969">
        <v>278</v>
      </c>
      <c r="O2969">
        <v>0</v>
      </c>
      <c r="P2969" t="s">
        <v>127</v>
      </c>
      <c r="Q2969">
        <v>13</v>
      </c>
      <c r="R2969">
        <v>65</v>
      </c>
      <c r="S2969">
        <v>104</v>
      </c>
      <c r="T2969">
        <v>2</v>
      </c>
      <c r="U2969">
        <v>7</v>
      </c>
      <c r="V2969">
        <v>2</v>
      </c>
      <c r="W2969">
        <v>1</v>
      </c>
      <c r="X2969">
        <v>2</v>
      </c>
      <c r="Y2969">
        <v>56</v>
      </c>
      <c r="Z2969">
        <v>3</v>
      </c>
      <c r="AA2969">
        <v>0</v>
      </c>
      <c r="AC2969">
        <v>0</v>
      </c>
      <c r="AD2969">
        <v>0</v>
      </c>
      <c r="AE2969">
        <v>0</v>
      </c>
      <c r="AF2969">
        <v>1</v>
      </c>
      <c r="AG2969">
        <v>0</v>
      </c>
      <c r="AH2969">
        <v>1</v>
      </c>
      <c r="AI2969">
        <v>0</v>
      </c>
      <c r="AJ2969">
        <v>0</v>
      </c>
      <c r="AK2969">
        <v>0</v>
      </c>
      <c r="AL2969">
        <v>0</v>
      </c>
      <c r="AM2969">
        <v>0</v>
      </c>
      <c r="AN2969">
        <v>0</v>
      </c>
      <c r="BC2969">
        <v>0</v>
      </c>
      <c r="BD2969">
        <v>24</v>
      </c>
      <c r="BE2969">
        <v>219</v>
      </c>
      <c r="BF2969">
        <v>281</v>
      </c>
      <c r="BG2969">
        <v>426</v>
      </c>
      <c r="BJ2969">
        <v>1</v>
      </c>
      <c r="BL2969" t="s">
        <v>6161</v>
      </c>
      <c r="BM2969" s="4">
        <v>43283.638194444444</v>
      </c>
      <c r="BN2969" s="4">
        <v>43283.656192129631</v>
      </c>
      <c r="BO2969" s="4">
        <v>43283.656192129631</v>
      </c>
      <c r="BP2969" t="s">
        <v>92</v>
      </c>
      <c r="BQ2969" t="s">
        <v>93</v>
      </c>
      <c r="BR2969" t="s">
        <v>254</v>
      </c>
    </row>
    <row r="2970" spans="1:70" x14ac:dyDescent="0.3">
      <c r="A2970" t="str">
        <f>"202101C0100"</f>
        <v>202101C0100</v>
      </c>
      <c r="B2970" t="s">
        <v>6162</v>
      </c>
      <c r="C2970">
        <v>20</v>
      </c>
      <c r="D2970" t="s">
        <v>88</v>
      </c>
      <c r="E2970">
        <v>484</v>
      </c>
      <c r="F2970" t="s">
        <v>6080</v>
      </c>
      <c r="G2970">
        <v>2101</v>
      </c>
      <c r="H2970">
        <v>1</v>
      </c>
      <c r="I2970" t="s">
        <v>98</v>
      </c>
      <c r="J2970">
        <v>0</v>
      </c>
      <c r="K2970">
        <v>2</v>
      </c>
      <c r="L2970">
        <v>5</v>
      </c>
      <c r="BG2970">
        <v>426</v>
      </c>
      <c r="BI2970" t="s">
        <v>122</v>
      </c>
      <c r="BJ2970">
        <v>0</v>
      </c>
      <c r="BL2970" t="s">
        <v>6163</v>
      </c>
      <c r="BM2970" s="4">
        <v>43283.757638888892</v>
      </c>
      <c r="BN2970" s="4">
        <v>43283.759247685186</v>
      </c>
      <c r="BO2970" s="4">
        <v>43283.759247685186</v>
      </c>
      <c r="BP2970" t="s">
        <v>92</v>
      </c>
      <c r="BQ2970" t="s">
        <v>93</v>
      </c>
      <c r="BR2970" t="s">
        <v>94</v>
      </c>
    </row>
    <row r="2971" spans="1:70" x14ac:dyDescent="0.3">
      <c r="A2971" t="str">
        <f>"202102B0100"</f>
        <v>202102B0100</v>
      </c>
      <c r="B2971" t="s">
        <v>6164</v>
      </c>
      <c r="C2971">
        <v>20</v>
      </c>
      <c r="D2971" t="s">
        <v>88</v>
      </c>
      <c r="E2971">
        <v>484</v>
      </c>
      <c r="F2971" t="s">
        <v>6080</v>
      </c>
      <c r="G2971">
        <v>2102</v>
      </c>
      <c r="H2971">
        <v>1</v>
      </c>
      <c r="I2971" t="s">
        <v>90</v>
      </c>
      <c r="J2971">
        <v>0</v>
      </c>
      <c r="K2971">
        <v>2</v>
      </c>
      <c r="L2971">
        <v>5</v>
      </c>
      <c r="BG2971">
        <v>417</v>
      </c>
      <c r="BI2971" t="s">
        <v>122</v>
      </c>
      <c r="BJ2971">
        <v>0</v>
      </c>
      <c r="BL2971" t="s">
        <v>6165</v>
      </c>
      <c r="BM2971" s="4">
        <v>43283.757638888892</v>
      </c>
      <c r="BN2971" s="4">
        <v>43283.759398148148</v>
      </c>
      <c r="BO2971" s="4">
        <v>43283.759398148148</v>
      </c>
      <c r="BP2971" t="s">
        <v>92</v>
      </c>
      <c r="BQ2971" t="s">
        <v>93</v>
      </c>
      <c r="BR2971" t="s">
        <v>94</v>
      </c>
    </row>
    <row r="2972" spans="1:70" x14ac:dyDescent="0.3">
      <c r="A2972" t="str">
        <f>"202102C0100"</f>
        <v>202102C0100</v>
      </c>
      <c r="B2972" t="s">
        <v>6166</v>
      </c>
      <c r="C2972">
        <v>20</v>
      </c>
      <c r="D2972" t="s">
        <v>88</v>
      </c>
      <c r="E2972">
        <v>484</v>
      </c>
      <c r="F2972" t="s">
        <v>6080</v>
      </c>
      <c r="G2972">
        <v>2102</v>
      </c>
      <c r="H2972">
        <v>1</v>
      </c>
      <c r="I2972" t="s">
        <v>98</v>
      </c>
      <c r="J2972">
        <v>0</v>
      </c>
      <c r="K2972">
        <v>2</v>
      </c>
      <c r="L2972">
        <v>5</v>
      </c>
      <c r="BG2972">
        <v>417</v>
      </c>
      <c r="BI2972" t="s">
        <v>122</v>
      </c>
      <c r="BJ2972">
        <v>0</v>
      </c>
      <c r="BL2972" t="s">
        <v>6167</v>
      </c>
      <c r="BM2972" s="4">
        <v>43283.757638888892</v>
      </c>
      <c r="BN2972" s="4">
        <v>43283.759641203702</v>
      </c>
      <c r="BO2972" s="4">
        <v>43283.759641203702</v>
      </c>
      <c r="BP2972" t="s">
        <v>92</v>
      </c>
      <c r="BQ2972" t="s">
        <v>93</v>
      </c>
      <c r="BR2972" t="s">
        <v>94</v>
      </c>
    </row>
    <row r="2973" spans="1:70" x14ac:dyDescent="0.3">
      <c r="A2973" t="str">
        <f>"202103B0100"</f>
        <v>202103B0100</v>
      </c>
      <c r="B2973" t="s">
        <v>6168</v>
      </c>
      <c r="C2973">
        <v>20</v>
      </c>
      <c r="D2973" t="s">
        <v>88</v>
      </c>
      <c r="E2973">
        <v>484</v>
      </c>
      <c r="F2973" t="s">
        <v>6080</v>
      </c>
      <c r="G2973">
        <v>2103</v>
      </c>
      <c r="H2973">
        <v>1</v>
      </c>
      <c r="I2973" t="s">
        <v>90</v>
      </c>
      <c r="J2973">
        <v>0</v>
      </c>
      <c r="K2973">
        <v>2</v>
      </c>
      <c r="L2973">
        <v>5</v>
      </c>
      <c r="M2973">
        <v>233</v>
      </c>
      <c r="N2973">
        <v>524</v>
      </c>
      <c r="O2973">
        <v>0</v>
      </c>
      <c r="P2973">
        <v>524</v>
      </c>
      <c r="Q2973">
        <v>4</v>
      </c>
      <c r="R2973">
        <v>245</v>
      </c>
      <c r="S2973">
        <v>161</v>
      </c>
      <c r="T2973">
        <v>3</v>
      </c>
      <c r="U2973">
        <v>7</v>
      </c>
      <c r="V2973">
        <v>1</v>
      </c>
      <c r="W2973">
        <v>2</v>
      </c>
      <c r="X2973">
        <v>1</v>
      </c>
      <c r="Y2973">
        <v>51</v>
      </c>
      <c r="Z2973">
        <v>4</v>
      </c>
      <c r="AA2973">
        <v>0</v>
      </c>
      <c r="AC2973">
        <v>4</v>
      </c>
      <c r="AD2973">
        <v>2</v>
      </c>
      <c r="AE2973">
        <v>0</v>
      </c>
      <c r="AF2973">
        <v>1</v>
      </c>
      <c r="AG2973">
        <v>3</v>
      </c>
      <c r="AH2973">
        <v>2</v>
      </c>
      <c r="AI2973">
        <v>0</v>
      </c>
      <c r="AJ2973">
        <v>0</v>
      </c>
      <c r="AK2973">
        <v>1</v>
      </c>
      <c r="AL2973">
        <v>1</v>
      </c>
      <c r="AM2973">
        <v>0</v>
      </c>
      <c r="AN2973">
        <v>2</v>
      </c>
      <c r="BC2973">
        <v>1</v>
      </c>
      <c r="BD2973">
        <v>28</v>
      </c>
      <c r="BE2973">
        <v>524</v>
      </c>
      <c r="BF2973">
        <v>524</v>
      </c>
      <c r="BG2973">
        <v>731</v>
      </c>
      <c r="BJ2973">
        <v>1</v>
      </c>
      <c r="BL2973" t="s">
        <v>6169</v>
      </c>
      <c r="BM2973" s="4">
        <v>43283.208333333336</v>
      </c>
      <c r="BN2973" s="4">
        <v>43283.230439814812</v>
      </c>
      <c r="BO2973" s="4">
        <v>43283.230439814812</v>
      </c>
      <c r="BP2973" t="s">
        <v>92</v>
      </c>
      <c r="BQ2973" t="s">
        <v>93</v>
      </c>
      <c r="BR2973" t="s">
        <v>94</v>
      </c>
    </row>
    <row r="2974" spans="1:70" x14ac:dyDescent="0.3">
      <c r="A2974" t="str">
        <f>"202103E0100"</f>
        <v>202103E0100</v>
      </c>
      <c r="B2974" s="2" t="s">
        <v>6170</v>
      </c>
      <c r="C2974">
        <v>20</v>
      </c>
      <c r="D2974" t="s">
        <v>88</v>
      </c>
      <c r="E2974">
        <v>484</v>
      </c>
      <c r="F2974" t="s">
        <v>6080</v>
      </c>
      <c r="G2974">
        <v>2103</v>
      </c>
      <c r="H2974">
        <v>1</v>
      </c>
      <c r="I2974" t="s">
        <v>156</v>
      </c>
      <c r="J2974">
        <v>0</v>
      </c>
      <c r="K2974">
        <v>2</v>
      </c>
      <c r="L2974">
        <v>5</v>
      </c>
      <c r="M2974">
        <v>217</v>
      </c>
      <c r="N2974">
        <v>454</v>
      </c>
      <c r="O2974">
        <v>2</v>
      </c>
      <c r="P2974">
        <v>454</v>
      </c>
      <c r="Q2974">
        <v>11</v>
      </c>
      <c r="R2974">
        <v>146</v>
      </c>
      <c r="S2974">
        <v>139</v>
      </c>
      <c r="T2974">
        <v>5</v>
      </c>
      <c r="U2974">
        <v>6</v>
      </c>
      <c r="V2974">
        <v>2</v>
      </c>
      <c r="W2974">
        <v>4</v>
      </c>
      <c r="X2974">
        <v>8</v>
      </c>
      <c r="Y2974">
        <v>91</v>
      </c>
      <c r="Z2974">
        <v>6</v>
      </c>
      <c r="AA2974">
        <v>0</v>
      </c>
      <c r="AC2974">
        <v>4</v>
      </c>
      <c r="AD2974">
        <v>1</v>
      </c>
      <c r="AE2974">
        <v>0</v>
      </c>
      <c r="AF2974">
        <v>2</v>
      </c>
      <c r="AG2974">
        <v>0</v>
      </c>
      <c r="AH2974">
        <v>2</v>
      </c>
      <c r="AI2974">
        <v>0</v>
      </c>
      <c r="AJ2974">
        <v>0</v>
      </c>
      <c r="AK2974">
        <v>4</v>
      </c>
      <c r="AL2974">
        <v>2</v>
      </c>
      <c r="AM2974">
        <v>0</v>
      </c>
      <c r="AN2974">
        <v>0</v>
      </c>
      <c r="BC2974">
        <v>0</v>
      </c>
      <c r="BD2974">
        <v>21</v>
      </c>
      <c r="BE2974">
        <v>454</v>
      </c>
      <c r="BF2974">
        <v>454</v>
      </c>
      <c r="BG2974">
        <v>649</v>
      </c>
      <c r="BJ2974">
        <v>1</v>
      </c>
      <c r="BL2974" t="s">
        <v>6171</v>
      </c>
      <c r="BM2974" s="4">
        <v>43283.357638888891</v>
      </c>
      <c r="BN2974" s="4">
        <v>43283.374571759261</v>
      </c>
      <c r="BO2974" s="4">
        <v>43283.374571759261</v>
      </c>
      <c r="BP2974" t="s">
        <v>92</v>
      </c>
      <c r="BQ2974" t="s">
        <v>93</v>
      </c>
      <c r="BR2974" t="s">
        <v>94</v>
      </c>
    </row>
    <row r="2975" spans="1:70" x14ac:dyDescent="0.3">
      <c r="A2975" t="str">
        <f>"202104B0100"</f>
        <v>202104B0100</v>
      </c>
      <c r="B2975" t="s">
        <v>6172</v>
      </c>
      <c r="C2975">
        <v>20</v>
      </c>
      <c r="D2975" t="s">
        <v>88</v>
      </c>
      <c r="E2975">
        <v>484</v>
      </c>
      <c r="F2975" t="s">
        <v>6080</v>
      </c>
      <c r="G2975">
        <v>2104</v>
      </c>
      <c r="H2975">
        <v>1</v>
      </c>
      <c r="I2975" t="s">
        <v>90</v>
      </c>
      <c r="J2975">
        <v>0</v>
      </c>
      <c r="K2975">
        <v>2</v>
      </c>
      <c r="L2975">
        <v>5</v>
      </c>
      <c r="M2975">
        <v>271</v>
      </c>
      <c r="N2975">
        <v>462</v>
      </c>
      <c r="O2975">
        <v>0</v>
      </c>
      <c r="P2975">
        <v>462</v>
      </c>
      <c r="Q2975">
        <v>12</v>
      </c>
      <c r="R2975">
        <v>124</v>
      </c>
      <c r="S2975">
        <v>143</v>
      </c>
      <c r="T2975">
        <v>1</v>
      </c>
      <c r="U2975">
        <v>6</v>
      </c>
      <c r="V2975">
        <v>4</v>
      </c>
      <c r="W2975">
        <v>2</v>
      </c>
      <c r="X2975">
        <v>1</v>
      </c>
      <c r="Y2975">
        <v>122</v>
      </c>
      <c r="Z2975">
        <v>9</v>
      </c>
      <c r="AA2975">
        <v>0</v>
      </c>
      <c r="AC2975">
        <v>2</v>
      </c>
      <c r="AD2975">
        <v>6</v>
      </c>
      <c r="AE2975">
        <v>0</v>
      </c>
      <c r="AF2975">
        <v>1</v>
      </c>
      <c r="AG2975">
        <v>1</v>
      </c>
      <c r="AH2975">
        <v>0</v>
      </c>
      <c r="AI2975">
        <v>1</v>
      </c>
      <c r="AJ2975">
        <v>0</v>
      </c>
      <c r="AK2975">
        <v>3</v>
      </c>
      <c r="AL2975">
        <v>0</v>
      </c>
      <c r="AM2975">
        <v>0</v>
      </c>
      <c r="AN2975">
        <v>0</v>
      </c>
      <c r="BC2975">
        <v>0</v>
      </c>
      <c r="BD2975">
        <v>24</v>
      </c>
      <c r="BE2975">
        <v>462</v>
      </c>
      <c r="BF2975">
        <v>462</v>
      </c>
      <c r="BG2975">
        <v>711</v>
      </c>
      <c r="BJ2975">
        <v>1</v>
      </c>
      <c r="BL2975" t="s">
        <v>6173</v>
      </c>
      <c r="BM2975" s="4">
        <v>43283.211111111108</v>
      </c>
      <c r="BN2975" s="4">
        <v>43283.236655092594</v>
      </c>
      <c r="BO2975" s="4">
        <v>43283.236655092594</v>
      </c>
      <c r="BP2975" t="s">
        <v>92</v>
      </c>
      <c r="BQ2975" t="s">
        <v>93</v>
      </c>
      <c r="BR2975" t="s">
        <v>94</v>
      </c>
    </row>
    <row r="2976" spans="1:70" x14ac:dyDescent="0.3">
      <c r="A2976" t="str">
        <f>"202104C0100"</f>
        <v>202104C0100</v>
      </c>
      <c r="B2976" t="s">
        <v>6174</v>
      </c>
      <c r="C2976">
        <v>20</v>
      </c>
      <c r="D2976" t="s">
        <v>88</v>
      </c>
      <c r="E2976">
        <v>484</v>
      </c>
      <c r="F2976" t="s">
        <v>6080</v>
      </c>
      <c r="G2976">
        <v>2104</v>
      </c>
      <c r="H2976">
        <v>1</v>
      </c>
      <c r="I2976" t="s">
        <v>98</v>
      </c>
      <c r="J2976">
        <v>0</v>
      </c>
      <c r="K2976">
        <v>2</v>
      </c>
      <c r="L2976">
        <v>5</v>
      </c>
      <c r="M2976">
        <v>234</v>
      </c>
      <c r="N2976">
        <v>499</v>
      </c>
      <c r="O2976">
        <v>0</v>
      </c>
      <c r="P2976">
        <v>499</v>
      </c>
      <c r="Q2976">
        <v>10</v>
      </c>
      <c r="R2976">
        <v>138</v>
      </c>
      <c r="S2976">
        <v>156</v>
      </c>
      <c r="T2976">
        <v>4</v>
      </c>
      <c r="U2976">
        <v>10</v>
      </c>
      <c r="V2976">
        <v>6</v>
      </c>
      <c r="W2976">
        <v>2</v>
      </c>
      <c r="X2976">
        <v>5</v>
      </c>
      <c r="Y2976">
        <v>121</v>
      </c>
      <c r="Z2976">
        <v>5</v>
      </c>
      <c r="AA2976">
        <v>0</v>
      </c>
      <c r="AC2976">
        <v>5</v>
      </c>
      <c r="AD2976">
        <v>1</v>
      </c>
      <c r="AE2976">
        <v>0</v>
      </c>
      <c r="AF2976">
        <v>1</v>
      </c>
      <c r="AG2976">
        <v>1</v>
      </c>
      <c r="AH2976">
        <v>1</v>
      </c>
      <c r="AI2976">
        <v>1</v>
      </c>
      <c r="AJ2976">
        <v>0</v>
      </c>
      <c r="AK2976">
        <v>3</v>
      </c>
      <c r="AL2976">
        <v>1</v>
      </c>
      <c r="AM2976">
        <v>0</v>
      </c>
      <c r="AN2976">
        <v>0</v>
      </c>
      <c r="BC2976">
        <v>0</v>
      </c>
      <c r="BD2976">
        <v>28</v>
      </c>
      <c r="BE2976">
        <v>499</v>
      </c>
      <c r="BF2976">
        <v>499</v>
      </c>
      <c r="BG2976">
        <v>711</v>
      </c>
      <c r="BJ2976">
        <v>1</v>
      </c>
      <c r="BL2976" t="s">
        <v>6175</v>
      </c>
      <c r="BM2976" s="4">
        <v>43283.211111111108</v>
      </c>
      <c r="BN2976" s="4">
        <v>43283.236863425926</v>
      </c>
      <c r="BO2976" s="4">
        <v>43283.236863425926</v>
      </c>
      <c r="BP2976" t="s">
        <v>92</v>
      </c>
      <c r="BQ2976" t="s">
        <v>93</v>
      </c>
      <c r="BR2976" t="s">
        <v>94</v>
      </c>
    </row>
    <row r="2977" spans="1:70" x14ac:dyDescent="0.3">
      <c r="A2977" t="str">
        <f>"202105B0100"</f>
        <v>202105B0100</v>
      </c>
      <c r="B2977" t="s">
        <v>6176</v>
      </c>
      <c r="C2977">
        <v>20</v>
      </c>
      <c r="D2977" t="s">
        <v>88</v>
      </c>
      <c r="E2977">
        <v>484</v>
      </c>
      <c r="F2977" t="s">
        <v>6080</v>
      </c>
      <c r="G2977">
        <v>2105</v>
      </c>
      <c r="H2977">
        <v>1</v>
      </c>
      <c r="I2977" t="s">
        <v>90</v>
      </c>
      <c r="J2977">
        <v>0</v>
      </c>
      <c r="K2977">
        <v>2</v>
      </c>
      <c r="L2977">
        <v>5</v>
      </c>
      <c r="M2977">
        <v>235</v>
      </c>
      <c r="N2977">
        <v>433</v>
      </c>
      <c r="O2977">
        <v>0</v>
      </c>
      <c r="P2977">
        <v>433</v>
      </c>
      <c r="Q2977">
        <v>3</v>
      </c>
      <c r="R2977">
        <v>83</v>
      </c>
      <c r="S2977">
        <v>74</v>
      </c>
      <c r="T2977">
        <v>1</v>
      </c>
      <c r="U2977">
        <v>13</v>
      </c>
      <c r="V2977">
        <v>6</v>
      </c>
      <c r="W2977">
        <v>3</v>
      </c>
      <c r="X2977">
        <v>4</v>
      </c>
      <c r="Y2977">
        <v>216</v>
      </c>
      <c r="Z2977">
        <v>4</v>
      </c>
      <c r="AA2977">
        <v>1</v>
      </c>
      <c r="AC2977">
        <v>1</v>
      </c>
      <c r="AD2977">
        <v>1</v>
      </c>
      <c r="AE2977">
        <v>0</v>
      </c>
      <c r="AF2977">
        <v>2</v>
      </c>
      <c r="AG2977">
        <v>0</v>
      </c>
      <c r="AH2977">
        <v>1</v>
      </c>
      <c r="AI2977">
        <v>0</v>
      </c>
      <c r="AJ2977">
        <v>0</v>
      </c>
      <c r="AK2977">
        <v>2</v>
      </c>
      <c r="AL2977">
        <v>2</v>
      </c>
      <c r="AM2977">
        <v>0</v>
      </c>
      <c r="AN2977">
        <v>0</v>
      </c>
      <c r="BC2977">
        <v>0</v>
      </c>
      <c r="BD2977">
        <v>16</v>
      </c>
      <c r="BE2977">
        <v>433</v>
      </c>
      <c r="BF2977">
        <v>433</v>
      </c>
      <c r="BG2977">
        <v>647</v>
      </c>
      <c r="BJ2977">
        <v>1</v>
      </c>
      <c r="BL2977" t="s">
        <v>6177</v>
      </c>
      <c r="BM2977" s="4">
        <v>43283.210416666669</v>
      </c>
      <c r="BN2977" s="4">
        <v>43283.232256944444</v>
      </c>
      <c r="BO2977" s="4">
        <v>43283.232256944444</v>
      </c>
      <c r="BP2977" t="s">
        <v>92</v>
      </c>
      <c r="BQ2977" t="s">
        <v>93</v>
      </c>
      <c r="BR2977" t="s">
        <v>94</v>
      </c>
    </row>
    <row r="2978" spans="1:70" x14ac:dyDescent="0.3">
      <c r="A2978" t="str">
        <f>"202105C0100"</f>
        <v>202105C0100</v>
      </c>
      <c r="B2978" t="s">
        <v>6178</v>
      </c>
      <c r="C2978">
        <v>20</v>
      </c>
      <c r="D2978" t="s">
        <v>88</v>
      </c>
      <c r="E2978">
        <v>484</v>
      </c>
      <c r="F2978" t="s">
        <v>6080</v>
      </c>
      <c r="G2978">
        <v>2105</v>
      </c>
      <c r="H2978">
        <v>1</v>
      </c>
      <c r="I2978" t="s">
        <v>98</v>
      </c>
      <c r="J2978">
        <v>0</v>
      </c>
      <c r="K2978">
        <v>2</v>
      </c>
      <c r="L2978">
        <v>5</v>
      </c>
      <c r="M2978">
        <v>220</v>
      </c>
      <c r="N2978">
        <v>448</v>
      </c>
      <c r="O2978">
        <v>0</v>
      </c>
      <c r="P2978">
        <v>449</v>
      </c>
      <c r="Q2978">
        <v>8</v>
      </c>
      <c r="R2978">
        <v>100</v>
      </c>
      <c r="S2978">
        <v>71</v>
      </c>
      <c r="T2978">
        <v>2</v>
      </c>
      <c r="U2978">
        <v>9</v>
      </c>
      <c r="V2978">
        <v>6</v>
      </c>
      <c r="W2978">
        <v>4</v>
      </c>
      <c r="X2978">
        <v>4</v>
      </c>
      <c r="Y2978">
        <v>206</v>
      </c>
      <c r="Z2978">
        <v>7</v>
      </c>
      <c r="AA2978">
        <v>0</v>
      </c>
      <c r="AC2978">
        <v>0</v>
      </c>
      <c r="AD2978">
        <v>2</v>
      </c>
      <c r="AE2978">
        <v>0</v>
      </c>
      <c r="AF2978">
        <v>0</v>
      </c>
      <c r="AG2978">
        <v>0</v>
      </c>
      <c r="AH2978">
        <v>2</v>
      </c>
      <c r="AI2978">
        <v>0</v>
      </c>
      <c r="AJ2978">
        <v>0</v>
      </c>
      <c r="AK2978">
        <v>3</v>
      </c>
      <c r="AL2978">
        <v>3</v>
      </c>
      <c r="AM2978">
        <v>0</v>
      </c>
      <c r="AN2978">
        <v>2</v>
      </c>
      <c r="BC2978">
        <v>0</v>
      </c>
      <c r="BD2978">
        <v>20</v>
      </c>
      <c r="BE2978">
        <v>449</v>
      </c>
      <c r="BF2978">
        <v>449</v>
      </c>
      <c r="BG2978">
        <v>646</v>
      </c>
      <c r="BJ2978">
        <v>1</v>
      </c>
      <c r="BL2978" t="s">
        <v>6179</v>
      </c>
      <c r="BM2978" s="4">
        <v>43283.209027777775</v>
      </c>
      <c r="BN2978" s="4">
        <v>43283.235682870371</v>
      </c>
      <c r="BO2978" s="4">
        <v>43283.235682870371</v>
      </c>
      <c r="BP2978" t="s">
        <v>92</v>
      </c>
      <c r="BQ2978" t="s">
        <v>93</v>
      </c>
      <c r="BR2978" t="s">
        <v>94</v>
      </c>
    </row>
    <row r="2979" spans="1:70" x14ac:dyDescent="0.3">
      <c r="A2979" t="str">
        <f>"202106B0100"</f>
        <v>202106B0100</v>
      </c>
      <c r="B2979" t="s">
        <v>6180</v>
      </c>
      <c r="C2979">
        <v>20</v>
      </c>
      <c r="D2979" t="s">
        <v>88</v>
      </c>
      <c r="E2979">
        <v>484</v>
      </c>
      <c r="F2979" t="s">
        <v>6080</v>
      </c>
      <c r="G2979">
        <v>2106</v>
      </c>
      <c r="H2979">
        <v>1</v>
      </c>
      <c r="I2979" t="s">
        <v>90</v>
      </c>
      <c r="J2979">
        <v>0</v>
      </c>
      <c r="K2979">
        <v>2</v>
      </c>
      <c r="L2979">
        <v>5</v>
      </c>
      <c r="M2979">
        <v>187</v>
      </c>
      <c r="N2979">
        <v>460</v>
      </c>
      <c r="O2979">
        <v>1</v>
      </c>
      <c r="P2979">
        <v>460</v>
      </c>
      <c r="Q2979">
        <v>6</v>
      </c>
      <c r="R2979">
        <v>197</v>
      </c>
      <c r="S2979">
        <v>155</v>
      </c>
      <c r="T2979">
        <v>0</v>
      </c>
      <c r="U2979">
        <v>4</v>
      </c>
      <c r="V2979">
        <v>7</v>
      </c>
      <c r="W2979">
        <v>2</v>
      </c>
      <c r="X2979">
        <v>1</v>
      </c>
      <c r="Y2979">
        <v>56</v>
      </c>
      <c r="Z2979">
        <v>3</v>
      </c>
      <c r="AA2979">
        <v>0</v>
      </c>
      <c r="AC2979">
        <v>1</v>
      </c>
      <c r="AD2979">
        <v>0</v>
      </c>
      <c r="AE2979">
        <v>0</v>
      </c>
      <c r="AF2979">
        <v>1</v>
      </c>
      <c r="AG2979">
        <v>1</v>
      </c>
      <c r="AH2979">
        <v>2</v>
      </c>
      <c r="AI2979">
        <v>0</v>
      </c>
      <c r="AJ2979">
        <v>0</v>
      </c>
      <c r="AK2979">
        <v>1</v>
      </c>
      <c r="AL2979">
        <v>0</v>
      </c>
      <c r="AM2979">
        <v>0</v>
      </c>
      <c r="AN2979">
        <v>0</v>
      </c>
      <c r="BC2979">
        <v>0</v>
      </c>
      <c r="BD2979">
        <v>23</v>
      </c>
      <c r="BE2979">
        <v>460</v>
      </c>
      <c r="BF2979">
        <v>460</v>
      </c>
      <c r="BG2979">
        <v>625</v>
      </c>
      <c r="BJ2979">
        <v>1</v>
      </c>
      <c r="BL2979" t="s">
        <v>6181</v>
      </c>
      <c r="BM2979" s="4">
        <v>43283.211805555555</v>
      </c>
      <c r="BN2979" s="4">
        <v>43283.244745370372</v>
      </c>
      <c r="BO2979" s="4">
        <v>43283.244745370372</v>
      </c>
      <c r="BP2979" t="s">
        <v>92</v>
      </c>
      <c r="BQ2979" t="s">
        <v>93</v>
      </c>
      <c r="BR2979" t="s">
        <v>94</v>
      </c>
    </row>
    <row r="2980" spans="1:70" x14ac:dyDescent="0.3">
      <c r="A2980" t="str">
        <f>"202106C0100"</f>
        <v>202106C0100</v>
      </c>
      <c r="B2980" t="s">
        <v>6182</v>
      </c>
      <c r="C2980">
        <v>20</v>
      </c>
      <c r="D2980" t="s">
        <v>88</v>
      </c>
      <c r="E2980">
        <v>484</v>
      </c>
      <c r="F2980" t="s">
        <v>6080</v>
      </c>
      <c r="G2980">
        <v>2106</v>
      </c>
      <c r="H2980">
        <v>1</v>
      </c>
      <c r="I2980" t="s">
        <v>98</v>
      </c>
      <c r="J2980">
        <v>0</v>
      </c>
      <c r="K2980">
        <v>2</v>
      </c>
      <c r="L2980">
        <v>5</v>
      </c>
      <c r="M2980">
        <v>209</v>
      </c>
      <c r="N2980">
        <v>647</v>
      </c>
      <c r="O2980">
        <v>0</v>
      </c>
      <c r="P2980" t="s">
        <v>105</v>
      </c>
      <c r="Q2980">
        <v>5</v>
      </c>
      <c r="R2980">
        <v>162</v>
      </c>
      <c r="S2980">
        <v>138</v>
      </c>
      <c r="T2980">
        <v>2</v>
      </c>
      <c r="U2980">
        <v>3</v>
      </c>
      <c r="V2980">
        <v>2</v>
      </c>
      <c r="W2980">
        <v>0</v>
      </c>
      <c r="X2980">
        <v>2</v>
      </c>
      <c r="Y2980">
        <v>67</v>
      </c>
      <c r="Z2980">
        <v>3</v>
      </c>
      <c r="AA2980">
        <v>0</v>
      </c>
      <c r="AC2980">
        <v>3</v>
      </c>
      <c r="AD2980">
        <v>0</v>
      </c>
      <c r="AE2980">
        <v>1</v>
      </c>
      <c r="AF2980">
        <v>1</v>
      </c>
      <c r="AG2980">
        <v>4</v>
      </c>
      <c r="AH2980">
        <v>4</v>
      </c>
      <c r="AI2980">
        <v>0</v>
      </c>
      <c r="AJ2980">
        <v>0</v>
      </c>
      <c r="AK2980">
        <v>2</v>
      </c>
      <c r="AL2980">
        <v>0</v>
      </c>
      <c r="AM2980">
        <v>0</v>
      </c>
      <c r="AN2980">
        <v>0</v>
      </c>
      <c r="BC2980">
        <v>0</v>
      </c>
      <c r="BD2980">
        <v>19</v>
      </c>
      <c r="BE2980">
        <v>437</v>
      </c>
      <c r="BF2980">
        <v>418</v>
      </c>
      <c r="BG2980">
        <v>625</v>
      </c>
      <c r="BJ2980">
        <v>1</v>
      </c>
      <c r="BL2980" t="s">
        <v>6183</v>
      </c>
      <c r="BM2980" s="4">
        <v>43283.211805555555</v>
      </c>
      <c r="BN2980" s="4">
        <v>43283.239756944444</v>
      </c>
      <c r="BO2980" s="4">
        <v>43283.239756944444</v>
      </c>
      <c r="BP2980" t="s">
        <v>92</v>
      </c>
      <c r="BQ2980" t="s">
        <v>93</v>
      </c>
      <c r="BR2980" t="s">
        <v>94</v>
      </c>
    </row>
    <row r="2981" spans="1:70" x14ac:dyDescent="0.3">
      <c r="A2981" t="str">
        <f>"202106E0100"</f>
        <v>202106E0100</v>
      </c>
      <c r="B2981" s="2" t="s">
        <v>6184</v>
      </c>
      <c r="C2981">
        <v>20</v>
      </c>
      <c r="D2981" t="s">
        <v>88</v>
      </c>
      <c r="E2981">
        <v>484</v>
      </c>
      <c r="F2981" t="s">
        <v>6080</v>
      </c>
      <c r="G2981">
        <v>2106</v>
      </c>
      <c r="H2981">
        <v>1</v>
      </c>
      <c r="I2981" t="s">
        <v>156</v>
      </c>
      <c r="J2981">
        <v>0</v>
      </c>
      <c r="K2981">
        <v>2</v>
      </c>
      <c r="L2981">
        <v>5</v>
      </c>
      <c r="M2981">
        <v>46</v>
      </c>
      <c r="N2981">
        <v>129</v>
      </c>
      <c r="O2981">
        <v>3</v>
      </c>
      <c r="P2981">
        <v>0</v>
      </c>
      <c r="Q2981">
        <v>3</v>
      </c>
      <c r="R2981">
        <v>41</v>
      </c>
      <c r="S2981">
        <v>43</v>
      </c>
      <c r="T2981">
        <v>1</v>
      </c>
      <c r="U2981">
        <v>5</v>
      </c>
      <c r="V2981">
        <v>0</v>
      </c>
      <c r="W2981">
        <v>1</v>
      </c>
      <c r="X2981">
        <v>4</v>
      </c>
      <c r="Y2981">
        <v>15</v>
      </c>
      <c r="Z2981">
        <v>0</v>
      </c>
      <c r="AA2981">
        <v>0</v>
      </c>
      <c r="AC2981">
        <v>1</v>
      </c>
      <c r="AD2981">
        <v>1</v>
      </c>
      <c r="AE2981">
        <v>0</v>
      </c>
      <c r="AF2981">
        <v>0</v>
      </c>
      <c r="AG2981">
        <v>1</v>
      </c>
      <c r="AH2981">
        <v>3</v>
      </c>
      <c r="AI2981">
        <v>0</v>
      </c>
      <c r="AJ2981">
        <v>0</v>
      </c>
      <c r="AK2981">
        <v>0</v>
      </c>
      <c r="AL2981">
        <v>0</v>
      </c>
      <c r="AM2981">
        <v>0</v>
      </c>
      <c r="AN2981">
        <v>0</v>
      </c>
      <c r="BC2981">
        <v>0</v>
      </c>
      <c r="BD2981">
        <v>10</v>
      </c>
      <c r="BE2981">
        <v>129</v>
      </c>
      <c r="BF2981">
        <v>129</v>
      </c>
      <c r="BG2981">
        <v>153</v>
      </c>
      <c r="BJ2981">
        <v>1</v>
      </c>
      <c r="BL2981" t="s">
        <v>6185</v>
      </c>
      <c r="BM2981" s="4">
        <v>43283.356944444444</v>
      </c>
      <c r="BN2981" s="4">
        <v>43283.370729166665</v>
      </c>
      <c r="BO2981" s="4">
        <v>43283.370729166665</v>
      </c>
      <c r="BP2981" t="s">
        <v>92</v>
      </c>
      <c r="BQ2981" t="s">
        <v>93</v>
      </c>
      <c r="BR2981" t="s">
        <v>94</v>
      </c>
    </row>
    <row r="2982" spans="1:70" x14ac:dyDescent="0.3">
      <c r="A2982" t="str">
        <f>"202107B0100"</f>
        <v>202107B0100</v>
      </c>
      <c r="B2982" t="s">
        <v>6186</v>
      </c>
      <c r="C2982">
        <v>20</v>
      </c>
      <c r="D2982" t="s">
        <v>88</v>
      </c>
      <c r="E2982">
        <v>484</v>
      </c>
      <c r="F2982" t="s">
        <v>6080</v>
      </c>
      <c r="G2982">
        <v>2107</v>
      </c>
      <c r="H2982">
        <v>1</v>
      </c>
      <c r="I2982" t="s">
        <v>90</v>
      </c>
      <c r="J2982">
        <v>0</v>
      </c>
      <c r="K2982">
        <v>2</v>
      </c>
      <c r="L2982">
        <v>5</v>
      </c>
      <c r="M2982">
        <v>158</v>
      </c>
      <c r="N2982">
        <v>287</v>
      </c>
      <c r="O2982">
        <v>0</v>
      </c>
      <c r="P2982">
        <v>287</v>
      </c>
      <c r="Q2982">
        <v>4</v>
      </c>
      <c r="R2982">
        <v>64</v>
      </c>
      <c r="S2982">
        <v>121</v>
      </c>
      <c r="T2982">
        <v>1</v>
      </c>
      <c r="U2982">
        <v>9</v>
      </c>
      <c r="V2982">
        <v>3</v>
      </c>
      <c r="W2982">
        <v>9</v>
      </c>
      <c r="X2982">
        <v>2</v>
      </c>
      <c r="Y2982">
        <v>48</v>
      </c>
      <c r="Z2982" t="s">
        <v>105</v>
      </c>
      <c r="AA2982" t="s">
        <v>105</v>
      </c>
      <c r="AC2982">
        <v>1</v>
      </c>
      <c r="AD2982">
        <v>0</v>
      </c>
      <c r="AE2982">
        <v>0</v>
      </c>
      <c r="AF2982">
        <v>0</v>
      </c>
      <c r="AG2982">
        <v>0</v>
      </c>
      <c r="AH2982">
        <v>1</v>
      </c>
      <c r="AI2982">
        <v>0</v>
      </c>
      <c r="AJ2982">
        <v>2</v>
      </c>
      <c r="AK2982">
        <v>2</v>
      </c>
      <c r="AL2982">
        <v>2</v>
      </c>
      <c r="AM2982">
        <v>0</v>
      </c>
      <c r="AN2982">
        <v>0</v>
      </c>
      <c r="BC2982">
        <v>0</v>
      </c>
      <c r="BD2982">
        <v>21</v>
      </c>
      <c r="BE2982">
        <v>287</v>
      </c>
      <c r="BF2982">
        <v>290</v>
      </c>
      <c r="BG2982">
        <v>423</v>
      </c>
      <c r="BI2982" t="s">
        <v>106</v>
      </c>
      <c r="BJ2982">
        <v>1</v>
      </c>
      <c r="BL2982" t="s">
        <v>6187</v>
      </c>
      <c r="BM2982" s="4">
        <v>43283.20208333333</v>
      </c>
      <c r="BN2982" s="4">
        <v>43283.223726851851</v>
      </c>
      <c r="BO2982" s="4">
        <v>43283.223726851851</v>
      </c>
      <c r="BP2982" t="s">
        <v>92</v>
      </c>
      <c r="BQ2982" t="s">
        <v>93</v>
      </c>
      <c r="BR2982" t="s">
        <v>94</v>
      </c>
    </row>
    <row r="2983" spans="1:70" x14ac:dyDescent="0.3">
      <c r="A2983" t="str">
        <f>"202107C0100"</f>
        <v>202107C0100</v>
      </c>
      <c r="B2983" t="s">
        <v>6188</v>
      </c>
      <c r="C2983">
        <v>20</v>
      </c>
      <c r="D2983" t="s">
        <v>88</v>
      </c>
      <c r="E2983">
        <v>484</v>
      </c>
      <c r="F2983" t="s">
        <v>6080</v>
      </c>
      <c r="G2983">
        <v>2107</v>
      </c>
      <c r="H2983">
        <v>1</v>
      </c>
      <c r="I2983" t="s">
        <v>98</v>
      </c>
      <c r="J2983">
        <v>0</v>
      </c>
      <c r="K2983">
        <v>2</v>
      </c>
      <c r="L2983">
        <v>5</v>
      </c>
      <c r="M2983">
        <v>144</v>
      </c>
      <c r="N2983">
        <v>300</v>
      </c>
      <c r="O2983">
        <v>0</v>
      </c>
      <c r="P2983">
        <v>300</v>
      </c>
      <c r="Q2983">
        <v>2</v>
      </c>
      <c r="R2983">
        <v>71</v>
      </c>
      <c r="S2983">
        <v>126</v>
      </c>
      <c r="T2983">
        <v>2</v>
      </c>
      <c r="U2983">
        <v>5</v>
      </c>
      <c r="V2983">
        <v>4</v>
      </c>
      <c r="W2983">
        <v>1</v>
      </c>
      <c r="X2983">
        <v>0</v>
      </c>
      <c r="Y2983">
        <v>56</v>
      </c>
      <c r="Z2983">
        <v>1</v>
      </c>
      <c r="AA2983">
        <v>1</v>
      </c>
      <c r="AC2983">
        <v>1</v>
      </c>
      <c r="AD2983">
        <v>1</v>
      </c>
      <c r="AE2983">
        <v>0</v>
      </c>
      <c r="AF2983">
        <v>0</v>
      </c>
      <c r="AG2983">
        <v>0</v>
      </c>
      <c r="AH2983">
        <v>1</v>
      </c>
      <c r="AI2983">
        <v>0</v>
      </c>
      <c r="AJ2983">
        <v>0</v>
      </c>
      <c r="AK2983">
        <v>1</v>
      </c>
      <c r="AL2983">
        <v>1</v>
      </c>
      <c r="AM2983">
        <v>0</v>
      </c>
      <c r="AN2983">
        <v>0</v>
      </c>
      <c r="BC2983">
        <v>0</v>
      </c>
      <c r="BD2983">
        <v>26</v>
      </c>
      <c r="BE2983">
        <v>300</v>
      </c>
      <c r="BF2983">
        <v>300</v>
      </c>
      <c r="BG2983">
        <v>422</v>
      </c>
      <c r="BJ2983">
        <v>1</v>
      </c>
      <c r="BL2983" t="s">
        <v>6189</v>
      </c>
      <c r="BM2983" s="4">
        <v>43283.201388888891</v>
      </c>
      <c r="BN2983" s="4">
        <v>43283.220127314817</v>
      </c>
      <c r="BO2983" s="4">
        <v>43283.220127314817</v>
      </c>
      <c r="BP2983" t="s">
        <v>92</v>
      </c>
      <c r="BQ2983" t="s">
        <v>93</v>
      </c>
      <c r="BR2983" t="s">
        <v>94</v>
      </c>
    </row>
    <row r="2984" spans="1:70" x14ac:dyDescent="0.3">
      <c r="A2984" t="str">
        <f>"202107E0100"</f>
        <v>202107E0100</v>
      </c>
      <c r="B2984" s="2" t="s">
        <v>6190</v>
      </c>
      <c r="C2984">
        <v>20</v>
      </c>
      <c r="D2984" t="s">
        <v>88</v>
      </c>
      <c r="E2984">
        <v>484</v>
      </c>
      <c r="F2984" t="s">
        <v>6080</v>
      </c>
      <c r="G2984">
        <v>2107</v>
      </c>
      <c r="H2984">
        <v>1</v>
      </c>
      <c r="I2984" t="s">
        <v>156</v>
      </c>
      <c r="J2984">
        <v>0</v>
      </c>
      <c r="K2984">
        <v>2</v>
      </c>
      <c r="L2984">
        <v>5</v>
      </c>
      <c r="M2984">
        <v>42</v>
      </c>
      <c r="N2984">
        <v>127</v>
      </c>
      <c r="O2984">
        <v>0</v>
      </c>
      <c r="P2984">
        <v>127</v>
      </c>
      <c r="Q2984">
        <v>1</v>
      </c>
      <c r="R2984">
        <v>31</v>
      </c>
      <c r="S2984">
        <v>61</v>
      </c>
      <c r="T2984">
        <v>0</v>
      </c>
      <c r="U2984">
        <v>2</v>
      </c>
      <c r="V2984">
        <v>0</v>
      </c>
      <c r="W2984">
        <v>0</v>
      </c>
      <c r="X2984">
        <v>0</v>
      </c>
      <c r="Y2984">
        <v>23</v>
      </c>
      <c r="Z2984">
        <v>0</v>
      </c>
      <c r="AA2984">
        <v>0</v>
      </c>
      <c r="AC2984">
        <v>0</v>
      </c>
      <c r="AD2984">
        <v>0</v>
      </c>
      <c r="AE2984">
        <v>0</v>
      </c>
      <c r="AF2984">
        <v>0</v>
      </c>
      <c r="AG2984">
        <v>1</v>
      </c>
      <c r="AH2984">
        <v>0</v>
      </c>
      <c r="AI2984">
        <v>0</v>
      </c>
      <c r="AJ2984">
        <v>0</v>
      </c>
      <c r="AK2984">
        <v>1</v>
      </c>
      <c r="AL2984">
        <v>1</v>
      </c>
      <c r="AM2984">
        <v>0</v>
      </c>
      <c r="AN2984">
        <v>0</v>
      </c>
      <c r="BC2984">
        <v>0</v>
      </c>
      <c r="BD2984">
        <v>6</v>
      </c>
      <c r="BE2984">
        <v>127</v>
      </c>
      <c r="BF2984">
        <v>127</v>
      </c>
      <c r="BG2984">
        <v>157</v>
      </c>
      <c r="BJ2984">
        <v>1</v>
      </c>
      <c r="BL2984" t="s">
        <v>6191</v>
      </c>
      <c r="BM2984" s="4">
        <v>43283.212500000001</v>
      </c>
      <c r="BN2984" s="4">
        <v>43283.242777777778</v>
      </c>
      <c r="BO2984" s="4">
        <v>43283.242777777778</v>
      </c>
      <c r="BP2984" t="s">
        <v>92</v>
      </c>
      <c r="BQ2984" t="s">
        <v>93</v>
      </c>
      <c r="BR2984" t="s">
        <v>94</v>
      </c>
    </row>
    <row r="2985" spans="1:70" x14ac:dyDescent="0.3">
      <c r="A2985" t="str">
        <f>"202108B0100"</f>
        <v>202108B0100</v>
      </c>
      <c r="B2985" t="s">
        <v>6192</v>
      </c>
      <c r="C2985">
        <v>20</v>
      </c>
      <c r="D2985" t="s">
        <v>88</v>
      </c>
      <c r="E2985">
        <v>484</v>
      </c>
      <c r="F2985" t="s">
        <v>6080</v>
      </c>
      <c r="G2985">
        <v>2108</v>
      </c>
      <c r="H2985">
        <v>1</v>
      </c>
      <c r="I2985" t="s">
        <v>90</v>
      </c>
      <c r="J2985">
        <v>0</v>
      </c>
      <c r="K2985">
        <v>2</v>
      </c>
      <c r="L2985">
        <v>5</v>
      </c>
      <c r="M2985">
        <v>207</v>
      </c>
      <c r="N2985">
        <v>492</v>
      </c>
      <c r="O2985">
        <v>0</v>
      </c>
      <c r="P2985" t="s">
        <v>105</v>
      </c>
      <c r="Q2985">
        <v>5</v>
      </c>
      <c r="R2985">
        <v>143</v>
      </c>
      <c r="S2985">
        <v>165</v>
      </c>
      <c r="T2985">
        <v>1</v>
      </c>
      <c r="U2985">
        <v>13</v>
      </c>
      <c r="V2985">
        <v>3</v>
      </c>
      <c r="W2985">
        <v>5</v>
      </c>
      <c r="X2985">
        <v>1</v>
      </c>
      <c r="Y2985">
        <v>111</v>
      </c>
      <c r="Z2985">
        <v>14</v>
      </c>
      <c r="AA2985">
        <v>0</v>
      </c>
      <c r="AC2985">
        <v>3</v>
      </c>
      <c r="AD2985">
        <v>1</v>
      </c>
      <c r="AE2985">
        <v>0</v>
      </c>
      <c r="AF2985">
        <v>1</v>
      </c>
      <c r="AG2985">
        <v>0</v>
      </c>
      <c r="AH2985">
        <v>0</v>
      </c>
      <c r="AI2985">
        <v>1</v>
      </c>
      <c r="AJ2985">
        <v>0</v>
      </c>
      <c r="AK2985">
        <v>0</v>
      </c>
      <c r="AL2985">
        <v>0</v>
      </c>
      <c r="AM2985">
        <v>0</v>
      </c>
      <c r="AN2985">
        <v>1</v>
      </c>
      <c r="BC2985">
        <v>0</v>
      </c>
      <c r="BD2985">
        <v>24</v>
      </c>
      <c r="BE2985">
        <v>492</v>
      </c>
      <c r="BF2985">
        <v>492</v>
      </c>
      <c r="BG2985">
        <v>677</v>
      </c>
      <c r="BJ2985">
        <v>1</v>
      </c>
      <c r="BL2985" t="s">
        <v>6193</v>
      </c>
      <c r="BM2985" s="4">
        <v>43283.356249999997</v>
      </c>
      <c r="BN2985" s="4">
        <v>43283.369074074071</v>
      </c>
      <c r="BO2985" s="4">
        <v>43283.369074074071</v>
      </c>
      <c r="BP2985" t="s">
        <v>92</v>
      </c>
      <c r="BQ2985" t="s">
        <v>93</v>
      </c>
      <c r="BR2985" t="s">
        <v>94</v>
      </c>
    </row>
    <row r="2986" spans="1:70" x14ac:dyDescent="0.3">
      <c r="A2986" t="str">
        <f>"202108C0100"</f>
        <v>202108C0100</v>
      </c>
      <c r="B2986" t="s">
        <v>6194</v>
      </c>
      <c r="C2986">
        <v>20</v>
      </c>
      <c r="D2986" t="s">
        <v>88</v>
      </c>
      <c r="E2986">
        <v>484</v>
      </c>
      <c r="F2986" t="s">
        <v>6080</v>
      </c>
      <c r="G2986">
        <v>2108</v>
      </c>
      <c r="H2986">
        <v>1</v>
      </c>
      <c r="I2986" t="s">
        <v>98</v>
      </c>
      <c r="J2986">
        <v>0</v>
      </c>
      <c r="K2986">
        <v>2</v>
      </c>
      <c r="L2986">
        <v>5</v>
      </c>
      <c r="M2986">
        <v>184</v>
      </c>
      <c r="N2986">
        <v>513</v>
      </c>
      <c r="O2986">
        <v>0</v>
      </c>
      <c r="P2986">
        <v>513</v>
      </c>
      <c r="Q2986">
        <v>5</v>
      </c>
      <c r="R2986">
        <v>121</v>
      </c>
      <c r="S2986">
        <v>152</v>
      </c>
      <c r="T2986" t="s">
        <v>105</v>
      </c>
      <c r="U2986">
        <v>16</v>
      </c>
      <c r="V2986">
        <v>9</v>
      </c>
      <c r="W2986">
        <v>3</v>
      </c>
      <c r="X2986">
        <v>2</v>
      </c>
      <c r="Y2986">
        <v>99</v>
      </c>
      <c r="Z2986">
        <v>3</v>
      </c>
      <c r="AA2986">
        <v>1</v>
      </c>
      <c r="AC2986">
        <v>1</v>
      </c>
      <c r="AD2986" t="s">
        <v>105</v>
      </c>
      <c r="AE2986" t="s">
        <v>105</v>
      </c>
      <c r="AF2986">
        <v>1</v>
      </c>
      <c r="AG2986">
        <v>2</v>
      </c>
      <c r="AH2986">
        <v>1</v>
      </c>
      <c r="AI2986" t="s">
        <v>105</v>
      </c>
      <c r="AJ2986" t="s">
        <v>105</v>
      </c>
      <c r="AK2986">
        <v>2</v>
      </c>
      <c r="AL2986">
        <v>1</v>
      </c>
      <c r="AM2986">
        <v>1</v>
      </c>
      <c r="AN2986" t="s">
        <v>105</v>
      </c>
      <c r="BC2986" t="s">
        <v>105</v>
      </c>
      <c r="BD2986">
        <v>78</v>
      </c>
      <c r="BE2986">
        <v>514</v>
      </c>
      <c r="BF2986">
        <v>498</v>
      </c>
      <c r="BG2986">
        <v>676</v>
      </c>
      <c r="BI2986" t="s">
        <v>106</v>
      </c>
      <c r="BJ2986">
        <v>1</v>
      </c>
      <c r="BL2986" t="s">
        <v>6195</v>
      </c>
      <c r="BM2986" s="4">
        <v>43283.356944444444</v>
      </c>
      <c r="BN2986" s="4">
        <v>43283.372164351851</v>
      </c>
      <c r="BO2986" s="4">
        <v>43283.372164351851</v>
      </c>
      <c r="BP2986" t="s">
        <v>92</v>
      </c>
      <c r="BQ2986" t="s">
        <v>93</v>
      </c>
      <c r="BR2986" t="s">
        <v>94</v>
      </c>
    </row>
    <row r="2987" spans="1:70" x14ac:dyDescent="0.3">
      <c r="A2987" t="str">
        <f>"202109B0100"</f>
        <v>202109B0100</v>
      </c>
      <c r="B2987" t="s">
        <v>6196</v>
      </c>
      <c r="C2987">
        <v>20</v>
      </c>
      <c r="D2987" t="s">
        <v>88</v>
      </c>
      <c r="E2987">
        <v>484</v>
      </c>
      <c r="F2987" t="s">
        <v>6080</v>
      </c>
      <c r="G2987">
        <v>2109</v>
      </c>
      <c r="H2987">
        <v>1</v>
      </c>
      <c r="I2987" t="s">
        <v>90</v>
      </c>
      <c r="J2987">
        <v>0</v>
      </c>
      <c r="K2987">
        <v>2</v>
      </c>
      <c r="L2987">
        <v>5</v>
      </c>
      <c r="M2987">
        <v>168</v>
      </c>
      <c r="N2987">
        <v>421</v>
      </c>
      <c r="O2987">
        <v>1</v>
      </c>
      <c r="P2987">
        <v>421</v>
      </c>
      <c r="Q2987">
        <v>2</v>
      </c>
      <c r="R2987">
        <v>120</v>
      </c>
      <c r="S2987">
        <v>122</v>
      </c>
      <c r="T2987">
        <v>1</v>
      </c>
      <c r="U2987">
        <v>69</v>
      </c>
      <c r="V2987">
        <v>4</v>
      </c>
      <c r="W2987">
        <v>1</v>
      </c>
      <c r="X2987">
        <v>2</v>
      </c>
      <c r="Y2987">
        <v>73</v>
      </c>
      <c r="Z2987">
        <v>2</v>
      </c>
      <c r="AA2987">
        <v>0</v>
      </c>
      <c r="AC2987">
        <v>0</v>
      </c>
      <c r="AD2987">
        <v>0</v>
      </c>
      <c r="AE2987">
        <v>0</v>
      </c>
      <c r="AF2987">
        <v>1</v>
      </c>
      <c r="AG2987">
        <v>0</v>
      </c>
      <c r="AH2987">
        <v>1</v>
      </c>
      <c r="AI2987">
        <v>0</v>
      </c>
      <c r="AJ2987">
        <v>0</v>
      </c>
      <c r="AK2987">
        <v>1</v>
      </c>
      <c r="AL2987">
        <v>4</v>
      </c>
      <c r="AM2987">
        <v>0</v>
      </c>
      <c r="AN2987">
        <v>0</v>
      </c>
      <c r="BC2987" t="s">
        <v>105</v>
      </c>
      <c r="BD2987">
        <v>18</v>
      </c>
      <c r="BE2987">
        <v>421</v>
      </c>
      <c r="BF2987">
        <v>421</v>
      </c>
      <c r="BG2987">
        <v>567</v>
      </c>
      <c r="BI2987" t="s">
        <v>106</v>
      </c>
      <c r="BJ2987">
        <v>1</v>
      </c>
      <c r="BL2987" t="s">
        <v>6197</v>
      </c>
      <c r="BM2987" s="4">
        <v>43283.356249999997</v>
      </c>
      <c r="BN2987" s="4">
        <v>43283.370868055557</v>
      </c>
      <c r="BO2987" s="4">
        <v>43283.370868055557</v>
      </c>
      <c r="BP2987" t="s">
        <v>92</v>
      </c>
      <c r="BQ2987" t="s">
        <v>93</v>
      </c>
      <c r="BR2987" t="s">
        <v>94</v>
      </c>
    </row>
    <row r="2988" spans="1:70" x14ac:dyDescent="0.3">
      <c r="A2988" t="str">
        <f>"202109E0100"</f>
        <v>202109E0100</v>
      </c>
      <c r="B2988" s="2" t="s">
        <v>6198</v>
      </c>
      <c r="C2988">
        <v>20</v>
      </c>
      <c r="D2988" t="s">
        <v>88</v>
      </c>
      <c r="E2988">
        <v>484</v>
      </c>
      <c r="F2988" t="s">
        <v>6080</v>
      </c>
      <c r="G2988">
        <v>2109</v>
      </c>
      <c r="H2988">
        <v>1</v>
      </c>
      <c r="I2988" t="s">
        <v>156</v>
      </c>
      <c r="J2988">
        <v>0</v>
      </c>
      <c r="K2988">
        <v>2</v>
      </c>
      <c r="L2988">
        <v>5</v>
      </c>
      <c r="M2988">
        <v>174</v>
      </c>
      <c r="N2988">
        <v>374</v>
      </c>
      <c r="O2988">
        <v>0</v>
      </c>
      <c r="P2988">
        <v>370</v>
      </c>
      <c r="Q2988">
        <v>2</v>
      </c>
      <c r="R2988">
        <v>51</v>
      </c>
      <c r="S2988">
        <v>97</v>
      </c>
      <c r="T2988">
        <v>1</v>
      </c>
      <c r="U2988">
        <v>18</v>
      </c>
      <c r="V2988">
        <v>3</v>
      </c>
      <c r="W2988">
        <v>7</v>
      </c>
      <c r="X2988">
        <v>3</v>
      </c>
      <c r="Y2988">
        <v>161</v>
      </c>
      <c r="Z2988">
        <v>1</v>
      </c>
      <c r="AA2988">
        <v>0</v>
      </c>
      <c r="AC2988">
        <v>3</v>
      </c>
      <c r="AD2988">
        <v>1</v>
      </c>
      <c r="AE2988">
        <v>0</v>
      </c>
      <c r="AF2988">
        <v>1</v>
      </c>
      <c r="AG2988">
        <v>1</v>
      </c>
      <c r="AH2988">
        <v>0</v>
      </c>
      <c r="AI2988">
        <v>0</v>
      </c>
      <c r="AJ2988">
        <v>0</v>
      </c>
      <c r="AK2988">
        <v>4</v>
      </c>
      <c r="AL2988">
        <v>3</v>
      </c>
      <c r="AM2988">
        <v>0</v>
      </c>
      <c r="AN2988">
        <v>2</v>
      </c>
      <c r="BC2988">
        <v>0</v>
      </c>
      <c r="BD2988">
        <v>15</v>
      </c>
      <c r="BE2988">
        <v>374</v>
      </c>
      <c r="BF2988">
        <v>374</v>
      </c>
      <c r="BG2988">
        <v>526</v>
      </c>
      <c r="BJ2988">
        <v>1</v>
      </c>
      <c r="BL2988" t="s">
        <v>6199</v>
      </c>
      <c r="BM2988" s="4">
        <v>43283.356944444444</v>
      </c>
      <c r="BN2988" s="4">
        <v>43283.372453703705</v>
      </c>
      <c r="BO2988" s="4">
        <v>43283.372453703705</v>
      </c>
      <c r="BP2988" t="s">
        <v>92</v>
      </c>
      <c r="BQ2988" t="s">
        <v>93</v>
      </c>
      <c r="BR2988" t="s">
        <v>94</v>
      </c>
    </row>
    <row r="2989" spans="1:70" x14ac:dyDescent="0.3">
      <c r="A2989" t="str">
        <f>"202110B0100"</f>
        <v>202110B0100</v>
      </c>
      <c r="B2989" t="s">
        <v>6200</v>
      </c>
      <c r="C2989">
        <v>20</v>
      </c>
      <c r="D2989" t="s">
        <v>88</v>
      </c>
      <c r="E2989">
        <v>484</v>
      </c>
      <c r="F2989" t="s">
        <v>6080</v>
      </c>
      <c r="G2989">
        <v>2110</v>
      </c>
      <c r="H2989">
        <v>1</v>
      </c>
      <c r="I2989" t="s">
        <v>90</v>
      </c>
      <c r="J2989">
        <v>0</v>
      </c>
      <c r="K2989">
        <v>2</v>
      </c>
      <c r="L2989">
        <v>5</v>
      </c>
      <c r="M2989">
        <v>244</v>
      </c>
      <c r="N2989">
        <v>496</v>
      </c>
      <c r="O2989">
        <v>3</v>
      </c>
      <c r="P2989">
        <v>496</v>
      </c>
      <c r="Q2989">
        <v>5</v>
      </c>
      <c r="R2989">
        <v>110</v>
      </c>
      <c r="S2989">
        <v>163</v>
      </c>
      <c r="T2989">
        <v>2</v>
      </c>
      <c r="U2989">
        <v>22</v>
      </c>
      <c r="V2989">
        <v>6</v>
      </c>
      <c r="W2989">
        <v>0</v>
      </c>
      <c r="X2989">
        <v>2</v>
      </c>
      <c r="Y2989">
        <v>135</v>
      </c>
      <c r="Z2989">
        <v>3</v>
      </c>
      <c r="AA2989">
        <v>0</v>
      </c>
      <c r="AC2989">
        <v>1</v>
      </c>
      <c r="AD2989">
        <v>0</v>
      </c>
      <c r="AE2989">
        <v>0</v>
      </c>
      <c r="AF2989">
        <v>0</v>
      </c>
      <c r="AG2989">
        <v>0</v>
      </c>
      <c r="AH2989">
        <v>1</v>
      </c>
      <c r="AI2989">
        <v>1</v>
      </c>
      <c r="AJ2989">
        <v>0</v>
      </c>
      <c r="AK2989">
        <v>1</v>
      </c>
      <c r="AL2989">
        <v>6</v>
      </c>
      <c r="AM2989">
        <v>0</v>
      </c>
      <c r="AN2989">
        <v>3</v>
      </c>
      <c r="BC2989">
        <v>0</v>
      </c>
      <c r="BD2989">
        <v>32</v>
      </c>
      <c r="BE2989" t="s">
        <v>127</v>
      </c>
      <c r="BF2989">
        <v>493</v>
      </c>
      <c r="BG2989">
        <v>719</v>
      </c>
      <c r="BJ2989">
        <v>1</v>
      </c>
      <c r="BL2989" t="s">
        <v>6201</v>
      </c>
      <c r="BM2989" s="4">
        <v>43283.211805555555</v>
      </c>
      <c r="BN2989" s="4">
        <v>43283.248738425929</v>
      </c>
      <c r="BO2989" s="4">
        <v>43283.248738425929</v>
      </c>
      <c r="BP2989" t="s">
        <v>92</v>
      </c>
      <c r="BQ2989" t="s">
        <v>93</v>
      </c>
      <c r="BR2989" t="s">
        <v>94</v>
      </c>
    </row>
    <row r="2990" spans="1:70" x14ac:dyDescent="0.3">
      <c r="A2990" t="str">
        <f>"202110E0100"</f>
        <v>202110E0100</v>
      </c>
      <c r="B2990" s="2" t="s">
        <v>6202</v>
      </c>
      <c r="C2990">
        <v>20</v>
      </c>
      <c r="D2990" t="s">
        <v>88</v>
      </c>
      <c r="E2990">
        <v>484</v>
      </c>
      <c r="F2990" t="s">
        <v>6080</v>
      </c>
      <c r="G2990">
        <v>2110</v>
      </c>
      <c r="H2990">
        <v>1</v>
      </c>
      <c r="I2990" t="s">
        <v>156</v>
      </c>
      <c r="J2990">
        <v>0</v>
      </c>
      <c r="K2990">
        <v>2</v>
      </c>
      <c r="L2990">
        <v>5</v>
      </c>
      <c r="M2990">
        <v>122</v>
      </c>
      <c r="N2990">
        <v>281</v>
      </c>
      <c r="O2990">
        <v>2</v>
      </c>
      <c r="P2990">
        <v>281</v>
      </c>
      <c r="Q2990">
        <v>1</v>
      </c>
      <c r="R2990">
        <v>70</v>
      </c>
      <c r="S2990">
        <v>27</v>
      </c>
      <c r="T2990">
        <v>0</v>
      </c>
      <c r="U2990">
        <v>13</v>
      </c>
      <c r="V2990">
        <v>3</v>
      </c>
      <c r="W2990">
        <v>8</v>
      </c>
      <c r="X2990">
        <v>6</v>
      </c>
      <c r="Y2990">
        <v>138</v>
      </c>
      <c r="Z2990">
        <v>4</v>
      </c>
      <c r="AA2990">
        <v>0</v>
      </c>
      <c r="AC2990">
        <v>0</v>
      </c>
      <c r="AD2990">
        <v>0</v>
      </c>
      <c r="AE2990">
        <v>0</v>
      </c>
      <c r="AF2990">
        <v>0</v>
      </c>
      <c r="AG2990">
        <v>0</v>
      </c>
      <c r="AH2990">
        <v>0</v>
      </c>
      <c r="AI2990">
        <v>0</v>
      </c>
      <c r="AJ2990">
        <v>0</v>
      </c>
      <c r="AK2990">
        <v>2</v>
      </c>
      <c r="AL2990">
        <v>1</v>
      </c>
      <c r="AM2990">
        <v>0</v>
      </c>
      <c r="AN2990">
        <v>1</v>
      </c>
      <c r="BC2990">
        <v>0</v>
      </c>
      <c r="BD2990">
        <v>6</v>
      </c>
      <c r="BE2990">
        <v>280</v>
      </c>
      <c r="BF2990">
        <v>280</v>
      </c>
      <c r="BG2990">
        <v>380</v>
      </c>
      <c r="BJ2990">
        <v>1</v>
      </c>
      <c r="BL2990" t="s">
        <v>6203</v>
      </c>
      <c r="BM2990" s="4">
        <v>43283.212500000001</v>
      </c>
      <c r="BN2990" s="4">
        <v>43283.245787037034</v>
      </c>
      <c r="BO2990" s="4">
        <v>43283.245787037034</v>
      </c>
      <c r="BP2990" t="s">
        <v>92</v>
      </c>
      <c r="BQ2990" t="s">
        <v>93</v>
      </c>
      <c r="BR2990" t="s">
        <v>94</v>
      </c>
    </row>
    <row r="2991" spans="1:70" x14ac:dyDescent="0.3">
      <c r="A2991" t="str">
        <f>"202111B0100"</f>
        <v>202111B0100</v>
      </c>
      <c r="B2991" t="s">
        <v>6204</v>
      </c>
      <c r="C2991">
        <v>20</v>
      </c>
      <c r="D2991" t="s">
        <v>88</v>
      </c>
      <c r="E2991">
        <v>484</v>
      </c>
      <c r="F2991" t="s">
        <v>6080</v>
      </c>
      <c r="G2991">
        <v>2111</v>
      </c>
      <c r="H2991">
        <v>1</v>
      </c>
      <c r="I2991" t="s">
        <v>90</v>
      </c>
      <c r="J2991">
        <v>0</v>
      </c>
      <c r="K2991">
        <v>2</v>
      </c>
      <c r="L2991">
        <v>5</v>
      </c>
      <c r="BG2991">
        <v>544</v>
      </c>
      <c r="BI2991" t="s">
        <v>122</v>
      </c>
      <c r="BJ2991">
        <v>0</v>
      </c>
      <c r="BL2991" t="s">
        <v>6205</v>
      </c>
      <c r="BM2991" s="4">
        <v>43283.758333333331</v>
      </c>
      <c r="BN2991" s="4">
        <v>43283.759768518517</v>
      </c>
      <c r="BO2991" s="4">
        <v>43283.759768518517</v>
      </c>
      <c r="BP2991" t="s">
        <v>92</v>
      </c>
      <c r="BQ2991" t="s">
        <v>93</v>
      </c>
      <c r="BR2991" t="s">
        <v>94</v>
      </c>
    </row>
    <row r="2992" spans="1:70" x14ac:dyDescent="0.3">
      <c r="A2992" t="str">
        <f>"202111C0100"</f>
        <v>202111C0100</v>
      </c>
      <c r="B2992" t="s">
        <v>6206</v>
      </c>
      <c r="C2992">
        <v>20</v>
      </c>
      <c r="D2992" t="s">
        <v>88</v>
      </c>
      <c r="E2992">
        <v>484</v>
      </c>
      <c r="F2992" t="s">
        <v>6080</v>
      </c>
      <c r="G2992">
        <v>2111</v>
      </c>
      <c r="H2992">
        <v>1</v>
      </c>
      <c r="I2992" t="s">
        <v>98</v>
      </c>
      <c r="J2992">
        <v>0</v>
      </c>
      <c r="K2992">
        <v>2</v>
      </c>
      <c r="L2992">
        <v>5</v>
      </c>
      <c r="M2992">
        <v>217</v>
      </c>
      <c r="N2992">
        <v>348</v>
      </c>
      <c r="O2992">
        <v>0</v>
      </c>
      <c r="P2992">
        <v>348</v>
      </c>
      <c r="Q2992">
        <v>5</v>
      </c>
      <c r="R2992">
        <v>109</v>
      </c>
      <c r="S2992">
        <v>79</v>
      </c>
      <c r="T2992">
        <v>2</v>
      </c>
      <c r="U2992">
        <v>8</v>
      </c>
      <c r="V2992">
        <v>4</v>
      </c>
      <c r="W2992">
        <v>9</v>
      </c>
      <c r="X2992">
        <v>2</v>
      </c>
      <c r="Y2992">
        <v>103</v>
      </c>
      <c r="Z2992">
        <v>3</v>
      </c>
      <c r="AA2992">
        <v>0</v>
      </c>
      <c r="AC2992">
        <v>0</v>
      </c>
      <c r="AD2992">
        <v>0</v>
      </c>
      <c r="AE2992">
        <v>0</v>
      </c>
      <c r="AF2992">
        <v>1</v>
      </c>
      <c r="AG2992">
        <v>2</v>
      </c>
      <c r="AH2992">
        <v>1</v>
      </c>
      <c r="AI2992">
        <v>0</v>
      </c>
      <c r="AJ2992">
        <v>0</v>
      </c>
      <c r="AK2992">
        <v>1</v>
      </c>
      <c r="AL2992">
        <v>0</v>
      </c>
      <c r="AM2992">
        <v>0</v>
      </c>
      <c r="AN2992">
        <v>2</v>
      </c>
      <c r="BC2992">
        <v>0</v>
      </c>
      <c r="BD2992">
        <v>17</v>
      </c>
      <c r="BE2992" t="s">
        <v>105</v>
      </c>
      <c r="BF2992">
        <v>348</v>
      </c>
      <c r="BG2992">
        <v>543</v>
      </c>
      <c r="BJ2992">
        <v>1</v>
      </c>
      <c r="BL2992" t="s">
        <v>6207</v>
      </c>
      <c r="BM2992" s="4">
        <v>43283.212500000001</v>
      </c>
      <c r="BN2992" s="4">
        <v>43283.244780092595</v>
      </c>
      <c r="BO2992" s="4">
        <v>43283.244780092595</v>
      </c>
      <c r="BP2992" t="s">
        <v>92</v>
      </c>
      <c r="BQ2992" t="s">
        <v>93</v>
      </c>
      <c r="BR2992" t="s">
        <v>94</v>
      </c>
    </row>
    <row r="2993" spans="1:70" x14ac:dyDescent="0.3">
      <c r="A2993" t="str">
        <f>"202111C0200"</f>
        <v>202111C0200</v>
      </c>
      <c r="B2993" t="s">
        <v>6208</v>
      </c>
      <c r="C2993">
        <v>20</v>
      </c>
      <c r="D2993" t="s">
        <v>88</v>
      </c>
      <c r="E2993">
        <v>484</v>
      </c>
      <c r="F2993" t="s">
        <v>6080</v>
      </c>
      <c r="G2993">
        <v>2111</v>
      </c>
      <c r="H2993">
        <v>2</v>
      </c>
      <c r="I2993" t="s">
        <v>98</v>
      </c>
      <c r="J2993">
        <v>0</v>
      </c>
      <c r="K2993">
        <v>2</v>
      </c>
      <c r="L2993">
        <v>5</v>
      </c>
      <c r="BG2993">
        <v>543</v>
      </c>
      <c r="BI2993" t="s">
        <v>122</v>
      </c>
      <c r="BJ2993">
        <v>0</v>
      </c>
      <c r="BL2993" t="s">
        <v>6209</v>
      </c>
      <c r="BM2993" s="4">
        <v>43283.758333333331</v>
      </c>
      <c r="BN2993" s="4">
        <v>43283.759918981479</v>
      </c>
      <c r="BO2993" s="4">
        <v>43283.759918981479</v>
      </c>
      <c r="BP2993" t="s">
        <v>92</v>
      </c>
      <c r="BQ2993" t="s">
        <v>93</v>
      </c>
      <c r="BR2993" t="s">
        <v>94</v>
      </c>
    </row>
    <row r="2994" spans="1:70" x14ac:dyDescent="0.3">
      <c r="A2994" t="str">
        <f>"202112B0100"</f>
        <v>202112B0100</v>
      </c>
      <c r="B2994" t="s">
        <v>6210</v>
      </c>
      <c r="C2994">
        <v>20</v>
      </c>
      <c r="D2994" t="s">
        <v>88</v>
      </c>
      <c r="E2994">
        <v>485</v>
      </c>
      <c r="F2994" t="s">
        <v>6211</v>
      </c>
      <c r="G2994">
        <v>2112</v>
      </c>
      <c r="H2994">
        <v>1</v>
      </c>
      <c r="I2994" t="s">
        <v>90</v>
      </c>
      <c r="J2994">
        <v>0</v>
      </c>
      <c r="K2994">
        <v>1</v>
      </c>
      <c r="L2994">
        <v>5</v>
      </c>
      <c r="M2994">
        <v>168</v>
      </c>
      <c r="N2994">
        <v>545</v>
      </c>
      <c r="O2994">
        <v>0</v>
      </c>
      <c r="P2994">
        <v>545</v>
      </c>
      <c r="Q2994">
        <v>4</v>
      </c>
      <c r="R2994">
        <v>116</v>
      </c>
      <c r="S2994">
        <v>108</v>
      </c>
      <c r="T2994">
        <v>2</v>
      </c>
      <c r="U2994">
        <v>4</v>
      </c>
      <c r="V2994">
        <v>3</v>
      </c>
      <c r="W2994" t="s">
        <v>127</v>
      </c>
      <c r="X2994">
        <v>1</v>
      </c>
      <c r="Y2994">
        <v>32</v>
      </c>
      <c r="Z2994">
        <v>1</v>
      </c>
      <c r="AA2994">
        <v>233</v>
      </c>
      <c r="AC2994">
        <v>2</v>
      </c>
      <c r="AD2994" t="s">
        <v>105</v>
      </c>
      <c r="AE2994" t="s">
        <v>105</v>
      </c>
      <c r="AF2994" t="s">
        <v>105</v>
      </c>
      <c r="AG2994">
        <v>8</v>
      </c>
      <c r="AH2994" t="s">
        <v>105</v>
      </c>
      <c r="AI2994" t="s">
        <v>105</v>
      </c>
      <c r="AJ2994" t="s">
        <v>105</v>
      </c>
      <c r="AK2994">
        <v>2</v>
      </c>
      <c r="AL2994" t="s">
        <v>105</v>
      </c>
      <c r="AM2994" t="s">
        <v>105</v>
      </c>
      <c r="AN2994" t="s">
        <v>105</v>
      </c>
      <c r="BC2994" t="s">
        <v>105</v>
      </c>
      <c r="BD2994">
        <v>24</v>
      </c>
      <c r="BE2994">
        <v>545</v>
      </c>
      <c r="BF2994">
        <v>540</v>
      </c>
      <c r="BG2994">
        <v>691</v>
      </c>
      <c r="BI2994" t="s">
        <v>106</v>
      </c>
      <c r="BJ2994">
        <v>1</v>
      </c>
      <c r="BL2994" t="s">
        <v>6212</v>
      </c>
      <c r="BM2994" s="4">
        <v>43283.121527777781</v>
      </c>
      <c r="BN2994" s="4">
        <v>43283.143020833333</v>
      </c>
      <c r="BO2994" s="4">
        <v>43283.143020833333</v>
      </c>
      <c r="BP2994" t="s">
        <v>92</v>
      </c>
      <c r="BQ2994" t="s">
        <v>93</v>
      </c>
      <c r="BR2994" t="s">
        <v>94</v>
      </c>
    </row>
    <row r="2995" spans="1:70" x14ac:dyDescent="0.3">
      <c r="A2995" t="str">
        <f>"202112C0100"</f>
        <v>202112C0100</v>
      </c>
      <c r="B2995" t="s">
        <v>6213</v>
      </c>
      <c r="C2995">
        <v>20</v>
      </c>
      <c r="D2995" t="s">
        <v>88</v>
      </c>
      <c r="E2995">
        <v>485</v>
      </c>
      <c r="F2995" t="s">
        <v>6211</v>
      </c>
      <c r="G2995">
        <v>2112</v>
      </c>
      <c r="H2995">
        <v>1</v>
      </c>
      <c r="I2995" t="s">
        <v>98</v>
      </c>
      <c r="J2995">
        <v>0</v>
      </c>
      <c r="K2995">
        <v>1</v>
      </c>
      <c r="L2995">
        <v>5</v>
      </c>
      <c r="BG2995">
        <v>690</v>
      </c>
      <c r="BI2995" t="s">
        <v>407</v>
      </c>
      <c r="BJ2995">
        <v>0</v>
      </c>
      <c r="BL2995" s="2" t="s">
        <v>6214</v>
      </c>
      <c r="BM2995" s="4">
        <v>43283.111111111109</v>
      </c>
      <c r="BN2995" s="4">
        <v>43283.117673611108</v>
      </c>
      <c r="BO2995" s="4">
        <v>43283.117673611108</v>
      </c>
      <c r="BP2995" t="s">
        <v>92</v>
      </c>
      <c r="BQ2995" t="s">
        <v>93</v>
      </c>
      <c r="BR2995" t="s">
        <v>94</v>
      </c>
    </row>
    <row r="2996" spans="1:70" x14ac:dyDescent="0.3">
      <c r="A2996" t="str">
        <f>"202112C0200"</f>
        <v>202112C0200</v>
      </c>
      <c r="B2996" t="s">
        <v>6215</v>
      </c>
      <c r="C2996">
        <v>20</v>
      </c>
      <c r="D2996" t="s">
        <v>88</v>
      </c>
      <c r="E2996">
        <v>485</v>
      </c>
      <c r="F2996" t="s">
        <v>6211</v>
      </c>
      <c r="G2996">
        <v>2112</v>
      </c>
      <c r="H2996">
        <v>2</v>
      </c>
      <c r="I2996" t="s">
        <v>98</v>
      </c>
      <c r="J2996">
        <v>0</v>
      </c>
      <c r="K2996">
        <v>1</v>
      </c>
      <c r="L2996">
        <v>5</v>
      </c>
      <c r="M2996">
        <v>175</v>
      </c>
      <c r="N2996">
        <v>537</v>
      </c>
      <c r="O2996">
        <v>537</v>
      </c>
      <c r="P2996">
        <v>8</v>
      </c>
      <c r="Q2996">
        <v>8</v>
      </c>
      <c r="R2996">
        <v>103</v>
      </c>
      <c r="S2996">
        <v>88</v>
      </c>
      <c r="T2996">
        <v>2</v>
      </c>
      <c r="U2996">
        <v>10</v>
      </c>
      <c r="V2996">
        <v>4</v>
      </c>
      <c r="W2996">
        <v>8</v>
      </c>
      <c r="X2996">
        <v>5</v>
      </c>
      <c r="Y2996">
        <v>25</v>
      </c>
      <c r="Z2996">
        <v>3</v>
      </c>
      <c r="AA2996">
        <v>244</v>
      </c>
      <c r="AC2996" t="s">
        <v>105</v>
      </c>
      <c r="AD2996" t="s">
        <v>105</v>
      </c>
      <c r="AE2996" t="s">
        <v>105</v>
      </c>
      <c r="AF2996" t="s">
        <v>105</v>
      </c>
      <c r="AG2996">
        <v>3</v>
      </c>
      <c r="AH2996" t="s">
        <v>105</v>
      </c>
      <c r="AI2996" t="s">
        <v>105</v>
      </c>
      <c r="AJ2996" t="s">
        <v>105</v>
      </c>
      <c r="AK2996">
        <v>8</v>
      </c>
      <c r="AL2996" t="s">
        <v>105</v>
      </c>
      <c r="AM2996" t="s">
        <v>105</v>
      </c>
      <c r="AN2996" t="s">
        <v>105</v>
      </c>
      <c r="BC2996" t="s">
        <v>105</v>
      </c>
      <c r="BD2996">
        <v>27</v>
      </c>
      <c r="BE2996" t="s">
        <v>105</v>
      </c>
      <c r="BF2996">
        <v>538</v>
      </c>
      <c r="BG2996">
        <v>690</v>
      </c>
      <c r="BI2996" t="s">
        <v>106</v>
      </c>
      <c r="BJ2996">
        <v>1</v>
      </c>
      <c r="BL2996" t="s">
        <v>6216</v>
      </c>
      <c r="BM2996" s="4">
        <v>43283.138888888891</v>
      </c>
      <c r="BN2996" s="4">
        <v>43283.144907407404</v>
      </c>
      <c r="BO2996" s="4">
        <v>43283.144907407404</v>
      </c>
      <c r="BP2996" t="s">
        <v>92</v>
      </c>
      <c r="BQ2996" t="s">
        <v>93</v>
      </c>
      <c r="BR2996" t="s">
        <v>94</v>
      </c>
    </row>
    <row r="2997" spans="1:70" x14ac:dyDescent="0.3">
      <c r="A2997" t="str">
        <f>"202113B0100"</f>
        <v>202113B0100</v>
      </c>
      <c r="B2997" t="s">
        <v>6217</v>
      </c>
      <c r="C2997">
        <v>20</v>
      </c>
      <c r="D2997" t="s">
        <v>88</v>
      </c>
      <c r="E2997">
        <v>485</v>
      </c>
      <c r="F2997" t="s">
        <v>6211</v>
      </c>
      <c r="G2997">
        <v>2113</v>
      </c>
      <c r="H2997">
        <v>1</v>
      </c>
      <c r="I2997" t="s">
        <v>90</v>
      </c>
      <c r="J2997">
        <v>0</v>
      </c>
      <c r="K2997">
        <v>1</v>
      </c>
      <c r="L2997">
        <v>5</v>
      </c>
      <c r="M2997">
        <v>179</v>
      </c>
      <c r="N2997">
        <v>484</v>
      </c>
      <c r="O2997" t="s">
        <v>105</v>
      </c>
      <c r="P2997">
        <v>484</v>
      </c>
      <c r="Q2997">
        <v>15</v>
      </c>
      <c r="R2997">
        <v>120</v>
      </c>
      <c r="S2997">
        <v>63</v>
      </c>
      <c r="T2997">
        <v>3</v>
      </c>
      <c r="U2997">
        <v>11</v>
      </c>
      <c r="V2997">
        <v>2</v>
      </c>
      <c r="W2997">
        <v>9</v>
      </c>
      <c r="X2997">
        <v>2</v>
      </c>
      <c r="Y2997">
        <v>39</v>
      </c>
      <c r="Z2997">
        <v>3</v>
      </c>
      <c r="AA2997">
        <v>198</v>
      </c>
      <c r="AC2997">
        <v>5</v>
      </c>
      <c r="AD2997">
        <v>0</v>
      </c>
      <c r="AE2997">
        <v>0</v>
      </c>
      <c r="AF2997">
        <v>0</v>
      </c>
      <c r="AG2997">
        <v>4</v>
      </c>
      <c r="AH2997">
        <v>0</v>
      </c>
      <c r="AI2997">
        <v>0</v>
      </c>
      <c r="AJ2997">
        <v>0</v>
      </c>
      <c r="AK2997">
        <v>0</v>
      </c>
      <c r="AL2997">
        <v>0</v>
      </c>
      <c r="AM2997">
        <v>0</v>
      </c>
      <c r="AN2997">
        <v>1</v>
      </c>
      <c r="BC2997">
        <v>0</v>
      </c>
      <c r="BD2997">
        <v>9</v>
      </c>
      <c r="BE2997">
        <v>484</v>
      </c>
      <c r="BF2997">
        <v>484</v>
      </c>
      <c r="BG2997">
        <v>641</v>
      </c>
      <c r="BJ2997">
        <v>1</v>
      </c>
      <c r="BL2997" t="s">
        <v>6218</v>
      </c>
      <c r="BM2997" s="4">
        <v>43283.14166666667</v>
      </c>
      <c r="BN2997" s="4">
        <v>43283.145451388889</v>
      </c>
      <c r="BO2997" s="4">
        <v>43283.145451388889</v>
      </c>
      <c r="BP2997" t="s">
        <v>92</v>
      </c>
      <c r="BQ2997" t="s">
        <v>93</v>
      </c>
      <c r="BR2997" t="s">
        <v>94</v>
      </c>
    </row>
    <row r="2998" spans="1:70" x14ac:dyDescent="0.3">
      <c r="A2998" t="str">
        <f>"202113C0100"</f>
        <v>202113C0100</v>
      </c>
      <c r="B2998" t="s">
        <v>6219</v>
      </c>
      <c r="C2998">
        <v>20</v>
      </c>
      <c r="D2998" t="s">
        <v>88</v>
      </c>
      <c r="E2998">
        <v>485</v>
      </c>
      <c r="F2998" t="s">
        <v>6211</v>
      </c>
      <c r="G2998">
        <v>2113</v>
      </c>
      <c r="H2998">
        <v>1</v>
      </c>
      <c r="I2998" t="s">
        <v>98</v>
      </c>
      <c r="J2998">
        <v>0</v>
      </c>
      <c r="K2998">
        <v>1</v>
      </c>
      <c r="L2998">
        <v>5</v>
      </c>
      <c r="M2998">
        <v>179</v>
      </c>
      <c r="N2998" t="s">
        <v>105</v>
      </c>
      <c r="O2998" t="s">
        <v>105</v>
      </c>
      <c r="P2998">
        <v>483</v>
      </c>
      <c r="Q2998">
        <v>3</v>
      </c>
      <c r="R2998">
        <v>115</v>
      </c>
      <c r="S2998">
        <v>72</v>
      </c>
      <c r="T2998">
        <v>1</v>
      </c>
      <c r="U2998">
        <v>8</v>
      </c>
      <c r="V2998">
        <v>2</v>
      </c>
      <c r="W2998">
        <v>8</v>
      </c>
      <c r="X2998">
        <v>2</v>
      </c>
      <c r="Y2998">
        <v>47</v>
      </c>
      <c r="Z2998">
        <v>2</v>
      </c>
      <c r="AA2998">
        <v>194</v>
      </c>
      <c r="AC2998">
        <v>1</v>
      </c>
      <c r="AD2998">
        <v>1</v>
      </c>
      <c r="AE2998">
        <v>1</v>
      </c>
      <c r="AF2998">
        <v>1</v>
      </c>
      <c r="AG2998">
        <v>0</v>
      </c>
      <c r="AH2998">
        <v>0</v>
      </c>
      <c r="AI2998">
        <v>0</v>
      </c>
      <c r="AJ2998">
        <v>0</v>
      </c>
      <c r="AK2998">
        <v>2</v>
      </c>
      <c r="AL2998">
        <v>0</v>
      </c>
      <c r="AM2998">
        <v>1</v>
      </c>
      <c r="AN2998">
        <v>1</v>
      </c>
      <c r="BC2998">
        <v>0</v>
      </c>
      <c r="BD2998">
        <v>22</v>
      </c>
      <c r="BE2998" t="s">
        <v>105</v>
      </c>
      <c r="BF2998">
        <v>484</v>
      </c>
      <c r="BG2998">
        <v>641</v>
      </c>
      <c r="BJ2998">
        <v>1</v>
      </c>
      <c r="BL2998" t="s">
        <v>6220</v>
      </c>
      <c r="BM2998" s="4">
        <v>43283.188194444447</v>
      </c>
      <c r="BN2998" s="4">
        <v>43283.213321759256</v>
      </c>
      <c r="BO2998" s="4">
        <v>43283.213321759256</v>
      </c>
      <c r="BP2998" t="s">
        <v>92</v>
      </c>
      <c r="BQ2998" t="s">
        <v>93</v>
      </c>
      <c r="BR2998" t="s">
        <v>94</v>
      </c>
    </row>
    <row r="2999" spans="1:70" x14ac:dyDescent="0.3">
      <c r="A2999" t="str">
        <f>"202113C0200"</f>
        <v>202113C0200</v>
      </c>
      <c r="B2999" t="s">
        <v>6221</v>
      </c>
      <c r="C2999">
        <v>20</v>
      </c>
      <c r="D2999" t="s">
        <v>88</v>
      </c>
      <c r="E2999">
        <v>485</v>
      </c>
      <c r="F2999" t="s">
        <v>6211</v>
      </c>
      <c r="G2999">
        <v>2113</v>
      </c>
      <c r="H2999">
        <v>2</v>
      </c>
      <c r="I2999" t="s">
        <v>98</v>
      </c>
      <c r="J2999">
        <v>0</v>
      </c>
      <c r="K2999">
        <v>1</v>
      </c>
      <c r="L2999">
        <v>5</v>
      </c>
      <c r="M2999">
        <v>188</v>
      </c>
      <c r="N2999">
        <v>474</v>
      </c>
      <c r="O2999" t="s">
        <v>105</v>
      </c>
      <c r="P2999">
        <v>474</v>
      </c>
      <c r="Q2999">
        <v>10</v>
      </c>
      <c r="R2999">
        <v>89</v>
      </c>
      <c r="S2999">
        <v>71</v>
      </c>
      <c r="T2999">
        <v>2</v>
      </c>
      <c r="U2999">
        <v>7</v>
      </c>
      <c r="V2999">
        <v>3</v>
      </c>
      <c r="W2999">
        <v>10</v>
      </c>
      <c r="X2999">
        <v>2</v>
      </c>
      <c r="Y2999">
        <v>43</v>
      </c>
      <c r="Z2999">
        <v>3</v>
      </c>
      <c r="AA2999">
        <v>203</v>
      </c>
      <c r="AC2999">
        <v>2</v>
      </c>
      <c r="AD2999" t="s">
        <v>105</v>
      </c>
      <c r="AE2999" t="s">
        <v>105</v>
      </c>
      <c r="AF2999" t="s">
        <v>105</v>
      </c>
      <c r="AG2999">
        <v>2</v>
      </c>
      <c r="AH2999" t="s">
        <v>105</v>
      </c>
      <c r="AI2999">
        <v>2</v>
      </c>
      <c r="AJ2999" t="s">
        <v>105</v>
      </c>
      <c r="AK2999">
        <v>4</v>
      </c>
      <c r="AL2999" t="s">
        <v>105</v>
      </c>
      <c r="AM2999" t="s">
        <v>105</v>
      </c>
      <c r="AN2999" t="s">
        <v>105</v>
      </c>
      <c r="BC2999" t="s">
        <v>105</v>
      </c>
      <c r="BD2999">
        <v>21</v>
      </c>
      <c r="BE2999">
        <v>474</v>
      </c>
      <c r="BF2999">
        <v>474</v>
      </c>
      <c r="BG2999">
        <v>640</v>
      </c>
      <c r="BI2999" t="s">
        <v>106</v>
      </c>
      <c r="BJ2999">
        <v>1</v>
      </c>
      <c r="BL2999" t="s">
        <v>6222</v>
      </c>
      <c r="BM2999" s="4">
        <v>43283.144444444442</v>
      </c>
      <c r="BN2999" s="4">
        <v>43283.150046296294</v>
      </c>
      <c r="BO2999" s="4">
        <v>43283.150046296294</v>
      </c>
      <c r="BP2999" t="s">
        <v>92</v>
      </c>
      <c r="BQ2999" t="s">
        <v>93</v>
      </c>
      <c r="BR2999" t="s">
        <v>94</v>
      </c>
    </row>
    <row r="3000" spans="1:70" x14ac:dyDescent="0.3">
      <c r="A3000" t="str">
        <f>"202114B0100"</f>
        <v>202114B0100</v>
      </c>
      <c r="B3000" t="s">
        <v>6223</v>
      </c>
      <c r="C3000">
        <v>20</v>
      </c>
      <c r="D3000" t="s">
        <v>88</v>
      </c>
      <c r="E3000">
        <v>485</v>
      </c>
      <c r="F3000" t="s">
        <v>6211</v>
      </c>
      <c r="G3000">
        <v>2114</v>
      </c>
      <c r="H3000">
        <v>1</v>
      </c>
      <c r="I3000" t="s">
        <v>90</v>
      </c>
      <c r="J3000">
        <v>0</v>
      </c>
      <c r="K3000">
        <v>1</v>
      </c>
      <c r="L3000">
        <v>5</v>
      </c>
      <c r="M3000">
        <v>149</v>
      </c>
      <c r="N3000">
        <v>425</v>
      </c>
      <c r="O3000">
        <v>2</v>
      </c>
      <c r="P3000">
        <v>425</v>
      </c>
      <c r="Q3000">
        <v>8</v>
      </c>
      <c r="R3000">
        <v>89</v>
      </c>
      <c r="S3000">
        <v>67</v>
      </c>
      <c r="T3000">
        <v>0</v>
      </c>
      <c r="U3000">
        <v>4</v>
      </c>
      <c r="V3000">
        <v>1</v>
      </c>
      <c r="W3000">
        <v>3</v>
      </c>
      <c r="X3000">
        <v>3</v>
      </c>
      <c r="Y3000">
        <v>28</v>
      </c>
      <c r="Z3000">
        <v>0</v>
      </c>
      <c r="AA3000">
        <v>196</v>
      </c>
      <c r="AC3000">
        <v>0</v>
      </c>
      <c r="AD3000">
        <v>1</v>
      </c>
      <c r="AE3000">
        <v>0</v>
      </c>
      <c r="AF3000">
        <v>0</v>
      </c>
      <c r="AG3000">
        <v>1</v>
      </c>
      <c r="AH3000">
        <v>2</v>
      </c>
      <c r="AI3000">
        <v>0</v>
      </c>
      <c r="AJ3000">
        <v>0</v>
      </c>
      <c r="AK3000">
        <v>2</v>
      </c>
      <c r="AL3000">
        <v>1</v>
      </c>
      <c r="AM3000">
        <v>0</v>
      </c>
      <c r="AN3000">
        <v>1</v>
      </c>
      <c r="BC3000">
        <v>0</v>
      </c>
      <c r="BD3000">
        <v>18</v>
      </c>
      <c r="BE3000">
        <v>425</v>
      </c>
      <c r="BF3000">
        <v>425</v>
      </c>
      <c r="BG3000">
        <v>553</v>
      </c>
      <c r="BJ3000">
        <v>1</v>
      </c>
      <c r="BL3000" t="s">
        <v>6224</v>
      </c>
      <c r="BM3000" s="4">
        <v>43283.124305555553</v>
      </c>
      <c r="BN3000" s="4">
        <v>43283.127615740741</v>
      </c>
      <c r="BO3000" s="4">
        <v>43283.127615740741</v>
      </c>
      <c r="BP3000" t="s">
        <v>92</v>
      </c>
      <c r="BQ3000" t="s">
        <v>93</v>
      </c>
      <c r="BR3000" t="s">
        <v>94</v>
      </c>
    </row>
    <row r="3001" spans="1:70" x14ac:dyDescent="0.3">
      <c r="A3001" t="str">
        <f>"202114C0100"</f>
        <v>202114C0100</v>
      </c>
      <c r="B3001" t="s">
        <v>6225</v>
      </c>
      <c r="C3001">
        <v>20</v>
      </c>
      <c r="D3001" t="s">
        <v>88</v>
      </c>
      <c r="E3001">
        <v>485</v>
      </c>
      <c r="F3001" t="s">
        <v>6211</v>
      </c>
      <c r="G3001">
        <v>2114</v>
      </c>
      <c r="H3001">
        <v>1</v>
      </c>
      <c r="I3001" t="s">
        <v>98</v>
      </c>
      <c r="J3001">
        <v>0</v>
      </c>
      <c r="K3001">
        <v>1</v>
      </c>
      <c r="L3001">
        <v>5</v>
      </c>
      <c r="M3001">
        <v>173</v>
      </c>
      <c r="N3001">
        <v>401</v>
      </c>
      <c r="O3001">
        <v>2</v>
      </c>
      <c r="P3001">
        <v>401</v>
      </c>
      <c r="Q3001">
        <v>6</v>
      </c>
      <c r="R3001">
        <v>100</v>
      </c>
      <c r="S3001">
        <v>58</v>
      </c>
      <c r="T3001">
        <v>4</v>
      </c>
      <c r="U3001">
        <v>7</v>
      </c>
      <c r="V3001">
        <v>3</v>
      </c>
      <c r="W3001">
        <v>5</v>
      </c>
      <c r="X3001">
        <v>1</v>
      </c>
      <c r="Y3001">
        <v>25</v>
      </c>
      <c r="Z3001">
        <v>6</v>
      </c>
      <c r="AA3001">
        <v>157</v>
      </c>
      <c r="AC3001">
        <v>3</v>
      </c>
      <c r="AD3001">
        <v>2</v>
      </c>
      <c r="AE3001">
        <v>0</v>
      </c>
      <c r="AF3001">
        <v>0</v>
      </c>
      <c r="AG3001">
        <v>4</v>
      </c>
      <c r="AH3001">
        <v>2</v>
      </c>
      <c r="AI3001">
        <v>0</v>
      </c>
      <c r="AJ3001">
        <v>0</v>
      </c>
      <c r="AK3001">
        <v>1</v>
      </c>
      <c r="AL3001">
        <v>0</v>
      </c>
      <c r="AM3001">
        <v>0</v>
      </c>
      <c r="AN3001">
        <v>0</v>
      </c>
      <c r="BC3001">
        <v>0</v>
      </c>
      <c r="BD3001">
        <v>13</v>
      </c>
      <c r="BE3001">
        <v>397</v>
      </c>
      <c r="BF3001">
        <v>397</v>
      </c>
      <c r="BG3001">
        <v>552</v>
      </c>
      <c r="BJ3001">
        <v>1</v>
      </c>
      <c r="BL3001" t="s">
        <v>6226</v>
      </c>
      <c r="BM3001" s="4">
        <v>43283.114583333336</v>
      </c>
      <c r="BN3001" s="4">
        <v>43283.118437500001</v>
      </c>
      <c r="BO3001" s="4">
        <v>43283.118437500001</v>
      </c>
      <c r="BP3001" t="s">
        <v>92</v>
      </c>
      <c r="BQ3001" t="s">
        <v>93</v>
      </c>
      <c r="BR3001" t="s">
        <v>94</v>
      </c>
    </row>
    <row r="3002" spans="1:70" x14ac:dyDescent="0.3">
      <c r="A3002" t="str">
        <f>"202114C0200"</f>
        <v>202114C0200</v>
      </c>
      <c r="B3002" t="s">
        <v>6227</v>
      </c>
      <c r="C3002">
        <v>20</v>
      </c>
      <c r="D3002" t="s">
        <v>88</v>
      </c>
      <c r="E3002">
        <v>485</v>
      </c>
      <c r="F3002" t="s">
        <v>6211</v>
      </c>
      <c r="G3002">
        <v>2114</v>
      </c>
      <c r="H3002">
        <v>2</v>
      </c>
      <c r="I3002" t="s">
        <v>98</v>
      </c>
      <c r="J3002">
        <v>0</v>
      </c>
      <c r="K3002">
        <v>1</v>
      </c>
      <c r="L3002">
        <v>5</v>
      </c>
      <c r="M3002">
        <v>158</v>
      </c>
      <c r="N3002">
        <v>416</v>
      </c>
      <c r="O3002">
        <v>3</v>
      </c>
      <c r="P3002">
        <v>416</v>
      </c>
      <c r="Q3002">
        <v>5</v>
      </c>
      <c r="R3002">
        <v>84</v>
      </c>
      <c r="S3002">
        <v>53</v>
      </c>
      <c r="T3002">
        <v>1</v>
      </c>
      <c r="U3002">
        <v>8</v>
      </c>
      <c r="V3002">
        <v>1</v>
      </c>
      <c r="W3002">
        <v>2</v>
      </c>
      <c r="X3002">
        <v>3</v>
      </c>
      <c r="Y3002">
        <v>40</v>
      </c>
      <c r="Z3002">
        <v>1</v>
      </c>
      <c r="AA3002">
        <v>193</v>
      </c>
      <c r="AC3002">
        <v>2</v>
      </c>
      <c r="AD3002">
        <v>0</v>
      </c>
      <c r="AE3002">
        <v>0</v>
      </c>
      <c r="AF3002">
        <v>0</v>
      </c>
      <c r="AG3002">
        <v>0</v>
      </c>
      <c r="AH3002">
        <v>0</v>
      </c>
      <c r="AI3002">
        <v>0</v>
      </c>
      <c r="AJ3002">
        <v>0</v>
      </c>
      <c r="AK3002">
        <v>3</v>
      </c>
      <c r="AL3002">
        <v>0</v>
      </c>
      <c r="AM3002">
        <v>0</v>
      </c>
      <c r="AN3002">
        <v>1</v>
      </c>
      <c r="BC3002">
        <v>0</v>
      </c>
      <c r="BD3002">
        <v>19</v>
      </c>
      <c r="BE3002">
        <v>416</v>
      </c>
      <c r="BF3002">
        <v>416</v>
      </c>
      <c r="BG3002">
        <v>552</v>
      </c>
      <c r="BJ3002">
        <v>1</v>
      </c>
      <c r="BL3002" t="s">
        <v>6228</v>
      </c>
      <c r="BM3002" s="4">
        <v>43283.118750000001</v>
      </c>
      <c r="BN3002" s="4">
        <v>43283.139664351853</v>
      </c>
      <c r="BO3002" s="4">
        <v>43283.139664351853</v>
      </c>
      <c r="BP3002" t="s">
        <v>92</v>
      </c>
      <c r="BQ3002" t="s">
        <v>93</v>
      </c>
      <c r="BR3002" t="s">
        <v>94</v>
      </c>
    </row>
    <row r="3003" spans="1:70" x14ac:dyDescent="0.3">
      <c r="A3003" t="str">
        <f>"202115B0100"</f>
        <v>202115B0100</v>
      </c>
      <c r="B3003" t="s">
        <v>6229</v>
      </c>
      <c r="C3003">
        <v>20</v>
      </c>
      <c r="D3003" t="s">
        <v>88</v>
      </c>
      <c r="E3003">
        <v>485</v>
      </c>
      <c r="F3003" t="s">
        <v>6211</v>
      </c>
      <c r="G3003">
        <v>2115</v>
      </c>
      <c r="H3003">
        <v>1</v>
      </c>
      <c r="I3003" t="s">
        <v>90</v>
      </c>
      <c r="J3003">
        <v>0</v>
      </c>
      <c r="K3003">
        <v>2</v>
      </c>
      <c r="L3003">
        <v>5</v>
      </c>
      <c r="M3003">
        <v>177</v>
      </c>
      <c r="N3003">
        <v>429</v>
      </c>
      <c r="O3003">
        <v>2</v>
      </c>
      <c r="P3003">
        <v>429</v>
      </c>
      <c r="Q3003">
        <v>6</v>
      </c>
      <c r="R3003">
        <v>41</v>
      </c>
      <c r="S3003">
        <v>16</v>
      </c>
      <c r="T3003">
        <v>2</v>
      </c>
      <c r="U3003">
        <v>17</v>
      </c>
      <c r="V3003">
        <v>2</v>
      </c>
      <c r="W3003">
        <v>11</v>
      </c>
      <c r="X3003">
        <v>1</v>
      </c>
      <c r="Y3003">
        <v>96</v>
      </c>
      <c r="Z3003">
        <v>9</v>
      </c>
      <c r="AA3003">
        <v>204</v>
      </c>
      <c r="AC3003">
        <v>0</v>
      </c>
      <c r="AD3003">
        <v>0</v>
      </c>
      <c r="AE3003">
        <v>0</v>
      </c>
      <c r="AF3003">
        <v>0</v>
      </c>
      <c r="AG3003">
        <v>0</v>
      </c>
      <c r="AH3003">
        <v>0</v>
      </c>
      <c r="AI3003">
        <v>0</v>
      </c>
      <c r="AJ3003">
        <v>0</v>
      </c>
      <c r="AK3003">
        <v>3</v>
      </c>
      <c r="AL3003">
        <v>0</v>
      </c>
      <c r="AM3003">
        <v>1</v>
      </c>
      <c r="AN3003">
        <v>0</v>
      </c>
      <c r="BC3003">
        <v>0</v>
      </c>
      <c r="BD3003">
        <v>20</v>
      </c>
      <c r="BE3003">
        <v>429</v>
      </c>
      <c r="BF3003">
        <v>429</v>
      </c>
      <c r="BG3003">
        <v>584</v>
      </c>
      <c r="BJ3003">
        <v>1</v>
      </c>
      <c r="BL3003" t="s">
        <v>6230</v>
      </c>
      <c r="BM3003" s="4">
        <v>43283.081944444442</v>
      </c>
      <c r="BN3003" s="4">
        <v>43283.086828703701</v>
      </c>
      <c r="BO3003" s="4">
        <v>43283.086828703701</v>
      </c>
      <c r="BP3003" t="s">
        <v>92</v>
      </c>
      <c r="BQ3003" t="s">
        <v>93</v>
      </c>
      <c r="BR3003" t="s">
        <v>94</v>
      </c>
    </row>
    <row r="3004" spans="1:70" x14ac:dyDescent="0.3">
      <c r="A3004" t="str">
        <f>"202116B0100"</f>
        <v>202116B0100</v>
      </c>
      <c r="B3004" t="s">
        <v>6231</v>
      </c>
      <c r="C3004">
        <v>20</v>
      </c>
      <c r="D3004" t="s">
        <v>88</v>
      </c>
      <c r="E3004">
        <v>485</v>
      </c>
      <c r="F3004" t="s">
        <v>6211</v>
      </c>
      <c r="G3004">
        <v>2116</v>
      </c>
      <c r="H3004">
        <v>1</v>
      </c>
      <c r="I3004" t="s">
        <v>90</v>
      </c>
      <c r="J3004">
        <v>0</v>
      </c>
      <c r="K3004">
        <v>2</v>
      </c>
      <c r="L3004">
        <v>5</v>
      </c>
      <c r="M3004">
        <v>129</v>
      </c>
      <c r="N3004">
        <v>437</v>
      </c>
      <c r="O3004">
        <v>5</v>
      </c>
      <c r="P3004">
        <v>437</v>
      </c>
      <c r="Q3004">
        <v>7</v>
      </c>
      <c r="R3004">
        <v>11</v>
      </c>
      <c r="S3004">
        <v>119</v>
      </c>
      <c r="T3004">
        <v>4</v>
      </c>
      <c r="U3004">
        <v>7</v>
      </c>
      <c r="V3004">
        <v>5</v>
      </c>
      <c r="W3004">
        <v>1</v>
      </c>
      <c r="X3004">
        <v>0</v>
      </c>
      <c r="Y3004">
        <v>35</v>
      </c>
      <c r="Z3004">
        <v>0</v>
      </c>
      <c r="AA3004">
        <v>230</v>
      </c>
      <c r="AC3004">
        <v>0</v>
      </c>
      <c r="AD3004">
        <v>0</v>
      </c>
      <c r="AE3004">
        <v>0</v>
      </c>
      <c r="AF3004">
        <v>0</v>
      </c>
      <c r="AG3004">
        <v>0</v>
      </c>
      <c r="AH3004">
        <v>0</v>
      </c>
      <c r="AI3004">
        <v>0</v>
      </c>
      <c r="AJ3004">
        <v>0</v>
      </c>
      <c r="AK3004">
        <v>0</v>
      </c>
      <c r="AL3004">
        <v>0</v>
      </c>
      <c r="AM3004">
        <v>0</v>
      </c>
      <c r="AN3004">
        <v>0</v>
      </c>
      <c r="BC3004">
        <v>0</v>
      </c>
      <c r="BD3004">
        <v>18</v>
      </c>
      <c r="BE3004">
        <v>437</v>
      </c>
      <c r="BF3004">
        <v>437</v>
      </c>
      <c r="BG3004">
        <v>544</v>
      </c>
      <c r="BJ3004">
        <v>1</v>
      </c>
      <c r="BL3004" t="s">
        <v>6232</v>
      </c>
      <c r="BM3004" s="4">
        <v>43283.034722222219</v>
      </c>
      <c r="BN3004" s="4">
        <v>43283.03869212963</v>
      </c>
      <c r="BO3004" s="4">
        <v>43283.03869212963</v>
      </c>
      <c r="BP3004" t="s">
        <v>92</v>
      </c>
      <c r="BQ3004" t="s">
        <v>93</v>
      </c>
      <c r="BR3004" t="s">
        <v>94</v>
      </c>
    </row>
    <row r="3005" spans="1:70" x14ac:dyDescent="0.3">
      <c r="A3005" t="str">
        <f>"202116C0100"</f>
        <v>202116C0100</v>
      </c>
      <c r="B3005" t="s">
        <v>6233</v>
      </c>
      <c r="C3005">
        <v>20</v>
      </c>
      <c r="D3005" t="s">
        <v>88</v>
      </c>
      <c r="E3005">
        <v>485</v>
      </c>
      <c r="F3005" t="s">
        <v>6211</v>
      </c>
      <c r="G3005">
        <v>2116</v>
      </c>
      <c r="H3005">
        <v>1</v>
      </c>
      <c r="I3005" t="s">
        <v>98</v>
      </c>
      <c r="J3005">
        <v>0</v>
      </c>
      <c r="K3005">
        <v>2</v>
      </c>
      <c r="L3005">
        <v>5</v>
      </c>
      <c r="M3005">
        <v>142</v>
      </c>
      <c r="N3005">
        <v>423</v>
      </c>
      <c r="O3005">
        <v>3</v>
      </c>
      <c r="P3005">
        <v>423</v>
      </c>
      <c r="Q3005">
        <v>10</v>
      </c>
      <c r="R3005">
        <v>13</v>
      </c>
      <c r="S3005">
        <v>88</v>
      </c>
      <c r="T3005">
        <v>1</v>
      </c>
      <c r="U3005">
        <v>11</v>
      </c>
      <c r="V3005">
        <v>3</v>
      </c>
      <c r="W3005">
        <v>1</v>
      </c>
      <c r="X3005">
        <v>3</v>
      </c>
      <c r="Y3005">
        <v>51</v>
      </c>
      <c r="Z3005">
        <v>2</v>
      </c>
      <c r="AA3005">
        <v>223</v>
      </c>
      <c r="AC3005">
        <v>0</v>
      </c>
      <c r="AD3005">
        <v>0</v>
      </c>
      <c r="AE3005">
        <v>0</v>
      </c>
      <c r="AF3005">
        <v>0</v>
      </c>
      <c r="AG3005">
        <v>0</v>
      </c>
      <c r="AH3005">
        <v>0</v>
      </c>
      <c r="AI3005">
        <v>0</v>
      </c>
      <c r="AJ3005">
        <v>0</v>
      </c>
      <c r="AK3005">
        <v>0</v>
      </c>
      <c r="AL3005">
        <v>0</v>
      </c>
      <c r="AM3005">
        <v>0</v>
      </c>
      <c r="AN3005">
        <v>0</v>
      </c>
      <c r="BC3005">
        <v>0</v>
      </c>
      <c r="BD3005">
        <v>17</v>
      </c>
      <c r="BE3005">
        <v>423</v>
      </c>
      <c r="BF3005">
        <v>423</v>
      </c>
      <c r="BG3005">
        <v>543</v>
      </c>
      <c r="BJ3005">
        <v>1</v>
      </c>
      <c r="BL3005" t="s">
        <v>6234</v>
      </c>
      <c r="BM3005" s="4">
        <v>43283.040972222225</v>
      </c>
      <c r="BN3005" s="4">
        <v>43283.045659722222</v>
      </c>
      <c r="BO3005" s="4">
        <v>43283.045659722222</v>
      </c>
      <c r="BP3005" t="s">
        <v>92</v>
      </c>
      <c r="BQ3005" t="s">
        <v>93</v>
      </c>
      <c r="BR3005" t="s">
        <v>94</v>
      </c>
    </row>
    <row r="3006" spans="1:70" x14ac:dyDescent="0.3">
      <c r="A3006" t="str">
        <f>"202117B0100"</f>
        <v>202117B0100</v>
      </c>
      <c r="B3006" t="s">
        <v>6235</v>
      </c>
      <c r="C3006">
        <v>20</v>
      </c>
      <c r="D3006" t="s">
        <v>88</v>
      </c>
      <c r="E3006">
        <v>486</v>
      </c>
      <c r="F3006" t="s">
        <v>6236</v>
      </c>
      <c r="G3006">
        <v>2117</v>
      </c>
      <c r="H3006">
        <v>1</v>
      </c>
      <c r="I3006" t="s">
        <v>90</v>
      </c>
      <c r="J3006">
        <v>0</v>
      </c>
      <c r="K3006">
        <v>1</v>
      </c>
      <c r="L3006">
        <v>5</v>
      </c>
      <c r="M3006">
        <v>264</v>
      </c>
      <c r="N3006">
        <v>494</v>
      </c>
      <c r="O3006">
        <v>0</v>
      </c>
      <c r="P3006">
        <v>494</v>
      </c>
      <c r="Q3006">
        <v>7</v>
      </c>
      <c r="R3006">
        <v>157</v>
      </c>
      <c r="S3006">
        <v>7</v>
      </c>
      <c r="T3006">
        <v>1</v>
      </c>
      <c r="U3006">
        <v>3</v>
      </c>
      <c r="V3006">
        <v>2</v>
      </c>
      <c r="W3006">
        <v>172</v>
      </c>
      <c r="X3006">
        <v>1</v>
      </c>
      <c r="Y3006">
        <v>117</v>
      </c>
      <c r="Z3006">
        <v>3</v>
      </c>
      <c r="AC3006">
        <v>0</v>
      </c>
      <c r="AD3006">
        <v>0</v>
      </c>
      <c r="AE3006">
        <v>0</v>
      </c>
      <c r="AF3006">
        <v>0</v>
      </c>
      <c r="AG3006">
        <v>0</v>
      </c>
      <c r="AH3006">
        <v>2</v>
      </c>
      <c r="AI3006">
        <v>0</v>
      </c>
      <c r="AJ3006">
        <v>0</v>
      </c>
      <c r="AK3006">
        <v>0</v>
      </c>
      <c r="AL3006">
        <v>0</v>
      </c>
      <c r="AM3006">
        <v>0</v>
      </c>
      <c r="AN3006">
        <v>0</v>
      </c>
      <c r="BC3006">
        <v>0</v>
      </c>
      <c r="BD3006">
        <v>22</v>
      </c>
      <c r="BE3006">
        <v>494</v>
      </c>
      <c r="BF3006">
        <v>494</v>
      </c>
      <c r="BG3006">
        <v>736</v>
      </c>
      <c r="BJ3006">
        <v>1</v>
      </c>
      <c r="BL3006" t="s">
        <v>6237</v>
      </c>
      <c r="BM3006" s="4">
        <v>43283.364583333336</v>
      </c>
      <c r="BN3006" s="4">
        <v>43283.373159722221</v>
      </c>
      <c r="BO3006" s="4">
        <v>43283.373159722221</v>
      </c>
      <c r="BP3006" t="s">
        <v>92</v>
      </c>
      <c r="BQ3006" t="s">
        <v>93</v>
      </c>
      <c r="BR3006" t="s">
        <v>94</v>
      </c>
    </row>
    <row r="3007" spans="1:70" x14ac:dyDescent="0.3">
      <c r="A3007" t="str">
        <f>"202118B0100"</f>
        <v>202118B0100</v>
      </c>
      <c r="B3007" t="s">
        <v>6238</v>
      </c>
      <c r="C3007">
        <v>20</v>
      </c>
      <c r="D3007" t="s">
        <v>88</v>
      </c>
      <c r="E3007">
        <v>486</v>
      </c>
      <c r="F3007" t="s">
        <v>6236</v>
      </c>
      <c r="G3007">
        <v>2118</v>
      </c>
      <c r="H3007">
        <v>1</v>
      </c>
      <c r="I3007" t="s">
        <v>90</v>
      </c>
      <c r="J3007">
        <v>0</v>
      </c>
      <c r="K3007">
        <v>1</v>
      </c>
      <c r="L3007">
        <v>5</v>
      </c>
      <c r="M3007">
        <v>146</v>
      </c>
      <c r="N3007">
        <v>309</v>
      </c>
      <c r="O3007">
        <v>0</v>
      </c>
      <c r="P3007">
        <v>309</v>
      </c>
      <c r="Q3007">
        <v>2</v>
      </c>
      <c r="R3007">
        <v>117</v>
      </c>
      <c r="S3007">
        <v>3</v>
      </c>
      <c r="T3007">
        <v>0</v>
      </c>
      <c r="U3007">
        <v>1</v>
      </c>
      <c r="V3007">
        <v>0</v>
      </c>
      <c r="W3007">
        <v>73</v>
      </c>
      <c r="X3007">
        <v>2</v>
      </c>
      <c r="Y3007">
        <v>87</v>
      </c>
      <c r="Z3007">
        <v>1</v>
      </c>
      <c r="AC3007">
        <v>0</v>
      </c>
      <c r="AD3007">
        <v>0</v>
      </c>
      <c r="AE3007">
        <v>0</v>
      </c>
      <c r="AF3007">
        <v>0</v>
      </c>
      <c r="AG3007">
        <v>1</v>
      </c>
      <c r="AH3007">
        <v>3</v>
      </c>
      <c r="AI3007">
        <v>0</v>
      </c>
      <c r="AJ3007">
        <v>0</v>
      </c>
      <c r="AK3007">
        <v>1</v>
      </c>
      <c r="AL3007">
        <v>0</v>
      </c>
      <c r="AM3007">
        <v>0</v>
      </c>
      <c r="AN3007">
        <v>0</v>
      </c>
      <c r="BC3007">
        <v>0</v>
      </c>
      <c r="BD3007">
        <v>18</v>
      </c>
      <c r="BE3007">
        <v>309</v>
      </c>
      <c r="BF3007">
        <v>309</v>
      </c>
      <c r="BG3007">
        <v>433</v>
      </c>
      <c r="BJ3007">
        <v>1</v>
      </c>
      <c r="BL3007" t="s">
        <v>6239</v>
      </c>
      <c r="BM3007" s="4">
        <v>43283.365277777775</v>
      </c>
      <c r="BN3007" s="4">
        <v>43283.373692129629</v>
      </c>
      <c r="BO3007" s="4">
        <v>43283.373692129629</v>
      </c>
      <c r="BP3007" t="s">
        <v>92</v>
      </c>
      <c r="BQ3007" t="s">
        <v>93</v>
      </c>
      <c r="BR3007" t="s">
        <v>94</v>
      </c>
    </row>
    <row r="3008" spans="1:70" x14ac:dyDescent="0.3">
      <c r="A3008" t="str">
        <f>"202118C0100"</f>
        <v>202118C0100</v>
      </c>
      <c r="B3008" t="s">
        <v>6240</v>
      </c>
      <c r="C3008">
        <v>20</v>
      </c>
      <c r="D3008" t="s">
        <v>88</v>
      </c>
      <c r="E3008">
        <v>486</v>
      </c>
      <c r="F3008" t="s">
        <v>6236</v>
      </c>
      <c r="G3008">
        <v>2118</v>
      </c>
      <c r="H3008">
        <v>1</v>
      </c>
      <c r="I3008" t="s">
        <v>98</v>
      </c>
      <c r="J3008">
        <v>0</v>
      </c>
      <c r="K3008">
        <v>1</v>
      </c>
      <c r="L3008">
        <v>5</v>
      </c>
      <c r="M3008">
        <v>133</v>
      </c>
      <c r="N3008">
        <v>322</v>
      </c>
      <c r="O3008">
        <v>0</v>
      </c>
      <c r="P3008">
        <v>322</v>
      </c>
      <c r="Q3008">
        <v>2</v>
      </c>
      <c r="R3008">
        <v>126</v>
      </c>
      <c r="S3008">
        <v>3</v>
      </c>
      <c r="T3008">
        <v>2</v>
      </c>
      <c r="U3008">
        <v>5</v>
      </c>
      <c r="V3008">
        <v>2</v>
      </c>
      <c r="W3008">
        <v>100</v>
      </c>
      <c r="X3008">
        <v>4</v>
      </c>
      <c r="Y3008">
        <v>64</v>
      </c>
      <c r="Z3008">
        <v>0</v>
      </c>
      <c r="AC3008">
        <v>0</v>
      </c>
      <c r="AD3008">
        <v>0</v>
      </c>
      <c r="AE3008">
        <v>0</v>
      </c>
      <c r="AF3008">
        <v>0</v>
      </c>
      <c r="AG3008">
        <v>0</v>
      </c>
      <c r="AH3008">
        <v>1</v>
      </c>
      <c r="AI3008">
        <v>1</v>
      </c>
      <c r="AJ3008">
        <v>0</v>
      </c>
      <c r="AK3008">
        <v>0</v>
      </c>
      <c r="AL3008">
        <v>0</v>
      </c>
      <c r="AM3008">
        <v>0</v>
      </c>
      <c r="AN3008">
        <v>0</v>
      </c>
      <c r="BC3008">
        <v>0</v>
      </c>
      <c r="BD3008">
        <v>12</v>
      </c>
      <c r="BE3008">
        <v>322</v>
      </c>
      <c r="BF3008">
        <v>322</v>
      </c>
      <c r="BG3008">
        <v>433</v>
      </c>
      <c r="BJ3008">
        <v>1</v>
      </c>
      <c r="BL3008" t="s">
        <v>6241</v>
      </c>
      <c r="BM3008" s="4">
        <v>43283.366666666669</v>
      </c>
      <c r="BN3008" s="4">
        <v>43283.373599537037</v>
      </c>
      <c r="BO3008" s="4">
        <v>43283.373599537037</v>
      </c>
      <c r="BP3008" t="s">
        <v>92</v>
      </c>
      <c r="BQ3008" t="s">
        <v>93</v>
      </c>
      <c r="BR3008" t="s">
        <v>94</v>
      </c>
    </row>
    <row r="3009" spans="1:70" x14ac:dyDescent="0.3">
      <c r="A3009" t="str">
        <f>"202119B0100"</f>
        <v>202119B0100</v>
      </c>
      <c r="B3009" t="s">
        <v>6242</v>
      </c>
      <c r="C3009">
        <v>20</v>
      </c>
      <c r="D3009" t="s">
        <v>88</v>
      </c>
      <c r="E3009">
        <v>486</v>
      </c>
      <c r="F3009" t="s">
        <v>6236</v>
      </c>
      <c r="G3009">
        <v>2119</v>
      </c>
      <c r="H3009">
        <v>1</v>
      </c>
      <c r="I3009" t="s">
        <v>90</v>
      </c>
      <c r="J3009">
        <v>0</v>
      </c>
      <c r="K3009">
        <v>2</v>
      </c>
      <c r="L3009">
        <v>5</v>
      </c>
      <c r="M3009">
        <v>191</v>
      </c>
      <c r="N3009">
        <v>207</v>
      </c>
      <c r="O3009">
        <v>0</v>
      </c>
      <c r="P3009">
        <v>207</v>
      </c>
      <c r="Q3009">
        <v>4</v>
      </c>
      <c r="R3009">
        <v>145</v>
      </c>
      <c r="S3009">
        <v>3</v>
      </c>
      <c r="T3009">
        <v>0</v>
      </c>
      <c r="U3009">
        <v>1</v>
      </c>
      <c r="V3009">
        <v>2</v>
      </c>
      <c r="W3009">
        <v>12</v>
      </c>
      <c r="X3009">
        <v>2</v>
      </c>
      <c r="Y3009">
        <v>34</v>
      </c>
      <c r="Z3009">
        <v>1</v>
      </c>
      <c r="AC3009">
        <v>0</v>
      </c>
      <c r="AD3009">
        <v>0</v>
      </c>
      <c r="AE3009">
        <v>0</v>
      </c>
      <c r="AF3009">
        <v>0</v>
      </c>
      <c r="AG3009">
        <v>0</v>
      </c>
      <c r="AH3009">
        <v>0</v>
      </c>
      <c r="AI3009">
        <v>0</v>
      </c>
      <c r="AJ3009">
        <v>0</v>
      </c>
      <c r="AK3009">
        <v>0</v>
      </c>
      <c r="AL3009">
        <v>0</v>
      </c>
      <c r="AM3009">
        <v>0</v>
      </c>
      <c r="AN3009">
        <v>0</v>
      </c>
      <c r="BC3009">
        <v>0</v>
      </c>
      <c r="BD3009">
        <v>3</v>
      </c>
      <c r="BE3009">
        <v>207</v>
      </c>
      <c r="BF3009">
        <v>207</v>
      </c>
      <c r="BG3009">
        <v>376</v>
      </c>
      <c r="BJ3009">
        <v>1</v>
      </c>
      <c r="BL3009" t="s">
        <v>6243</v>
      </c>
      <c r="BM3009" s="4">
        <v>43283.359027777777</v>
      </c>
      <c r="BN3009" s="4">
        <v>43283.38957175926</v>
      </c>
      <c r="BO3009" s="4">
        <v>43283.38957175926</v>
      </c>
      <c r="BP3009" t="s">
        <v>92</v>
      </c>
      <c r="BQ3009" t="s">
        <v>93</v>
      </c>
      <c r="BR3009" t="s">
        <v>94</v>
      </c>
    </row>
    <row r="3010" spans="1:70" x14ac:dyDescent="0.3">
      <c r="A3010" t="str">
        <f>"202120B0100"</f>
        <v>202120B0100</v>
      </c>
      <c r="B3010" t="s">
        <v>6244</v>
      </c>
      <c r="C3010">
        <v>20</v>
      </c>
      <c r="D3010" t="s">
        <v>88</v>
      </c>
      <c r="E3010">
        <v>486</v>
      </c>
      <c r="F3010" t="s">
        <v>6236</v>
      </c>
      <c r="G3010">
        <v>2120</v>
      </c>
      <c r="H3010">
        <v>1</v>
      </c>
      <c r="I3010" t="s">
        <v>90</v>
      </c>
      <c r="J3010">
        <v>0</v>
      </c>
      <c r="K3010">
        <v>2</v>
      </c>
      <c r="L3010">
        <v>5</v>
      </c>
      <c r="M3010">
        <v>134</v>
      </c>
      <c r="N3010">
        <v>161</v>
      </c>
      <c r="O3010">
        <v>0</v>
      </c>
      <c r="P3010">
        <v>161</v>
      </c>
      <c r="Q3010">
        <v>0</v>
      </c>
      <c r="R3010">
        <v>54</v>
      </c>
      <c r="S3010">
        <v>2</v>
      </c>
      <c r="T3010">
        <v>3</v>
      </c>
      <c r="U3010">
        <v>1</v>
      </c>
      <c r="V3010">
        <v>1</v>
      </c>
      <c r="W3010">
        <v>63</v>
      </c>
      <c r="X3010">
        <v>0</v>
      </c>
      <c r="Y3010">
        <v>29</v>
      </c>
      <c r="Z3010">
        <v>0</v>
      </c>
      <c r="AC3010">
        <v>0</v>
      </c>
      <c r="AD3010">
        <v>0</v>
      </c>
      <c r="AE3010">
        <v>0</v>
      </c>
      <c r="AF3010">
        <v>0</v>
      </c>
      <c r="AG3010">
        <v>0</v>
      </c>
      <c r="AH3010">
        <v>0</v>
      </c>
      <c r="AI3010">
        <v>0</v>
      </c>
      <c r="AJ3010">
        <v>0</v>
      </c>
      <c r="AK3010">
        <v>0</v>
      </c>
      <c r="AL3010">
        <v>1</v>
      </c>
      <c r="AM3010">
        <v>0</v>
      </c>
      <c r="AN3010">
        <v>0</v>
      </c>
      <c r="BC3010">
        <v>0</v>
      </c>
      <c r="BD3010">
        <v>7</v>
      </c>
      <c r="BE3010">
        <v>161</v>
      </c>
      <c r="BF3010">
        <v>161</v>
      </c>
      <c r="BG3010">
        <v>273</v>
      </c>
      <c r="BJ3010">
        <v>1</v>
      </c>
      <c r="BL3010" t="s">
        <v>6245</v>
      </c>
      <c r="BM3010" s="4">
        <v>43283.36041666667</v>
      </c>
      <c r="BN3010" s="4">
        <v>43283.374189814815</v>
      </c>
      <c r="BO3010" s="4">
        <v>43283.374189814815</v>
      </c>
      <c r="BP3010" t="s">
        <v>92</v>
      </c>
      <c r="BQ3010" t="s">
        <v>93</v>
      </c>
      <c r="BR3010" t="s">
        <v>94</v>
      </c>
    </row>
    <row r="3011" spans="1:70" x14ac:dyDescent="0.3">
      <c r="A3011" t="str">
        <f>"202121B0100"</f>
        <v>202121B0100</v>
      </c>
      <c r="B3011" t="s">
        <v>6246</v>
      </c>
      <c r="C3011">
        <v>20</v>
      </c>
      <c r="D3011" t="s">
        <v>88</v>
      </c>
      <c r="E3011">
        <v>486</v>
      </c>
      <c r="F3011" t="s">
        <v>6236</v>
      </c>
      <c r="G3011">
        <v>2121</v>
      </c>
      <c r="H3011">
        <v>1</v>
      </c>
      <c r="I3011" t="s">
        <v>90</v>
      </c>
      <c r="J3011">
        <v>0</v>
      </c>
      <c r="K3011">
        <v>2</v>
      </c>
      <c r="L3011">
        <v>5</v>
      </c>
      <c r="M3011">
        <v>121</v>
      </c>
      <c r="N3011">
        <v>235</v>
      </c>
      <c r="O3011">
        <v>0</v>
      </c>
      <c r="P3011">
        <v>235</v>
      </c>
      <c r="Q3011">
        <v>0</v>
      </c>
      <c r="R3011">
        <v>54</v>
      </c>
      <c r="S3011">
        <v>3</v>
      </c>
      <c r="T3011">
        <v>0</v>
      </c>
      <c r="U3011">
        <v>4</v>
      </c>
      <c r="V3011">
        <v>0</v>
      </c>
      <c r="W3011">
        <v>16</v>
      </c>
      <c r="X3011">
        <v>1</v>
      </c>
      <c r="Y3011">
        <v>149</v>
      </c>
      <c r="Z3011">
        <v>1</v>
      </c>
      <c r="AC3011">
        <v>0</v>
      </c>
      <c r="AD3011">
        <v>0</v>
      </c>
      <c r="AE3011">
        <v>0</v>
      </c>
      <c r="AF3011">
        <v>0</v>
      </c>
      <c r="AG3011">
        <v>0</v>
      </c>
      <c r="AH3011">
        <v>0</v>
      </c>
      <c r="AI3011">
        <v>0</v>
      </c>
      <c r="AJ3011">
        <v>0</v>
      </c>
      <c r="AK3011">
        <v>0</v>
      </c>
      <c r="AL3011">
        <v>0</v>
      </c>
      <c r="AM3011">
        <v>0</v>
      </c>
      <c r="AN3011">
        <v>0</v>
      </c>
      <c r="BC3011">
        <v>0</v>
      </c>
      <c r="BD3011">
        <v>7</v>
      </c>
      <c r="BE3011">
        <v>235</v>
      </c>
      <c r="BF3011">
        <v>235</v>
      </c>
      <c r="BG3011">
        <v>334</v>
      </c>
      <c r="BJ3011">
        <v>1</v>
      </c>
      <c r="BL3011" t="s">
        <v>6247</v>
      </c>
      <c r="BM3011" s="4">
        <v>43283.361805555556</v>
      </c>
      <c r="BN3011" s="4">
        <v>43283.371967592589</v>
      </c>
      <c r="BO3011" s="4">
        <v>43283.371967592589</v>
      </c>
      <c r="BP3011" t="s">
        <v>92</v>
      </c>
      <c r="BQ3011" t="s">
        <v>93</v>
      </c>
      <c r="BR3011" t="s">
        <v>94</v>
      </c>
    </row>
    <row r="3012" spans="1:70" x14ac:dyDescent="0.3">
      <c r="A3012" t="str">
        <f>"202122B0100"</f>
        <v>202122B0100</v>
      </c>
      <c r="B3012" t="s">
        <v>6248</v>
      </c>
      <c r="C3012">
        <v>20</v>
      </c>
      <c r="D3012" t="s">
        <v>88</v>
      </c>
      <c r="E3012">
        <v>486</v>
      </c>
      <c r="F3012" t="s">
        <v>6236</v>
      </c>
      <c r="G3012">
        <v>2122</v>
      </c>
      <c r="H3012">
        <v>1</v>
      </c>
      <c r="I3012" t="s">
        <v>90</v>
      </c>
      <c r="J3012">
        <v>0</v>
      </c>
      <c r="K3012">
        <v>2</v>
      </c>
      <c r="L3012">
        <v>5</v>
      </c>
      <c r="M3012">
        <v>178</v>
      </c>
      <c r="N3012">
        <v>396</v>
      </c>
      <c r="O3012">
        <v>2</v>
      </c>
      <c r="P3012">
        <v>396</v>
      </c>
      <c r="Q3012">
        <v>1</v>
      </c>
      <c r="R3012">
        <v>142</v>
      </c>
      <c r="S3012">
        <v>3</v>
      </c>
      <c r="T3012">
        <v>0</v>
      </c>
      <c r="U3012">
        <v>4</v>
      </c>
      <c r="V3012">
        <v>4</v>
      </c>
      <c r="W3012">
        <v>93</v>
      </c>
      <c r="X3012">
        <v>0</v>
      </c>
      <c r="Y3012">
        <v>143</v>
      </c>
      <c r="Z3012">
        <v>1</v>
      </c>
      <c r="AC3012">
        <v>0</v>
      </c>
      <c r="AD3012">
        <v>0</v>
      </c>
      <c r="AE3012">
        <v>0</v>
      </c>
      <c r="AF3012">
        <v>0</v>
      </c>
      <c r="AG3012">
        <v>0</v>
      </c>
      <c r="AH3012">
        <v>0</v>
      </c>
      <c r="AI3012">
        <v>0</v>
      </c>
      <c r="AJ3012">
        <v>0</v>
      </c>
      <c r="AK3012">
        <v>0</v>
      </c>
      <c r="AL3012">
        <v>0</v>
      </c>
      <c r="AM3012">
        <v>0</v>
      </c>
      <c r="AN3012">
        <v>0</v>
      </c>
      <c r="BC3012">
        <v>0</v>
      </c>
      <c r="BD3012">
        <v>5</v>
      </c>
      <c r="BE3012">
        <v>396</v>
      </c>
      <c r="BF3012">
        <v>396</v>
      </c>
      <c r="BG3012">
        <v>553</v>
      </c>
      <c r="BJ3012">
        <v>1</v>
      </c>
      <c r="BL3012" t="s">
        <v>6249</v>
      </c>
      <c r="BM3012" s="4">
        <v>43283.363194444442</v>
      </c>
      <c r="BN3012" s="4">
        <v>43283.374189814815</v>
      </c>
      <c r="BO3012" s="4">
        <v>43283.374189814815</v>
      </c>
      <c r="BP3012" t="s">
        <v>92</v>
      </c>
      <c r="BQ3012" t="s">
        <v>93</v>
      </c>
      <c r="BR3012" t="s">
        <v>94</v>
      </c>
    </row>
    <row r="3013" spans="1:70" x14ac:dyDescent="0.3">
      <c r="A3013" t="str">
        <f>"202123B0100"</f>
        <v>202123B0100</v>
      </c>
      <c r="B3013" t="s">
        <v>6250</v>
      </c>
      <c r="C3013">
        <v>20</v>
      </c>
      <c r="D3013" t="s">
        <v>88</v>
      </c>
      <c r="E3013">
        <v>487</v>
      </c>
      <c r="F3013" t="s">
        <v>6251</v>
      </c>
      <c r="G3013">
        <v>2123</v>
      </c>
      <c r="H3013">
        <v>1</v>
      </c>
      <c r="I3013" t="s">
        <v>90</v>
      </c>
      <c r="J3013">
        <v>0</v>
      </c>
      <c r="K3013">
        <v>2</v>
      </c>
      <c r="L3013">
        <v>5</v>
      </c>
      <c r="BG3013">
        <v>563</v>
      </c>
      <c r="BI3013" t="s">
        <v>122</v>
      </c>
      <c r="BJ3013">
        <v>0</v>
      </c>
      <c r="BL3013" t="s">
        <v>6252</v>
      </c>
      <c r="BM3013" s="4">
        <v>43283.758333333331</v>
      </c>
      <c r="BN3013" s="4">
        <v>43283.762997685182</v>
      </c>
      <c r="BO3013" s="4">
        <v>43283.762997685182</v>
      </c>
      <c r="BP3013" t="s">
        <v>92</v>
      </c>
      <c r="BQ3013" t="s">
        <v>93</v>
      </c>
      <c r="BR3013" t="s">
        <v>94</v>
      </c>
    </row>
    <row r="3014" spans="1:70" x14ac:dyDescent="0.3">
      <c r="A3014" t="str">
        <f>"202123C0100"</f>
        <v>202123C0100</v>
      </c>
      <c r="B3014" t="s">
        <v>6253</v>
      </c>
      <c r="C3014">
        <v>20</v>
      </c>
      <c r="D3014" t="s">
        <v>88</v>
      </c>
      <c r="E3014">
        <v>487</v>
      </c>
      <c r="F3014" t="s">
        <v>6251</v>
      </c>
      <c r="G3014">
        <v>2123</v>
      </c>
      <c r="H3014">
        <v>1</v>
      </c>
      <c r="I3014" t="s">
        <v>98</v>
      </c>
      <c r="J3014">
        <v>0</v>
      </c>
      <c r="K3014">
        <v>2</v>
      </c>
      <c r="L3014">
        <v>5</v>
      </c>
      <c r="BG3014">
        <v>562</v>
      </c>
      <c r="BI3014" t="s">
        <v>122</v>
      </c>
      <c r="BJ3014">
        <v>0</v>
      </c>
      <c r="BL3014" t="s">
        <v>6254</v>
      </c>
      <c r="BM3014" s="4">
        <v>43283.758333333331</v>
      </c>
      <c r="BN3014" s="4">
        <v>43283.764340277776</v>
      </c>
      <c r="BO3014" s="4">
        <v>43283.764340277776</v>
      </c>
      <c r="BP3014" t="s">
        <v>92</v>
      </c>
      <c r="BQ3014" t="s">
        <v>93</v>
      </c>
      <c r="BR3014" t="s">
        <v>94</v>
      </c>
    </row>
    <row r="3015" spans="1:70" x14ac:dyDescent="0.3">
      <c r="A3015" t="str">
        <f>"202124B0100"</f>
        <v>202124B0100</v>
      </c>
      <c r="B3015" t="s">
        <v>6255</v>
      </c>
      <c r="C3015">
        <v>20</v>
      </c>
      <c r="D3015" t="s">
        <v>88</v>
      </c>
      <c r="E3015">
        <v>487</v>
      </c>
      <c r="F3015" t="s">
        <v>6251</v>
      </c>
      <c r="G3015">
        <v>2124</v>
      </c>
      <c r="H3015">
        <v>1</v>
      </c>
      <c r="I3015" t="s">
        <v>90</v>
      </c>
      <c r="J3015">
        <v>0</v>
      </c>
      <c r="K3015">
        <v>2</v>
      </c>
      <c r="L3015">
        <v>5</v>
      </c>
      <c r="BG3015">
        <v>738</v>
      </c>
      <c r="BI3015" t="s">
        <v>122</v>
      </c>
      <c r="BJ3015">
        <v>0</v>
      </c>
      <c r="BL3015" t="s">
        <v>6256</v>
      </c>
      <c r="BM3015" s="4">
        <v>43283.771527777775</v>
      </c>
      <c r="BN3015" s="4">
        <v>43283.774780092594</v>
      </c>
      <c r="BO3015" s="4">
        <v>43283.774780092594</v>
      </c>
      <c r="BP3015" t="s">
        <v>92</v>
      </c>
      <c r="BQ3015" t="s">
        <v>93</v>
      </c>
      <c r="BR3015" t="s">
        <v>94</v>
      </c>
    </row>
    <row r="3016" spans="1:70" x14ac:dyDescent="0.3">
      <c r="A3016" t="str">
        <f>"202124E0100"</f>
        <v>202124E0100</v>
      </c>
      <c r="B3016" s="2" t="s">
        <v>6257</v>
      </c>
      <c r="C3016">
        <v>20</v>
      </c>
      <c r="D3016" t="s">
        <v>88</v>
      </c>
      <c r="E3016">
        <v>487</v>
      </c>
      <c r="F3016" t="s">
        <v>6251</v>
      </c>
      <c r="G3016">
        <v>2124</v>
      </c>
      <c r="H3016">
        <v>1</v>
      </c>
      <c r="I3016" t="s">
        <v>156</v>
      </c>
      <c r="J3016">
        <v>0</v>
      </c>
      <c r="K3016">
        <v>2</v>
      </c>
      <c r="L3016">
        <v>5</v>
      </c>
      <c r="M3016">
        <v>54</v>
      </c>
      <c r="N3016">
        <v>137</v>
      </c>
      <c r="O3016">
        <v>4</v>
      </c>
      <c r="P3016" t="s">
        <v>105</v>
      </c>
      <c r="Q3016">
        <v>2</v>
      </c>
      <c r="R3016">
        <v>58</v>
      </c>
      <c r="S3016">
        <v>8</v>
      </c>
      <c r="T3016">
        <v>1</v>
      </c>
      <c r="U3016">
        <v>6</v>
      </c>
      <c r="V3016">
        <v>0</v>
      </c>
      <c r="W3016">
        <v>0</v>
      </c>
      <c r="X3016">
        <v>51</v>
      </c>
      <c r="Y3016">
        <v>4</v>
      </c>
      <c r="Z3016">
        <v>1</v>
      </c>
      <c r="AC3016">
        <v>0</v>
      </c>
      <c r="AD3016">
        <v>0</v>
      </c>
      <c r="AE3016">
        <v>0</v>
      </c>
      <c r="AF3016">
        <v>0</v>
      </c>
      <c r="AK3016">
        <v>0</v>
      </c>
      <c r="AL3016">
        <v>0</v>
      </c>
      <c r="AM3016">
        <v>0</v>
      </c>
      <c r="AN3016">
        <v>0</v>
      </c>
      <c r="BC3016">
        <v>0</v>
      </c>
      <c r="BD3016">
        <v>5</v>
      </c>
      <c r="BE3016">
        <v>136</v>
      </c>
      <c r="BF3016">
        <v>136</v>
      </c>
      <c r="BG3016">
        <v>169</v>
      </c>
      <c r="BJ3016">
        <v>1</v>
      </c>
      <c r="BL3016" t="s">
        <v>6258</v>
      </c>
      <c r="BM3016" s="4">
        <v>43283.246527777781</v>
      </c>
      <c r="BN3016" s="4">
        <v>43283.273564814815</v>
      </c>
      <c r="BO3016" s="4">
        <v>43283.273564814815</v>
      </c>
      <c r="BP3016" t="s">
        <v>92</v>
      </c>
      <c r="BQ3016" t="s">
        <v>93</v>
      </c>
      <c r="BR3016" t="s">
        <v>94</v>
      </c>
    </row>
    <row r="3017" spans="1:70" x14ac:dyDescent="0.3">
      <c r="A3017" t="str">
        <f>"202124E0200"</f>
        <v>202124E0200</v>
      </c>
      <c r="B3017" s="2" t="s">
        <v>6259</v>
      </c>
      <c r="C3017">
        <v>20</v>
      </c>
      <c r="D3017" t="s">
        <v>88</v>
      </c>
      <c r="E3017">
        <v>487</v>
      </c>
      <c r="F3017" t="s">
        <v>6251</v>
      </c>
      <c r="G3017">
        <v>2124</v>
      </c>
      <c r="H3017">
        <v>2</v>
      </c>
      <c r="I3017" t="s">
        <v>156</v>
      </c>
      <c r="J3017">
        <v>0</v>
      </c>
      <c r="K3017">
        <v>2</v>
      </c>
      <c r="L3017">
        <v>5</v>
      </c>
      <c r="M3017">
        <v>60</v>
      </c>
      <c r="N3017">
        <v>147</v>
      </c>
      <c r="O3017">
        <v>4</v>
      </c>
      <c r="P3017">
        <v>148</v>
      </c>
      <c r="Q3017">
        <v>1</v>
      </c>
      <c r="R3017">
        <v>54</v>
      </c>
      <c r="S3017">
        <v>4</v>
      </c>
      <c r="T3017">
        <v>0</v>
      </c>
      <c r="U3017">
        <v>33</v>
      </c>
      <c r="V3017">
        <v>3</v>
      </c>
      <c r="W3017">
        <v>0</v>
      </c>
      <c r="X3017">
        <v>24</v>
      </c>
      <c r="Y3017">
        <v>6</v>
      </c>
      <c r="Z3017">
        <v>1</v>
      </c>
      <c r="AC3017">
        <v>1</v>
      </c>
      <c r="AD3017">
        <v>0</v>
      </c>
      <c r="AE3017">
        <v>0</v>
      </c>
      <c r="AF3017">
        <v>0</v>
      </c>
      <c r="AK3017">
        <v>13</v>
      </c>
      <c r="AL3017">
        <v>1</v>
      </c>
      <c r="AM3017">
        <v>1</v>
      </c>
      <c r="AN3017">
        <v>0</v>
      </c>
      <c r="BC3017">
        <v>0</v>
      </c>
      <c r="BD3017">
        <v>6</v>
      </c>
      <c r="BE3017">
        <v>148</v>
      </c>
      <c r="BF3017">
        <v>148</v>
      </c>
      <c r="BG3017">
        <v>186</v>
      </c>
      <c r="BJ3017">
        <v>1</v>
      </c>
      <c r="BL3017" t="s">
        <v>6260</v>
      </c>
      <c r="BM3017" s="4">
        <v>43283.246527777781</v>
      </c>
      <c r="BN3017" s="4">
        <v>43283.272175925929</v>
      </c>
      <c r="BO3017" s="4">
        <v>43283.272175925929</v>
      </c>
      <c r="BP3017" t="s">
        <v>92</v>
      </c>
      <c r="BQ3017" t="s">
        <v>93</v>
      </c>
      <c r="BR3017" t="s">
        <v>94</v>
      </c>
    </row>
    <row r="3018" spans="1:70" x14ac:dyDescent="0.3">
      <c r="A3018" t="str">
        <f>"202128B0100"</f>
        <v>202128B0100</v>
      </c>
      <c r="B3018" t="s">
        <v>6261</v>
      </c>
      <c r="C3018">
        <v>20</v>
      </c>
      <c r="D3018" t="s">
        <v>88</v>
      </c>
      <c r="E3018">
        <v>490</v>
      </c>
      <c r="F3018" t="s">
        <v>6262</v>
      </c>
      <c r="G3018">
        <v>2128</v>
      </c>
      <c r="H3018">
        <v>1</v>
      </c>
      <c r="I3018" t="s">
        <v>90</v>
      </c>
      <c r="J3018">
        <v>0</v>
      </c>
      <c r="K3018">
        <v>2</v>
      </c>
      <c r="L3018">
        <v>5</v>
      </c>
      <c r="M3018">
        <v>121</v>
      </c>
      <c r="N3018">
        <v>496</v>
      </c>
      <c r="O3018">
        <v>0</v>
      </c>
      <c r="P3018">
        <v>496</v>
      </c>
      <c r="Q3018">
        <v>3</v>
      </c>
      <c r="R3018">
        <v>199</v>
      </c>
      <c r="S3018">
        <v>5</v>
      </c>
      <c r="U3018">
        <v>160</v>
      </c>
      <c r="V3018">
        <v>1</v>
      </c>
      <c r="X3018">
        <v>49</v>
      </c>
      <c r="Y3018">
        <v>43</v>
      </c>
      <c r="Z3018">
        <v>0</v>
      </c>
      <c r="AC3018">
        <v>0</v>
      </c>
      <c r="AD3018">
        <v>0</v>
      </c>
      <c r="AE3018">
        <v>0</v>
      </c>
      <c r="AF3018">
        <v>0</v>
      </c>
      <c r="AK3018">
        <v>2</v>
      </c>
      <c r="AL3018">
        <v>4</v>
      </c>
      <c r="AM3018">
        <v>0</v>
      </c>
      <c r="AN3018">
        <v>0</v>
      </c>
      <c r="BC3018">
        <v>1</v>
      </c>
      <c r="BD3018">
        <v>29</v>
      </c>
      <c r="BE3018">
        <v>496</v>
      </c>
      <c r="BF3018">
        <v>496</v>
      </c>
      <c r="BG3018">
        <v>595</v>
      </c>
      <c r="BJ3018">
        <v>1</v>
      </c>
      <c r="BL3018" t="s">
        <v>6263</v>
      </c>
      <c r="BM3018" s="4">
        <v>43283.201388888891</v>
      </c>
      <c r="BN3018" s="4">
        <v>43283.705752314818</v>
      </c>
      <c r="BO3018" s="4">
        <v>43283.705752314818</v>
      </c>
      <c r="BP3018" t="s">
        <v>92</v>
      </c>
      <c r="BQ3018" t="s">
        <v>93</v>
      </c>
      <c r="BR3018" t="s">
        <v>94</v>
      </c>
    </row>
    <row r="3019" spans="1:70" x14ac:dyDescent="0.3">
      <c r="A3019" t="str">
        <f>"202128C0100"</f>
        <v>202128C0100</v>
      </c>
      <c r="B3019" t="s">
        <v>6264</v>
      </c>
      <c r="C3019">
        <v>20</v>
      </c>
      <c r="D3019" t="s">
        <v>88</v>
      </c>
      <c r="E3019">
        <v>490</v>
      </c>
      <c r="F3019" t="s">
        <v>6262</v>
      </c>
      <c r="G3019">
        <v>2128</v>
      </c>
      <c r="H3019">
        <v>1</v>
      </c>
      <c r="I3019" t="s">
        <v>98</v>
      </c>
      <c r="J3019">
        <v>0</v>
      </c>
      <c r="K3019">
        <v>2</v>
      </c>
      <c r="L3019">
        <v>5</v>
      </c>
      <c r="M3019">
        <v>119</v>
      </c>
      <c r="N3019">
        <v>498</v>
      </c>
      <c r="O3019">
        <v>0</v>
      </c>
      <c r="P3019" t="s">
        <v>105</v>
      </c>
      <c r="Q3019">
        <v>2</v>
      </c>
      <c r="R3019">
        <v>215</v>
      </c>
      <c r="S3019">
        <v>3</v>
      </c>
      <c r="U3019">
        <v>127</v>
      </c>
      <c r="V3019">
        <v>2</v>
      </c>
      <c r="X3019">
        <v>65</v>
      </c>
      <c r="Y3019">
        <v>49</v>
      </c>
      <c r="Z3019">
        <v>2</v>
      </c>
      <c r="AC3019">
        <v>0</v>
      </c>
      <c r="AD3019">
        <v>0</v>
      </c>
      <c r="AE3019">
        <v>0</v>
      </c>
      <c r="AF3019">
        <v>0</v>
      </c>
      <c r="AK3019">
        <v>0</v>
      </c>
      <c r="AL3019">
        <v>1</v>
      </c>
      <c r="AM3019">
        <v>1</v>
      </c>
      <c r="AN3019">
        <v>0</v>
      </c>
      <c r="BC3019">
        <v>0</v>
      </c>
      <c r="BD3019">
        <v>31</v>
      </c>
      <c r="BE3019">
        <v>498</v>
      </c>
      <c r="BF3019">
        <v>498</v>
      </c>
      <c r="BG3019">
        <v>595</v>
      </c>
      <c r="BJ3019">
        <v>1</v>
      </c>
      <c r="BL3019" t="s">
        <v>6265</v>
      </c>
      <c r="BM3019" s="4">
        <v>43283.705555555556</v>
      </c>
      <c r="BN3019" s="4">
        <v>43283.708773148152</v>
      </c>
      <c r="BO3019" s="4">
        <v>43283.708773148152</v>
      </c>
      <c r="BP3019" t="s">
        <v>92</v>
      </c>
      <c r="BQ3019" t="s">
        <v>93</v>
      </c>
      <c r="BR3019" t="s">
        <v>94</v>
      </c>
    </row>
    <row r="3020" spans="1:70" x14ac:dyDescent="0.3">
      <c r="A3020" t="str">
        <f>"202129B0100"</f>
        <v>202129B0100</v>
      </c>
      <c r="B3020" t="s">
        <v>6266</v>
      </c>
      <c r="C3020">
        <v>20</v>
      </c>
      <c r="D3020" t="s">
        <v>88</v>
      </c>
      <c r="E3020">
        <v>490</v>
      </c>
      <c r="F3020" t="s">
        <v>6262</v>
      </c>
      <c r="G3020">
        <v>2129</v>
      </c>
      <c r="H3020">
        <v>1</v>
      </c>
      <c r="I3020" t="s">
        <v>90</v>
      </c>
      <c r="J3020">
        <v>0</v>
      </c>
      <c r="K3020">
        <v>2</v>
      </c>
      <c r="L3020">
        <v>5</v>
      </c>
      <c r="BG3020">
        <v>404</v>
      </c>
      <c r="BI3020" t="s">
        <v>122</v>
      </c>
      <c r="BJ3020">
        <v>0</v>
      </c>
      <c r="BL3020" s="2" t="s">
        <v>6267</v>
      </c>
      <c r="BM3020" s="4">
        <v>43283.725694444445</v>
      </c>
      <c r="BN3020" s="4">
        <v>43283.728067129632</v>
      </c>
      <c r="BO3020" s="4">
        <v>43283.728067129632</v>
      </c>
      <c r="BP3020" t="s">
        <v>92</v>
      </c>
      <c r="BQ3020" t="s">
        <v>93</v>
      </c>
      <c r="BR3020" t="s">
        <v>94</v>
      </c>
    </row>
    <row r="3021" spans="1:70" x14ac:dyDescent="0.3">
      <c r="A3021" t="str">
        <f>"202129C0100"</f>
        <v>202129C0100</v>
      </c>
      <c r="B3021" t="s">
        <v>6268</v>
      </c>
      <c r="C3021">
        <v>20</v>
      </c>
      <c r="D3021" t="s">
        <v>88</v>
      </c>
      <c r="E3021">
        <v>490</v>
      </c>
      <c r="F3021" t="s">
        <v>6262</v>
      </c>
      <c r="G3021">
        <v>2129</v>
      </c>
      <c r="H3021">
        <v>1</v>
      </c>
      <c r="I3021" t="s">
        <v>98</v>
      </c>
      <c r="J3021">
        <v>0</v>
      </c>
      <c r="K3021">
        <v>2</v>
      </c>
      <c r="L3021">
        <v>5</v>
      </c>
      <c r="BG3021">
        <v>404</v>
      </c>
      <c r="BI3021" t="s">
        <v>122</v>
      </c>
      <c r="BJ3021">
        <v>0</v>
      </c>
      <c r="BL3021" t="s">
        <v>6269</v>
      </c>
      <c r="BM3021" s="4">
        <v>43283.726388888892</v>
      </c>
      <c r="BN3021" s="4">
        <v>43283.728622685187</v>
      </c>
      <c r="BO3021" s="4">
        <v>43283.728622685187</v>
      </c>
      <c r="BP3021" t="s">
        <v>92</v>
      </c>
      <c r="BQ3021" t="s">
        <v>93</v>
      </c>
      <c r="BR3021" t="s">
        <v>94</v>
      </c>
    </row>
    <row r="3022" spans="1:70" x14ac:dyDescent="0.3">
      <c r="A3022" t="str">
        <f>"202129E0100"</f>
        <v>202129E0100</v>
      </c>
      <c r="B3022" s="2" t="s">
        <v>6270</v>
      </c>
      <c r="C3022">
        <v>20</v>
      </c>
      <c r="D3022" t="s">
        <v>88</v>
      </c>
      <c r="E3022">
        <v>490</v>
      </c>
      <c r="F3022" t="s">
        <v>6262</v>
      </c>
      <c r="G3022">
        <v>2129</v>
      </c>
      <c r="H3022">
        <v>1</v>
      </c>
      <c r="I3022" t="s">
        <v>156</v>
      </c>
      <c r="J3022">
        <v>0</v>
      </c>
      <c r="K3022">
        <v>2</v>
      </c>
      <c r="L3022">
        <v>5</v>
      </c>
      <c r="M3022">
        <v>132</v>
      </c>
      <c r="N3022">
        <v>347</v>
      </c>
      <c r="O3022">
        <v>3</v>
      </c>
      <c r="P3022">
        <v>347</v>
      </c>
      <c r="Q3022">
        <v>1</v>
      </c>
      <c r="R3022">
        <v>125</v>
      </c>
      <c r="S3022">
        <v>1</v>
      </c>
      <c r="U3022">
        <v>135</v>
      </c>
      <c r="V3022">
        <v>0</v>
      </c>
      <c r="X3022">
        <v>0</v>
      </c>
      <c r="Y3022">
        <v>47</v>
      </c>
      <c r="Z3022">
        <v>20</v>
      </c>
      <c r="AC3022">
        <v>1</v>
      </c>
      <c r="AD3022">
        <v>0</v>
      </c>
      <c r="AE3022">
        <v>0</v>
      </c>
      <c r="AF3022">
        <v>0</v>
      </c>
      <c r="AK3022">
        <v>0</v>
      </c>
      <c r="AL3022">
        <v>1</v>
      </c>
      <c r="AM3022">
        <v>0</v>
      </c>
      <c r="AN3022">
        <v>0</v>
      </c>
      <c r="BC3022">
        <v>0</v>
      </c>
      <c r="BD3022">
        <v>15</v>
      </c>
      <c r="BE3022">
        <v>346</v>
      </c>
      <c r="BF3022">
        <v>346</v>
      </c>
      <c r="BG3022">
        <v>457</v>
      </c>
      <c r="BJ3022">
        <v>1</v>
      </c>
      <c r="BL3022" t="s">
        <v>6271</v>
      </c>
      <c r="BM3022" s="4">
        <v>43283.706944444442</v>
      </c>
      <c r="BN3022" s="4">
        <v>43283.71199074074</v>
      </c>
      <c r="BO3022" s="4">
        <v>43283.71199074074</v>
      </c>
      <c r="BP3022" t="s">
        <v>92</v>
      </c>
      <c r="BQ3022" t="s">
        <v>93</v>
      </c>
      <c r="BR3022" t="s">
        <v>94</v>
      </c>
    </row>
    <row r="3023" spans="1:70" x14ac:dyDescent="0.3">
      <c r="A3023" t="str">
        <f>"202130B0100"</f>
        <v>202130B0100</v>
      </c>
      <c r="B3023" t="s">
        <v>6272</v>
      </c>
      <c r="C3023">
        <v>20</v>
      </c>
      <c r="D3023" t="s">
        <v>88</v>
      </c>
      <c r="E3023">
        <v>490</v>
      </c>
      <c r="F3023" t="s">
        <v>6262</v>
      </c>
      <c r="G3023">
        <v>2130</v>
      </c>
      <c r="H3023">
        <v>1</v>
      </c>
      <c r="I3023" t="s">
        <v>90</v>
      </c>
      <c r="J3023">
        <v>0</v>
      </c>
      <c r="K3023">
        <v>2</v>
      </c>
      <c r="L3023">
        <v>5</v>
      </c>
      <c r="M3023">
        <v>85</v>
      </c>
      <c r="N3023">
        <v>261</v>
      </c>
      <c r="O3023">
        <v>0</v>
      </c>
      <c r="P3023">
        <v>261</v>
      </c>
      <c r="Q3023">
        <v>5</v>
      </c>
      <c r="R3023">
        <v>41</v>
      </c>
      <c r="S3023">
        <v>4</v>
      </c>
      <c r="U3023">
        <v>149</v>
      </c>
      <c r="V3023" t="s">
        <v>105</v>
      </c>
      <c r="X3023">
        <v>8</v>
      </c>
      <c r="Y3023">
        <v>42</v>
      </c>
      <c r="Z3023">
        <v>2</v>
      </c>
      <c r="AC3023" t="s">
        <v>105</v>
      </c>
      <c r="AD3023" t="s">
        <v>105</v>
      </c>
      <c r="AE3023" t="s">
        <v>105</v>
      </c>
      <c r="AF3023" t="s">
        <v>105</v>
      </c>
      <c r="AK3023" t="s">
        <v>105</v>
      </c>
      <c r="AL3023">
        <v>4</v>
      </c>
      <c r="AM3023" t="s">
        <v>105</v>
      </c>
      <c r="AN3023" t="s">
        <v>105</v>
      </c>
      <c r="BC3023" t="s">
        <v>105</v>
      </c>
      <c r="BD3023">
        <v>6</v>
      </c>
      <c r="BE3023">
        <v>261</v>
      </c>
      <c r="BF3023">
        <v>261</v>
      </c>
      <c r="BG3023">
        <v>324</v>
      </c>
      <c r="BI3023" t="s">
        <v>106</v>
      </c>
      <c r="BJ3023">
        <v>1</v>
      </c>
      <c r="BL3023" t="s">
        <v>6273</v>
      </c>
      <c r="BM3023" s="4">
        <v>43283.709027777775</v>
      </c>
      <c r="BN3023" s="4">
        <v>43283.712175925924</v>
      </c>
      <c r="BO3023" s="4">
        <v>43283.712175925924</v>
      </c>
      <c r="BP3023" t="s">
        <v>92</v>
      </c>
      <c r="BQ3023" t="s">
        <v>93</v>
      </c>
      <c r="BR3023" t="s">
        <v>94</v>
      </c>
    </row>
    <row r="3024" spans="1:70" x14ac:dyDescent="0.3">
      <c r="A3024" t="str">
        <f>"202130E0100"</f>
        <v>202130E0100</v>
      </c>
      <c r="B3024" s="2" t="s">
        <v>6274</v>
      </c>
      <c r="C3024">
        <v>20</v>
      </c>
      <c r="D3024" t="s">
        <v>88</v>
      </c>
      <c r="E3024">
        <v>490</v>
      </c>
      <c r="F3024" t="s">
        <v>6262</v>
      </c>
      <c r="G3024">
        <v>2130</v>
      </c>
      <c r="H3024">
        <v>1</v>
      </c>
      <c r="I3024" t="s">
        <v>156</v>
      </c>
      <c r="J3024">
        <v>0</v>
      </c>
      <c r="K3024">
        <v>2</v>
      </c>
      <c r="L3024">
        <v>5</v>
      </c>
      <c r="M3024">
        <v>82</v>
      </c>
      <c r="N3024">
        <v>325</v>
      </c>
      <c r="O3024">
        <v>0</v>
      </c>
      <c r="P3024">
        <v>325</v>
      </c>
      <c r="Q3024">
        <v>2</v>
      </c>
      <c r="R3024">
        <v>102</v>
      </c>
      <c r="S3024">
        <v>4</v>
      </c>
      <c r="U3024">
        <v>200</v>
      </c>
      <c r="V3024">
        <v>0</v>
      </c>
      <c r="X3024">
        <v>1</v>
      </c>
      <c r="Y3024">
        <v>5</v>
      </c>
      <c r="Z3024">
        <v>1</v>
      </c>
      <c r="AC3024">
        <v>0</v>
      </c>
      <c r="AD3024">
        <v>0</v>
      </c>
      <c r="AE3024">
        <v>0</v>
      </c>
      <c r="AF3024">
        <v>0</v>
      </c>
      <c r="AK3024">
        <v>0</v>
      </c>
      <c r="AL3024">
        <v>2</v>
      </c>
      <c r="AM3024">
        <v>0</v>
      </c>
      <c r="AN3024">
        <v>0</v>
      </c>
      <c r="BC3024">
        <v>0</v>
      </c>
      <c r="BD3024">
        <v>8</v>
      </c>
      <c r="BE3024">
        <v>325</v>
      </c>
      <c r="BF3024">
        <v>325</v>
      </c>
      <c r="BG3024">
        <v>385</v>
      </c>
      <c r="BJ3024">
        <v>1</v>
      </c>
      <c r="BL3024" t="s">
        <v>6275</v>
      </c>
      <c r="BM3024" s="4">
        <v>43283.708333333336</v>
      </c>
      <c r="BN3024" s="4">
        <v>43283.711006944446</v>
      </c>
      <c r="BO3024" s="4">
        <v>43283.711006944446</v>
      </c>
      <c r="BP3024" t="s">
        <v>92</v>
      </c>
      <c r="BQ3024" t="s">
        <v>93</v>
      </c>
      <c r="BR3024" t="s">
        <v>94</v>
      </c>
    </row>
    <row r="3025" spans="1:70" x14ac:dyDescent="0.3">
      <c r="A3025" t="str">
        <f>"202130E0200"</f>
        <v>202130E0200</v>
      </c>
      <c r="B3025" s="2" t="s">
        <v>6276</v>
      </c>
      <c r="C3025">
        <v>20</v>
      </c>
      <c r="D3025" t="s">
        <v>88</v>
      </c>
      <c r="E3025">
        <v>490</v>
      </c>
      <c r="F3025" t="s">
        <v>6262</v>
      </c>
      <c r="G3025">
        <v>2130</v>
      </c>
      <c r="H3025">
        <v>2</v>
      </c>
      <c r="I3025" t="s">
        <v>156</v>
      </c>
      <c r="J3025">
        <v>0</v>
      </c>
      <c r="K3025">
        <v>2</v>
      </c>
      <c r="L3025">
        <v>5</v>
      </c>
      <c r="M3025">
        <v>67</v>
      </c>
      <c r="N3025">
        <v>160</v>
      </c>
      <c r="O3025">
        <v>0</v>
      </c>
      <c r="P3025">
        <v>160</v>
      </c>
      <c r="Q3025">
        <v>1</v>
      </c>
      <c r="R3025">
        <v>71</v>
      </c>
      <c r="S3025">
        <v>1</v>
      </c>
      <c r="U3025">
        <v>72</v>
      </c>
      <c r="V3025">
        <v>0</v>
      </c>
      <c r="X3025">
        <v>5</v>
      </c>
      <c r="Y3025">
        <v>6</v>
      </c>
      <c r="Z3025">
        <v>0</v>
      </c>
      <c r="AC3025">
        <v>0</v>
      </c>
      <c r="AD3025">
        <v>0</v>
      </c>
      <c r="AE3025">
        <v>0</v>
      </c>
      <c r="AF3025">
        <v>0</v>
      </c>
      <c r="AK3025">
        <v>0</v>
      </c>
      <c r="AL3025">
        <v>2</v>
      </c>
      <c r="AM3025">
        <v>0</v>
      </c>
      <c r="AN3025">
        <v>0</v>
      </c>
      <c r="BC3025">
        <v>0</v>
      </c>
      <c r="BD3025">
        <v>2</v>
      </c>
      <c r="BE3025" t="s">
        <v>105</v>
      </c>
      <c r="BF3025">
        <v>160</v>
      </c>
      <c r="BG3025">
        <v>205</v>
      </c>
      <c r="BJ3025">
        <v>1</v>
      </c>
      <c r="BL3025" t="s">
        <v>6277</v>
      </c>
      <c r="BM3025" s="4">
        <v>43283.710416666669</v>
      </c>
      <c r="BN3025" s="4">
        <v>43283.713078703702</v>
      </c>
      <c r="BO3025" s="4">
        <v>43283.713078703702</v>
      </c>
      <c r="BP3025" t="s">
        <v>92</v>
      </c>
      <c r="BQ3025" t="s">
        <v>93</v>
      </c>
      <c r="BR3025" t="s">
        <v>94</v>
      </c>
    </row>
    <row r="3026" spans="1:70" x14ac:dyDescent="0.3">
      <c r="A3026" t="str">
        <f>"202173B0100"</f>
        <v>202173B0100</v>
      </c>
      <c r="B3026" t="s">
        <v>6278</v>
      </c>
      <c r="C3026">
        <v>20</v>
      </c>
      <c r="D3026" t="s">
        <v>88</v>
      </c>
      <c r="E3026">
        <v>506</v>
      </c>
      <c r="F3026" t="s">
        <v>6279</v>
      </c>
      <c r="G3026">
        <v>2173</v>
      </c>
      <c r="H3026">
        <v>1</v>
      </c>
      <c r="I3026" t="s">
        <v>90</v>
      </c>
      <c r="J3026">
        <v>0</v>
      </c>
      <c r="K3026">
        <v>2</v>
      </c>
      <c r="L3026">
        <v>5</v>
      </c>
      <c r="BG3026">
        <v>611</v>
      </c>
      <c r="BI3026" t="s">
        <v>122</v>
      </c>
      <c r="BJ3026">
        <v>0</v>
      </c>
      <c r="BL3026" s="2" t="s">
        <v>6280</v>
      </c>
      <c r="BM3026" s="4">
        <v>43283.771527777775</v>
      </c>
      <c r="BN3026" s="4">
        <v>43283.774502314816</v>
      </c>
      <c r="BO3026" s="4">
        <v>43283.774502314816</v>
      </c>
      <c r="BP3026" t="s">
        <v>92</v>
      </c>
      <c r="BQ3026" t="s">
        <v>93</v>
      </c>
      <c r="BR3026" t="s">
        <v>94</v>
      </c>
    </row>
    <row r="3027" spans="1:70" x14ac:dyDescent="0.3">
      <c r="A3027" t="str">
        <f>"202173C0100"</f>
        <v>202173C0100</v>
      </c>
      <c r="B3027" t="s">
        <v>6281</v>
      </c>
      <c r="C3027">
        <v>20</v>
      </c>
      <c r="D3027" t="s">
        <v>88</v>
      </c>
      <c r="E3027">
        <v>506</v>
      </c>
      <c r="F3027" t="s">
        <v>6279</v>
      </c>
      <c r="G3027">
        <v>2173</v>
      </c>
      <c r="H3027">
        <v>1</v>
      </c>
      <c r="I3027" t="s">
        <v>98</v>
      </c>
      <c r="J3027">
        <v>0</v>
      </c>
      <c r="K3027">
        <v>2</v>
      </c>
      <c r="L3027">
        <v>5</v>
      </c>
      <c r="BG3027">
        <v>611</v>
      </c>
      <c r="BI3027" t="s">
        <v>122</v>
      </c>
      <c r="BJ3027">
        <v>0</v>
      </c>
      <c r="BL3027" t="s">
        <v>6282</v>
      </c>
      <c r="BM3027" s="4">
        <v>43283.759027777778</v>
      </c>
      <c r="BN3027" s="4">
        <v>43283.763124999998</v>
      </c>
      <c r="BO3027" s="4">
        <v>43283.763124999998</v>
      </c>
      <c r="BP3027" t="s">
        <v>92</v>
      </c>
      <c r="BQ3027" t="s">
        <v>93</v>
      </c>
      <c r="BR3027" t="s">
        <v>94</v>
      </c>
    </row>
    <row r="3028" spans="1:70" x14ac:dyDescent="0.3">
      <c r="A3028" t="str">
        <f>"202174B0100"</f>
        <v>202174B0100</v>
      </c>
      <c r="B3028" t="s">
        <v>6283</v>
      </c>
      <c r="C3028">
        <v>20</v>
      </c>
      <c r="D3028" t="s">
        <v>88</v>
      </c>
      <c r="E3028">
        <v>506</v>
      </c>
      <c r="F3028" t="s">
        <v>6279</v>
      </c>
      <c r="G3028">
        <v>2174</v>
      </c>
      <c r="H3028">
        <v>1</v>
      </c>
      <c r="I3028" t="s">
        <v>90</v>
      </c>
      <c r="J3028">
        <v>0</v>
      </c>
      <c r="K3028">
        <v>2</v>
      </c>
      <c r="L3028">
        <v>5</v>
      </c>
      <c r="BG3028">
        <v>745</v>
      </c>
      <c r="BI3028" t="s">
        <v>122</v>
      </c>
      <c r="BJ3028">
        <v>0</v>
      </c>
      <c r="BL3028" t="s">
        <v>6284</v>
      </c>
      <c r="BM3028" s="4">
        <v>43283.759027777778</v>
      </c>
      <c r="BN3028" s="4">
        <v>43283.763333333336</v>
      </c>
      <c r="BO3028" s="4">
        <v>43283.763333333336</v>
      </c>
      <c r="BP3028" t="s">
        <v>92</v>
      </c>
      <c r="BQ3028" t="s">
        <v>93</v>
      </c>
      <c r="BR3028" t="s">
        <v>94</v>
      </c>
    </row>
    <row r="3029" spans="1:70" x14ac:dyDescent="0.3">
      <c r="A3029" t="str">
        <f>"202174E0100"</f>
        <v>202174E0100</v>
      </c>
      <c r="B3029" s="2" t="s">
        <v>6285</v>
      </c>
      <c r="C3029">
        <v>20</v>
      </c>
      <c r="D3029" t="s">
        <v>88</v>
      </c>
      <c r="E3029">
        <v>506</v>
      </c>
      <c r="F3029" t="s">
        <v>6279</v>
      </c>
      <c r="G3029">
        <v>2174</v>
      </c>
      <c r="H3029">
        <v>1</v>
      </c>
      <c r="I3029" t="s">
        <v>156</v>
      </c>
      <c r="J3029">
        <v>0</v>
      </c>
      <c r="K3029">
        <v>2</v>
      </c>
      <c r="L3029">
        <v>5</v>
      </c>
      <c r="BG3029">
        <v>330</v>
      </c>
      <c r="BI3029" t="s">
        <v>122</v>
      </c>
      <c r="BJ3029">
        <v>0</v>
      </c>
      <c r="BL3029" t="s">
        <v>6286</v>
      </c>
      <c r="BM3029" s="4">
        <v>43283.759722222225</v>
      </c>
      <c r="BN3029" s="4">
        <v>43283.763703703706</v>
      </c>
      <c r="BO3029" s="4">
        <v>43283.763703703706</v>
      </c>
      <c r="BP3029" t="s">
        <v>92</v>
      </c>
      <c r="BQ3029" t="s">
        <v>93</v>
      </c>
      <c r="BR3029" t="s">
        <v>94</v>
      </c>
    </row>
    <row r="3030" spans="1:70" x14ac:dyDescent="0.3">
      <c r="A3030" t="str">
        <f>"202175B0100"</f>
        <v>202175B0100</v>
      </c>
      <c r="B3030" t="s">
        <v>6287</v>
      </c>
      <c r="C3030">
        <v>20</v>
      </c>
      <c r="D3030" t="s">
        <v>88</v>
      </c>
      <c r="E3030">
        <v>507</v>
      </c>
      <c r="F3030" t="s">
        <v>6288</v>
      </c>
      <c r="G3030">
        <v>2175</v>
      </c>
      <c r="H3030">
        <v>1</v>
      </c>
      <c r="I3030" t="s">
        <v>90</v>
      </c>
      <c r="J3030">
        <v>0</v>
      </c>
      <c r="K3030">
        <v>2</v>
      </c>
      <c r="L3030">
        <v>5</v>
      </c>
      <c r="M3030">
        <v>142</v>
      </c>
      <c r="N3030">
        <v>531</v>
      </c>
      <c r="O3030">
        <v>0</v>
      </c>
      <c r="P3030">
        <v>531</v>
      </c>
      <c r="Q3030">
        <v>2</v>
      </c>
      <c r="R3030">
        <v>7</v>
      </c>
      <c r="S3030">
        <v>3</v>
      </c>
      <c r="T3030">
        <v>2</v>
      </c>
      <c r="U3030">
        <v>62</v>
      </c>
      <c r="V3030">
        <v>0</v>
      </c>
      <c r="W3030">
        <v>153</v>
      </c>
      <c r="X3030">
        <v>230</v>
      </c>
      <c r="Y3030">
        <v>49</v>
      </c>
      <c r="Z3030">
        <v>0</v>
      </c>
      <c r="AC3030">
        <v>0</v>
      </c>
      <c r="AD3030">
        <v>0</v>
      </c>
      <c r="AE3030">
        <v>0</v>
      </c>
      <c r="AF3030">
        <v>0</v>
      </c>
      <c r="AK3030">
        <v>1</v>
      </c>
      <c r="AL3030">
        <v>4</v>
      </c>
      <c r="AM3030">
        <v>0</v>
      </c>
      <c r="AN3030">
        <v>0</v>
      </c>
      <c r="AV3030">
        <v>0</v>
      </c>
      <c r="BC3030">
        <v>0</v>
      </c>
      <c r="BD3030">
        <v>18</v>
      </c>
      <c r="BE3030">
        <v>531</v>
      </c>
      <c r="BF3030">
        <v>531</v>
      </c>
      <c r="BG3030">
        <v>651</v>
      </c>
      <c r="BJ3030">
        <v>1</v>
      </c>
      <c r="BL3030" t="s">
        <v>6289</v>
      </c>
      <c r="BM3030" s="4">
        <v>43283.509027777778</v>
      </c>
      <c r="BN3030" s="4">
        <v>43283.515613425923</v>
      </c>
      <c r="BO3030" s="4">
        <v>43283.515613425923</v>
      </c>
      <c r="BP3030" t="s">
        <v>92</v>
      </c>
      <c r="BQ3030" t="s">
        <v>93</v>
      </c>
      <c r="BR3030" t="s">
        <v>94</v>
      </c>
    </row>
    <row r="3031" spans="1:70" x14ac:dyDescent="0.3">
      <c r="A3031" t="str">
        <f>"202175C0100"</f>
        <v>202175C0100</v>
      </c>
      <c r="B3031" t="s">
        <v>6290</v>
      </c>
      <c r="C3031">
        <v>20</v>
      </c>
      <c r="D3031" t="s">
        <v>88</v>
      </c>
      <c r="E3031">
        <v>507</v>
      </c>
      <c r="F3031" t="s">
        <v>6288</v>
      </c>
      <c r="G3031">
        <v>2175</v>
      </c>
      <c r="H3031">
        <v>1</v>
      </c>
      <c r="I3031" t="s">
        <v>98</v>
      </c>
      <c r="J3031">
        <v>0</v>
      </c>
      <c r="K3031">
        <v>2</v>
      </c>
      <c r="L3031">
        <v>5</v>
      </c>
      <c r="M3031">
        <v>145</v>
      </c>
      <c r="N3031">
        <v>528</v>
      </c>
      <c r="O3031">
        <v>0</v>
      </c>
      <c r="P3031">
        <v>528</v>
      </c>
      <c r="Q3031">
        <v>1</v>
      </c>
      <c r="R3031">
        <v>6</v>
      </c>
      <c r="S3031">
        <v>1</v>
      </c>
      <c r="T3031">
        <v>5</v>
      </c>
      <c r="U3031">
        <v>94</v>
      </c>
      <c r="V3031">
        <v>2</v>
      </c>
      <c r="W3031">
        <v>159</v>
      </c>
      <c r="X3031">
        <v>199</v>
      </c>
      <c r="Y3031">
        <v>48</v>
      </c>
      <c r="Z3031">
        <v>3</v>
      </c>
      <c r="AC3031">
        <v>0</v>
      </c>
      <c r="AD3031">
        <v>0</v>
      </c>
      <c r="AE3031">
        <v>0</v>
      </c>
      <c r="AF3031">
        <v>0</v>
      </c>
      <c r="AK3031">
        <v>0</v>
      </c>
      <c r="AL3031">
        <v>0</v>
      </c>
      <c r="AM3031">
        <v>0</v>
      </c>
      <c r="AN3031">
        <v>0</v>
      </c>
      <c r="AV3031">
        <v>1</v>
      </c>
      <c r="BC3031">
        <v>0</v>
      </c>
      <c r="BD3031">
        <v>9</v>
      </c>
      <c r="BE3031">
        <v>528</v>
      </c>
      <c r="BF3031">
        <v>528</v>
      </c>
      <c r="BG3031">
        <v>651</v>
      </c>
      <c r="BJ3031">
        <v>1</v>
      </c>
      <c r="BL3031" t="s">
        <v>6291</v>
      </c>
      <c r="BM3031" s="4">
        <v>43283.509027777778</v>
      </c>
      <c r="BN3031" s="4">
        <v>43283.512662037036</v>
      </c>
      <c r="BO3031" s="4">
        <v>43283.512662037036</v>
      </c>
      <c r="BP3031" t="s">
        <v>92</v>
      </c>
      <c r="BQ3031" t="s">
        <v>93</v>
      </c>
      <c r="BR3031" t="s">
        <v>94</v>
      </c>
    </row>
    <row r="3032" spans="1:70" x14ac:dyDescent="0.3">
      <c r="A3032" t="str">
        <f>"202180B0100"</f>
        <v>202180B0100</v>
      </c>
      <c r="B3032" t="s">
        <v>6292</v>
      </c>
      <c r="C3032">
        <v>20</v>
      </c>
      <c r="D3032" t="s">
        <v>88</v>
      </c>
      <c r="E3032">
        <v>509</v>
      </c>
      <c r="F3032" t="s">
        <v>6293</v>
      </c>
      <c r="G3032">
        <v>2180</v>
      </c>
      <c r="H3032">
        <v>1</v>
      </c>
      <c r="I3032" t="s">
        <v>90</v>
      </c>
      <c r="J3032">
        <v>0</v>
      </c>
      <c r="K3032">
        <v>1</v>
      </c>
      <c r="L3032">
        <v>5</v>
      </c>
      <c r="M3032">
        <v>140</v>
      </c>
      <c r="N3032">
        <v>308</v>
      </c>
      <c r="O3032">
        <v>4</v>
      </c>
      <c r="P3032">
        <v>304</v>
      </c>
      <c r="Q3032">
        <v>2</v>
      </c>
      <c r="R3032">
        <v>156</v>
      </c>
      <c r="S3032">
        <v>2</v>
      </c>
      <c r="T3032">
        <v>3</v>
      </c>
      <c r="U3032">
        <v>2</v>
      </c>
      <c r="V3032">
        <v>0</v>
      </c>
      <c r="X3032">
        <v>7</v>
      </c>
      <c r="Y3032">
        <v>110</v>
      </c>
      <c r="Z3032">
        <v>1</v>
      </c>
      <c r="AC3032">
        <v>0</v>
      </c>
      <c r="AD3032">
        <v>0</v>
      </c>
      <c r="AE3032">
        <v>0</v>
      </c>
      <c r="AF3032">
        <v>0</v>
      </c>
      <c r="AK3032">
        <v>5</v>
      </c>
      <c r="AL3032">
        <v>1</v>
      </c>
      <c r="AM3032">
        <v>0</v>
      </c>
      <c r="AN3032">
        <v>0</v>
      </c>
      <c r="AS3032">
        <v>2</v>
      </c>
      <c r="AT3032">
        <v>4</v>
      </c>
      <c r="AU3032">
        <v>1</v>
      </c>
      <c r="AV3032">
        <v>0</v>
      </c>
      <c r="BC3032">
        <v>0</v>
      </c>
      <c r="BD3032">
        <v>9</v>
      </c>
      <c r="BE3032">
        <v>306</v>
      </c>
      <c r="BF3032">
        <v>305</v>
      </c>
      <c r="BG3032">
        <v>427</v>
      </c>
      <c r="BJ3032">
        <v>1</v>
      </c>
      <c r="BL3032" t="s">
        <v>6294</v>
      </c>
      <c r="BM3032" s="4">
        <v>43283.217361111114</v>
      </c>
      <c r="BN3032" s="4">
        <v>43283.249814814815</v>
      </c>
      <c r="BO3032" s="4">
        <v>43283.249814814815</v>
      </c>
      <c r="BP3032" t="s">
        <v>92</v>
      </c>
      <c r="BQ3032" t="s">
        <v>93</v>
      </c>
      <c r="BR3032" t="s">
        <v>94</v>
      </c>
    </row>
    <row r="3033" spans="1:70" x14ac:dyDescent="0.3">
      <c r="A3033" t="str">
        <f>"202180C0100"</f>
        <v>202180C0100</v>
      </c>
      <c r="B3033" t="s">
        <v>6295</v>
      </c>
      <c r="C3033">
        <v>20</v>
      </c>
      <c r="D3033" t="s">
        <v>88</v>
      </c>
      <c r="E3033">
        <v>509</v>
      </c>
      <c r="F3033" t="s">
        <v>6293</v>
      </c>
      <c r="G3033">
        <v>2180</v>
      </c>
      <c r="H3033">
        <v>1</v>
      </c>
      <c r="I3033" t="s">
        <v>98</v>
      </c>
      <c r="J3033">
        <v>0</v>
      </c>
      <c r="K3033">
        <v>1</v>
      </c>
      <c r="L3033">
        <v>5</v>
      </c>
      <c r="M3033">
        <v>138</v>
      </c>
      <c r="N3033">
        <v>304</v>
      </c>
      <c r="O3033">
        <v>2</v>
      </c>
      <c r="P3033">
        <v>304</v>
      </c>
      <c r="Q3033">
        <v>3</v>
      </c>
      <c r="R3033">
        <v>55</v>
      </c>
      <c r="S3033">
        <v>2</v>
      </c>
      <c r="T3033">
        <v>10</v>
      </c>
      <c r="U3033">
        <v>4</v>
      </c>
      <c r="V3033">
        <v>9</v>
      </c>
      <c r="X3033">
        <v>4</v>
      </c>
      <c r="Y3033">
        <v>91</v>
      </c>
      <c r="Z3033">
        <v>0</v>
      </c>
      <c r="AC3033">
        <v>0</v>
      </c>
      <c r="AD3033">
        <v>0</v>
      </c>
      <c r="AE3033">
        <v>0</v>
      </c>
      <c r="AF3033">
        <v>0</v>
      </c>
      <c r="AK3033">
        <v>1</v>
      </c>
      <c r="AL3033">
        <v>0</v>
      </c>
      <c r="AM3033">
        <v>0</v>
      </c>
      <c r="AN3033">
        <v>0</v>
      </c>
      <c r="AS3033">
        <v>1</v>
      </c>
      <c r="AT3033">
        <v>3</v>
      </c>
      <c r="AU3033">
        <v>0</v>
      </c>
      <c r="AV3033">
        <v>0</v>
      </c>
      <c r="BC3033">
        <v>0</v>
      </c>
      <c r="BD3033">
        <v>24</v>
      </c>
      <c r="BE3033">
        <v>307</v>
      </c>
      <c r="BF3033">
        <v>207</v>
      </c>
      <c r="BG3033">
        <v>427</v>
      </c>
      <c r="BJ3033">
        <v>1</v>
      </c>
      <c r="BL3033" t="s">
        <v>6296</v>
      </c>
      <c r="BM3033" s="4">
        <v>43283.213194444441</v>
      </c>
      <c r="BN3033" s="4">
        <v>43283.245347222219</v>
      </c>
      <c r="BO3033" s="4">
        <v>43283.245347222219</v>
      </c>
      <c r="BP3033" t="s">
        <v>92</v>
      </c>
      <c r="BQ3033" t="s">
        <v>93</v>
      </c>
      <c r="BR3033" t="s">
        <v>94</v>
      </c>
    </row>
    <row r="3034" spans="1:70" x14ac:dyDescent="0.3">
      <c r="A3034" t="str">
        <f>"202181B0100"</f>
        <v>202181B0100</v>
      </c>
      <c r="B3034" t="s">
        <v>6297</v>
      </c>
      <c r="C3034">
        <v>20</v>
      </c>
      <c r="D3034" t="s">
        <v>88</v>
      </c>
      <c r="E3034">
        <v>509</v>
      </c>
      <c r="F3034" t="s">
        <v>6293</v>
      </c>
      <c r="G3034">
        <v>2181</v>
      </c>
      <c r="H3034">
        <v>1</v>
      </c>
      <c r="I3034" t="s">
        <v>90</v>
      </c>
      <c r="J3034">
        <v>0</v>
      </c>
      <c r="K3034">
        <v>1</v>
      </c>
      <c r="L3034">
        <v>5</v>
      </c>
      <c r="BG3034">
        <v>659</v>
      </c>
      <c r="BI3034" t="s">
        <v>122</v>
      </c>
      <c r="BJ3034">
        <v>0</v>
      </c>
      <c r="BL3034" t="s">
        <v>6298</v>
      </c>
      <c r="BM3034" s="4">
        <v>43283.5625</v>
      </c>
      <c r="BN3034" s="4">
        <v>43283.568437499998</v>
      </c>
      <c r="BO3034" s="4">
        <v>43283.568437499998</v>
      </c>
      <c r="BP3034" t="s">
        <v>92</v>
      </c>
      <c r="BQ3034" t="s">
        <v>93</v>
      </c>
      <c r="BR3034" t="s">
        <v>94</v>
      </c>
    </row>
    <row r="3035" spans="1:70" x14ac:dyDescent="0.3">
      <c r="A3035" t="str">
        <f>"202181C0100"</f>
        <v>202181C0100</v>
      </c>
      <c r="B3035" t="s">
        <v>6299</v>
      </c>
      <c r="C3035">
        <v>20</v>
      </c>
      <c r="D3035" t="s">
        <v>88</v>
      </c>
      <c r="E3035">
        <v>509</v>
      </c>
      <c r="F3035" t="s">
        <v>6293</v>
      </c>
      <c r="G3035">
        <v>2181</v>
      </c>
      <c r="H3035">
        <v>1</v>
      </c>
      <c r="I3035" t="s">
        <v>98</v>
      </c>
      <c r="J3035">
        <v>0</v>
      </c>
      <c r="K3035">
        <v>1</v>
      </c>
      <c r="L3035">
        <v>5</v>
      </c>
      <c r="BG3035">
        <v>659</v>
      </c>
      <c r="BI3035" t="s">
        <v>122</v>
      </c>
      <c r="BJ3035">
        <v>0</v>
      </c>
      <c r="BL3035" t="s">
        <v>6300</v>
      </c>
      <c r="BM3035" s="4">
        <v>43283.5625</v>
      </c>
      <c r="BN3035" s="4">
        <v>43283.568483796298</v>
      </c>
      <c r="BO3035" s="4">
        <v>43283.568483796298</v>
      </c>
      <c r="BP3035" t="s">
        <v>92</v>
      </c>
      <c r="BQ3035" t="s">
        <v>93</v>
      </c>
      <c r="BR3035" t="s">
        <v>94</v>
      </c>
    </row>
    <row r="3036" spans="1:70" x14ac:dyDescent="0.3">
      <c r="A3036" t="str">
        <f>"202181C0200"</f>
        <v>202181C0200</v>
      </c>
      <c r="B3036" t="s">
        <v>6301</v>
      </c>
      <c r="C3036">
        <v>20</v>
      </c>
      <c r="D3036" t="s">
        <v>88</v>
      </c>
      <c r="E3036">
        <v>509</v>
      </c>
      <c r="F3036" t="s">
        <v>6293</v>
      </c>
      <c r="G3036">
        <v>2181</v>
      </c>
      <c r="H3036">
        <v>2</v>
      </c>
      <c r="I3036" t="s">
        <v>98</v>
      </c>
      <c r="J3036">
        <v>0</v>
      </c>
      <c r="K3036">
        <v>1</v>
      </c>
      <c r="L3036">
        <v>5</v>
      </c>
      <c r="BG3036">
        <v>659</v>
      </c>
      <c r="BI3036" t="s">
        <v>122</v>
      </c>
      <c r="BJ3036">
        <v>0</v>
      </c>
      <c r="BL3036" t="s">
        <v>6302</v>
      </c>
      <c r="BM3036" s="4">
        <v>43283.5625</v>
      </c>
      <c r="BN3036" s="4">
        <v>43283.56590277778</v>
      </c>
      <c r="BO3036" s="4">
        <v>43283.56590277778</v>
      </c>
      <c r="BP3036" t="s">
        <v>92</v>
      </c>
      <c r="BQ3036" t="s">
        <v>93</v>
      </c>
      <c r="BR3036" t="s">
        <v>94</v>
      </c>
    </row>
    <row r="3037" spans="1:70" x14ac:dyDescent="0.3">
      <c r="A3037" t="str">
        <f>"202182B0100"</f>
        <v>202182B0100</v>
      </c>
      <c r="B3037" t="s">
        <v>6303</v>
      </c>
      <c r="C3037">
        <v>20</v>
      </c>
      <c r="D3037" t="s">
        <v>88</v>
      </c>
      <c r="E3037">
        <v>509</v>
      </c>
      <c r="F3037" t="s">
        <v>6293</v>
      </c>
      <c r="G3037">
        <v>2182</v>
      </c>
      <c r="H3037">
        <v>1</v>
      </c>
      <c r="I3037" t="s">
        <v>90</v>
      </c>
      <c r="J3037">
        <v>0</v>
      </c>
      <c r="K3037">
        <v>1</v>
      </c>
      <c r="L3037">
        <v>5</v>
      </c>
      <c r="BG3037">
        <v>578</v>
      </c>
      <c r="BI3037" t="s">
        <v>122</v>
      </c>
      <c r="BJ3037">
        <v>0</v>
      </c>
      <c r="BL3037" t="s">
        <v>6304</v>
      </c>
      <c r="BM3037" s="4">
        <v>43283.5625</v>
      </c>
      <c r="BN3037" s="4">
        <v>43283.566296296296</v>
      </c>
      <c r="BO3037" s="4">
        <v>43283.566296296296</v>
      </c>
      <c r="BP3037" t="s">
        <v>92</v>
      </c>
      <c r="BQ3037" t="s">
        <v>93</v>
      </c>
      <c r="BR3037" t="s">
        <v>94</v>
      </c>
    </row>
    <row r="3038" spans="1:70" x14ac:dyDescent="0.3">
      <c r="A3038" t="str">
        <f>"202182C0100"</f>
        <v>202182C0100</v>
      </c>
      <c r="B3038" t="s">
        <v>6305</v>
      </c>
      <c r="C3038">
        <v>20</v>
      </c>
      <c r="D3038" t="s">
        <v>88</v>
      </c>
      <c r="E3038">
        <v>509</v>
      </c>
      <c r="F3038" t="s">
        <v>6293</v>
      </c>
      <c r="G3038">
        <v>2182</v>
      </c>
      <c r="H3038">
        <v>1</v>
      </c>
      <c r="I3038" t="s">
        <v>98</v>
      </c>
      <c r="J3038">
        <v>0</v>
      </c>
      <c r="K3038">
        <v>1</v>
      </c>
      <c r="L3038">
        <v>5</v>
      </c>
      <c r="M3038">
        <v>174</v>
      </c>
      <c r="N3038">
        <v>426</v>
      </c>
      <c r="O3038">
        <v>7</v>
      </c>
      <c r="P3038">
        <v>426</v>
      </c>
      <c r="Q3038">
        <v>6</v>
      </c>
      <c r="R3038">
        <v>183</v>
      </c>
      <c r="S3038">
        <v>0</v>
      </c>
      <c r="T3038">
        <v>16</v>
      </c>
      <c r="U3038">
        <v>4</v>
      </c>
      <c r="V3038">
        <v>2</v>
      </c>
      <c r="X3038">
        <v>4</v>
      </c>
      <c r="Y3038">
        <v>189</v>
      </c>
      <c r="Z3038">
        <v>2</v>
      </c>
      <c r="AC3038">
        <v>0</v>
      </c>
      <c r="AD3038">
        <v>0</v>
      </c>
      <c r="AE3038">
        <v>0</v>
      </c>
      <c r="AF3038">
        <v>0</v>
      </c>
      <c r="AK3038">
        <v>1</v>
      </c>
      <c r="AL3038">
        <v>0</v>
      </c>
      <c r="AM3038">
        <v>0</v>
      </c>
      <c r="AN3038">
        <v>0</v>
      </c>
      <c r="AS3038">
        <v>2</v>
      </c>
      <c r="AT3038">
        <v>6</v>
      </c>
      <c r="AU3038">
        <v>0</v>
      </c>
      <c r="AV3038">
        <v>0</v>
      </c>
      <c r="BC3038">
        <v>0</v>
      </c>
      <c r="BD3038">
        <v>11</v>
      </c>
      <c r="BE3038">
        <v>426</v>
      </c>
      <c r="BF3038">
        <v>426</v>
      </c>
      <c r="BG3038">
        <v>578</v>
      </c>
      <c r="BJ3038">
        <v>1</v>
      </c>
      <c r="BL3038" t="s">
        <v>6306</v>
      </c>
      <c r="BM3038" s="4">
        <v>43282.965775462966</v>
      </c>
      <c r="BN3038" s="4">
        <v>43282.970601851855</v>
      </c>
      <c r="BO3038" s="4">
        <v>43282.970601851855</v>
      </c>
      <c r="BP3038" t="s">
        <v>339</v>
      </c>
      <c r="BQ3038" t="s">
        <v>340</v>
      </c>
      <c r="BR3038" t="s">
        <v>94</v>
      </c>
    </row>
    <row r="3039" spans="1:70" x14ac:dyDescent="0.3">
      <c r="A3039" t="str">
        <f>"202182C0200"</f>
        <v>202182C0200</v>
      </c>
      <c r="B3039" t="s">
        <v>6307</v>
      </c>
      <c r="C3039">
        <v>20</v>
      </c>
      <c r="D3039" t="s">
        <v>88</v>
      </c>
      <c r="E3039">
        <v>509</v>
      </c>
      <c r="F3039" t="s">
        <v>6293</v>
      </c>
      <c r="G3039">
        <v>2182</v>
      </c>
      <c r="H3039">
        <v>2</v>
      </c>
      <c r="I3039" t="s">
        <v>98</v>
      </c>
      <c r="J3039">
        <v>0</v>
      </c>
      <c r="K3039">
        <v>1</v>
      </c>
      <c r="L3039">
        <v>5</v>
      </c>
      <c r="M3039">
        <v>191</v>
      </c>
      <c r="N3039">
        <v>409</v>
      </c>
      <c r="O3039">
        <v>2</v>
      </c>
      <c r="P3039">
        <v>409</v>
      </c>
      <c r="Q3039">
        <v>1</v>
      </c>
      <c r="R3039">
        <v>172</v>
      </c>
      <c r="S3039">
        <v>0</v>
      </c>
      <c r="T3039">
        <v>9</v>
      </c>
      <c r="U3039">
        <v>4</v>
      </c>
      <c r="V3039">
        <v>2</v>
      </c>
      <c r="X3039">
        <v>7</v>
      </c>
      <c r="Y3039">
        <v>185</v>
      </c>
      <c r="Z3039">
        <v>1</v>
      </c>
      <c r="AC3039">
        <v>0</v>
      </c>
      <c r="AD3039">
        <v>0</v>
      </c>
      <c r="AE3039">
        <v>0</v>
      </c>
      <c r="AF3039">
        <v>0</v>
      </c>
      <c r="AK3039">
        <v>1</v>
      </c>
      <c r="AL3039">
        <v>0</v>
      </c>
      <c r="AM3039">
        <v>0</v>
      </c>
      <c r="AN3039">
        <v>0</v>
      </c>
      <c r="AS3039">
        <v>3</v>
      </c>
      <c r="AT3039">
        <v>0</v>
      </c>
      <c r="AU3039">
        <v>0</v>
      </c>
      <c r="AV3039">
        <v>0</v>
      </c>
      <c r="BC3039">
        <v>0</v>
      </c>
      <c r="BD3039">
        <v>24</v>
      </c>
      <c r="BE3039">
        <v>409</v>
      </c>
      <c r="BF3039">
        <v>409</v>
      </c>
      <c r="BG3039">
        <v>578</v>
      </c>
      <c r="BJ3039">
        <v>1</v>
      </c>
      <c r="BL3039" t="s">
        <v>6308</v>
      </c>
      <c r="BM3039" s="4">
        <v>43283.215277777781</v>
      </c>
      <c r="BN3039" s="4">
        <v>43283.24590277778</v>
      </c>
      <c r="BO3039" s="4">
        <v>43283.24590277778</v>
      </c>
      <c r="BP3039" t="s">
        <v>92</v>
      </c>
      <c r="BQ3039" t="s">
        <v>93</v>
      </c>
      <c r="BR3039" t="s">
        <v>94</v>
      </c>
    </row>
    <row r="3040" spans="1:70" x14ac:dyDescent="0.3">
      <c r="A3040" t="str">
        <f>"202183B0100"</f>
        <v>202183B0100</v>
      </c>
      <c r="B3040" t="s">
        <v>6309</v>
      </c>
      <c r="C3040">
        <v>20</v>
      </c>
      <c r="D3040" t="s">
        <v>88</v>
      </c>
      <c r="E3040">
        <v>509</v>
      </c>
      <c r="F3040" t="s">
        <v>6293</v>
      </c>
      <c r="G3040">
        <v>2183</v>
      </c>
      <c r="H3040">
        <v>1</v>
      </c>
      <c r="I3040" t="s">
        <v>90</v>
      </c>
      <c r="J3040">
        <v>0</v>
      </c>
      <c r="K3040">
        <v>1</v>
      </c>
      <c r="L3040">
        <v>5</v>
      </c>
      <c r="M3040">
        <v>168</v>
      </c>
      <c r="N3040">
        <v>513</v>
      </c>
      <c r="O3040">
        <v>0</v>
      </c>
      <c r="P3040">
        <v>513</v>
      </c>
      <c r="Q3040">
        <v>1</v>
      </c>
      <c r="R3040">
        <v>254</v>
      </c>
      <c r="S3040">
        <v>3</v>
      </c>
      <c r="T3040">
        <v>8</v>
      </c>
      <c r="U3040">
        <v>5</v>
      </c>
      <c r="V3040">
        <v>2</v>
      </c>
      <c r="X3040">
        <v>8</v>
      </c>
      <c r="Y3040">
        <v>203</v>
      </c>
      <c r="Z3040">
        <v>2</v>
      </c>
      <c r="AC3040">
        <v>0</v>
      </c>
      <c r="AD3040">
        <v>0</v>
      </c>
      <c r="AE3040">
        <v>0</v>
      </c>
      <c r="AF3040">
        <v>0</v>
      </c>
      <c r="AK3040">
        <v>3</v>
      </c>
      <c r="AL3040">
        <v>1</v>
      </c>
      <c r="AM3040">
        <v>0</v>
      </c>
      <c r="AN3040">
        <v>0</v>
      </c>
      <c r="AS3040">
        <v>2</v>
      </c>
      <c r="AT3040">
        <v>8</v>
      </c>
      <c r="AU3040">
        <v>2</v>
      </c>
      <c r="AV3040">
        <v>0</v>
      </c>
      <c r="BC3040">
        <v>0</v>
      </c>
      <c r="BD3040">
        <v>10</v>
      </c>
      <c r="BE3040">
        <v>513</v>
      </c>
      <c r="BF3040">
        <v>512</v>
      </c>
      <c r="BG3040">
        <v>658</v>
      </c>
      <c r="BJ3040">
        <v>1</v>
      </c>
      <c r="BL3040" t="s">
        <v>6310</v>
      </c>
      <c r="BM3040" s="4">
        <v>43283.219444444447</v>
      </c>
      <c r="BN3040" s="4">
        <v>43283.241284722222</v>
      </c>
      <c r="BO3040" s="4">
        <v>43283.241284722222</v>
      </c>
      <c r="BP3040" t="s">
        <v>92</v>
      </c>
      <c r="BQ3040" t="s">
        <v>93</v>
      </c>
      <c r="BR3040" t="s">
        <v>94</v>
      </c>
    </row>
    <row r="3041" spans="1:70" x14ac:dyDescent="0.3">
      <c r="A3041" t="str">
        <f>"202184B0100"</f>
        <v>202184B0100</v>
      </c>
      <c r="B3041" t="s">
        <v>6311</v>
      </c>
      <c r="C3041">
        <v>20</v>
      </c>
      <c r="D3041" t="s">
        <v>88</v>
      </c>
      <c r="E3041">
        <v>509</v>
      </c>
      <c r="F3041" t="s">
        <v>6293</v>
      </c>
      <c r="G3041">
        <v>2184</v>
      </c>
      <c r="H3041">
        <v>1</v>
      </c>
      <c r="I3041" t="s">
        <v>90</v>
      </c>
      <c r="J3041">
        <v>0</v>
      </c>
      <c r="K3041">
        <v>1</v>
      </c>
      <c r="L3041">
        <v>5</v>
      </c>
      <c r="BG3041">
        <v>569</v>
      </c>
      <c r="BI3041" t="s">
        <v>122</v>
      </c>
      <c r="BJ3041">
        <v>0</v>
      </c>
      <c r="BL3041" t="s">
        <v>6312</v>
      </c>
      <c r="BM3041" s="4">
        <v>43283.5625</v>
      </c>
      <c r="BN3041" s="4">
        <v>43283.568287037036</v>
      </c>
      <c r="BO3041" s="4">
        <v>43283.568287037036</v>
      </c>
      <c r="BP3041" t="s">
        <v>92</v>
      </c>
      <c r="BQ3041" t="s">
        <v>93</v>
      </c>
      <c r="BR3041" t="s">
        <v>94</v>
      </c>
    </row>
    <row r="3042" spans="1:70" x14ac:dyDescent="0.3">
      <c r="A3042" t="str">
        <f>"202184C0100"</f>
        <v>202184C0100</v>
      </c>
      <c r="B3042" t="s">
        <v>6313</v>
      </c>
      <c r="C3042">
        <v>20</v>
      </c>
      <c r="D3042" t="s">
        <v>88</v>
      </c>
      <c r="E3042">
        <v>509</v>
      </c>
      <c r="F3042" t="s">
        <v>6293</v>
      </c>
      <c r="G3042">
        <v>2184</v>
      </c>
      <c r="H3042">
        <v>1</v>
      </c>
      <c r="I3042" t="s">
        <v>98</v>
      </c>
      <c r="J3042">
        <v>0</v>
      </c>
      <c r="K3042">
        <v>1</v>
      </c>
      <c r="L3042">
        <v>5</v>
      </c>
      <c r="M3042">
        <v>217</v>
      </c>
      <c r="N3042">
        <v>374</v>
      </c>
      <c r="O3042">
        <v>0</v>
      </c>
      <c r="P3042">
        <v>374</v>
      </c>
      <c r="Q3042">
        <v>1</v>
      </c>
      <c r="R3042">
        <v>207</v>
      </c>
      <c r="S3042">
        <v>6</v>
      </c>
      <c r="T3042">
        <v>5</v>
      </c>
      <c r="U3042">
        <v>5</v>
      </c>
      <c r="V3042">
        <v>3</v>
      </c>
      <c r="X3042">
        <v>4</v>
      </c>
      <c r="Y3042">
        <v>110</v>
      </c>
      <c r="Z3042">
        <v>0</v>
      </c>
      <c r="AC3042">
        <v>0</v>
      </c>
      <c r="AD3042">
        <v>0</v>
      </c>
      <c r="AE3042">
        <v>0</v>
      </c>
      <c r="AF3042">
        <v>0</v>
      </c>
      <c r="AK3042">
        <v>0</v>
      </c>
      <c r="AL3042">
        <v>0</v>
      </c>
      <c r="AM3042">
        <v>0</v>
      </c>
      <c r="AN3042">
        <v>0</v>
      </c>
      <c r="AS3042">
        <v>10</v>
      </c>
      <c r="AT3042">
        <v>5</v>
      </c>
      <c r="AU3042">
        <v>1</v>
      </c>
      <c r="AV3042">
        <v>0</v>
      </c>
      <c r="BC3042">
        <v>0</v>
      </c>
      <c r="BD3042">
        <v>17</v>
      </c>
      <c r="BE3042">
        <v>374</v>
      </c>
      <c r="BF3042">
        <v>374</v>
      </c>
      <c r="BG3042">
        <v>569</v>
      </c>
      <c r="BJ3042">
        <v>1</v>
      </c>
      <c r="BL3042" t="s">
        <v>6314</v>
      </c>
      <c r="BM3042" s="4">
        <v>43283.218055555553</v>
      </c>
      <c r="BN3042" s="4">
        <v>43283.246435185189</v>
      </c>
      <c r="BO3042" s="4">
        <v>43283.246435185189</v>
      </c>
      <c r="BP3042" t="s">
        <v>92</v>
      </c>
      <c r="BQ3042" t="s">
        <v>93</v>
      </c>
      <c r="BR3042" t="s">
        <v>94</v>
      </c>
    </row>
    <row r="3043" spans="1:70" x14ac:dyDescent="0.3">
      <c r="A3043" t="str">
        <f>"202184E0100"</f>
        <v>202184E0100</v>
      </c>
      <c r="B3043" s="2" t="s">
        <v>6315</v>
      </c>
      <c r="C3043">
        <v>20</v>
      </c>
      <c r="D3043" t="s">
        <v>88</v>
      </c>
      <c r="E3043">
        <v>509</v>
      </c>
      <c r="F3043" t="s">
        <v>6293</v>
      </c>
      <c r="G3043">
        <v>2184</v>
      </c>
      <c r="H3043">
        <v>1</v>
      </c>
      <c r="I3043" t="s">
        <v>156</v>
      </c>
      <c r="J3043">
        <v>0</v>
      </c>
      <c r="K3043">
        <v>2</v>
      </c>
      <c r="L3043">
        <v>5</v>
      </c>
      <c r="M3043">
        <v>62</v>
      </c>
      <c r="N3043">
        <v>166</v>
      </c>
      <c r="O3043">
        <v>1</v>
      </c>
      <c r="P3043">
        <v>166</v>
      </c>
      <c r="Q3043">
        <v>1</v>
      </c>
      <c r="R3043">
        <v>87</v>
      </c>
      <c r="S3043">
        <v>0</v>
      </c>
      <c r="T3043">
        <v>0</v>
      </c>
      <c r="U3043">
        <v>5</v>
      </c>
      <c r="V3043">
        <v>0</v>
      </c>
      <c r="X3043">
        <v>3</v>
      </c>
      <c r="Y3043">
        <v>64</v>
      </c>
      <c r="Z3043">
        <v>0</v>
      </c>
      <c r="AC3043">
        <v>0</v>
      </c>
      <c r="AD3043">
        <v>0</v>
      </c>
      <c r="AE3043">
        <v>0</v>
      </c>
      <c r="AF3043">
        <v>0</v>
      </c>
      <c r="AK3043">
        <v>0</v>
      </c>
      <c r="AL3043">
        <v>0</v>
      </c>
      <c r="AM3043">
        <v>0</v>
      </c>
      <c r="AN3043">
        <v>0</v>
      </c>
      <c r="AS3043">
        <v>1</v>
      </c>
      <c r="AT3043">
        <v>1</v>
      </c>
      <c r="AU3043">
        <v>0</v>
      </c>
      <c r="AV3043">
        <v>0</v>
      </c>
      <c r="BC3043">
        <v>0</v>
      </c>
      <c r="BD3043">
        <v>4</v>
      </c>
      <c r="BE3043">
        <v>166</v>
      </c>
      <c r="BF3043">
        <v>166</v>
      </c>
      <c r="BG3043">
        <v>206</v>
      </c>
      <c r="BJ3043">
        <v>1</v>
      </c>
      <c r="BL3043" t="s">
        <v>6316</v>
      </c>
      <c r="BM3043" s="4">
        <v>43283.22152777778</v>
      </c>
      <c r="BN3043" s="4">
        <v>43283.246076388888</v>
      </c>
      <c r="BO3043" s="4">
        <v>43283.246076388888</v>
      </c>
      <c r="BP3043" t="s">
        <v>92</v>
      </c>
      <c r="BQ3043" t="s">
        <v>93</v>
      </c>
      <c r="BR3043" t="s">
        <v>94</v>
      </c>
    </row>
    <row r="3044" spans="1:70" x14ac:dyDescent="0.3">
      <c r="A3044" t="str">
        <f>"202190B0100"</f>
        <v>202190B0100</v>
      </c>
      <c r="B3044" t="s">
        <v>6317</v>
      </c>
      <c r="C3044">
        <v>20</v>
      </c>
      <c r="D3044" t="s">
        <v>88</v>
      </c>
      <c r="E3044">
        <v>513</v>
      </c>
      <c r="F3044" t="s">
        <v>6318</v>
      </c>
      <c r="G3044">
        <v>2190</v>
      </c>
      <c r="H3044">
        <v>1</v>
      </c>
      <c r="I3044" t="s">
        <v>90</v>
      </c>
      <c r="J3044">
        <v>0</v>
      </c>
      <c r="K3044">
        <v>2</v>
      </c>
      <c r="L3044">
        <v>5</v>
      </c>
      <c r="M3044">
        <v>101</v>
      </c>
      <c r="N3044">
        <v>333</v>
      </c>
      <c r="O3044">
        <v>4</v>
      </c>
      <c r="P3044">
        <v>333</v>
      </c>
      <c r="Q3044">
        <v>1</v>
      </c>
      <c r="R3044">
        <v>91</v>
      </c>
      <c r="S3044">
        <v>9</v>
      </c>
      <c r="T3044">
        <v>0</v>
      </c>
      <c r="U3044">
        <v>2</v>
      </c>
      <c r="V3044">
        <v>2</v>
      </c>
      <c r="W3044">
        <v>1</v>
      </c>
      <c r="X3044">
        <v>95</v>
      </c>
      <c r="Y3044">
        <v>128</v>
      </c>
      <c r="Z3044">
        <v>2</v>
      </c>
      <c r="AC3044">
        <v>0</v>
      </c>
      <c r="AD3044">
        <v>0</v>
      </c>
      <c r="AE3044">
        <v>0</v>
      </c>
      <c r="AF3044">
        <v>0</v>
      </c>
      <c r="AK3044">
        <v>0</v>
      </c>
      <c r="AL3044">
        <v>0</v>
      </c>
      <c r="AM3044">
        <v>0</v>
      </c>
      <c r="AN3044">
        <v>0</v>
      </c>
      <c r="AT3044">
        <v>0</v>
      </c>
      <c r="BC3044">
        <v>0</v>
      </c>
      <c r="BD3044">
        <v>2</v>
      </c>
      <c r="BE3044">
        <v>333</v>
      </c>
      <c r="BF3044">
        <v>333</v>
      </c>
      <c r="BG3044">
        <v>412</v>
      </c>
      <c r="BJ3044">
        <v>1</v>
      </c>
      <c r="BL3044" t="s">
        <v>6319</v>
      </c>
      <c r="BM3044" s="4">
        <v>43283.484027777777</v>
      </c>
      <c r="BN3044" s="4">
        <v>43283.492812500001</v>
      </c>
      <c r="BO3044" s="4">
        <v>43283.492812500001</v>
      </c>
      <c r="BP3044" t="s">
        <v>92</v>
      </c>
      <c r="BQ3044" t="s">
        <v>93</v>
      </c>
      <c r="BR3044" t="s">
        <v>94</v>
      </c>
    </row>
    <row r="3045" spans="1:70" x14ac:dyDescent="0.3">
      <c r="A3045" t="str">
        <f>"202190C0100"</f>
        <v>202190C0100</v>
      </c>
      <c r="B3045" t="s">
        <v>6320</v>
      </c>
      <c r="C3045">
        <v>20</v>
      </c>
      <c r="D3045" t="s">
        <v>88</v>
      </c>
      <c r="E3045">
        <v>513</v>
      </c>
      <c r="F3045" t="s">
        <v>6318</v>
      </c>
      <c r="G3045">
        <v>2190</v>
      </c>
      <c r="H3045">
        <v>1</v>
      </c>
      <c r="I3045" t="s">
        <v>98</v>
      </c>
      <c r="J3045">
        <v>0</v>
      </c>
      <c r="K3045">
        <v>2</v>
      </c>
      <c r="L3045">
        <v>5</v>
      </c>
      <c r="M3045">
        <v>100</v>
      </c>
      <c r="N3045">
        <v>334</v>
      </c>
      <c r="O3045">
        <v>4</v>
      </c>
      <c r="P3045">
        <v>334</v>
      </c>
      <c r="Q3045" t="s">
        <v>105</v>
      </c>
      <c r="R3045">
        <v>68</v>
      </c>
      <c r="S3045">
        <v>7</v>
      </c>
      <c r="T3045" t="s">
        <v>105</v>
      </c>
      <c r="U3045" t="s">
        <v>105</v>
      </c>
      <c r="V3045">
        <v>1</v>
      </c>
      <c r="W3045" t="s">
        <v>105</v>
      </c>
      <c r="X3045">
        <v>112</v>
      </c>
      <c r="Y3045">
        <v>144</v>
      </c>
      <c r="Z3045" t="s">
        <v>105</v>
      </c>
      <c r="AC3045" t="s">
        <v>105</v>
      </c>
      <c r="AD3045" t="s">
        <v>105</v>
      </c>
      <c r="AE3045" t="s">
        <v>105</v>
      </c>
      <c r="AF3045" t="s">
        <v>105</v>
      </c>
      <c r="AK3045" t="s">
        <v>105</v>
      </c>
      <c r="AL3045" t="s">
        <v>105</v>
      </c>
      <c r="AM3045" t="s">
        <v>105</v>
      </c>
      <c r="AN3045" t="s">
        <v>105</v>
      </c>
      <c r="AT3045" t="s">
        <v>105</v>
      </c>
      <c r="BC3045" t="s">
        <v>105</v>
      </c>
      <c r="BD3045">
        <v>2</v>
      </c>
      <c r="BE3045" t="s">
        <v>105</v>
      </c>
      <c r="BF3045">
        <v>334</v>
      </c>
      <c r="BG3045">
        <v>412</v>
      </c>
      <c r="BI3045" t="s">
        <v>106</v>
      </c>
      <c r="BJ3045">
        <v>1</v>
      </c>
      <c r="BL3045" t="s">
        <v>6321</v>
      </c>
      <c r="BM3045" s="4">
        <v>43283.48333333333</v>
      </c>
      <c r="BN3045" s="4">
        <v>43283.492546296293</v>
      </c>
      <c r="BO3045" s="4">
        <v>43283.492546296293</v>
      </c>
      <c r="BP3045" t="s">
        <v>92</v>
      </c>
      <c r="BQ3045" t="s">
        <v>93</v>
      </c>
      <c r="BR3045" t="s">
        <v>94</v>
      </c>
    </row>
    <row r="3046" spans="1:70" x14ac:dyDescent="0.3">
      <c r="A3046" t="str">
        <f>"202191B0100"</f>
        <v>202191B0100</v>
      </c>
      <c r="B3046" t="s">
        <v>6322</v>
      </c>
      <c r="C3046">
        <v>20</v>
      </c>
      <c r="D3046" t="s">
        <v>88</v>
      </c>
      <c r="E3046">
        <v>513</v>
      </c>
      <c r="F3046" t="s">
        <v>6318</v>
      </c>
      <c r="G3046">
        <v>2191</v>
      </c>
      <c r="H3046">
        <v>1</v>
      </c>
      <c r="I3046" t="s">
        <v>90</v>
      </c>
      <c r="J3046">
        <v>0</v>
      </c>
      <c r="K3046">
        <v>2</v>
      </c>
      <c r="L3046">
        <v>5</v>
      </c>
      <c r="M3046">
        <v>121</v>
      </c>
      <c r="N3046">
        <v>494</v>
      </c>
      <c r="O3046">
        <v>2</v>
      </c>
      <c r="P3046">
        <v>494</v>
      </c>
      <c r="Q3046">
        <v>1</v>
      </c>
      <c r="R3046">
        <v>147</v>
      </c>
      <c r="S3046">
        <v>13</v>
      </c>
      <c r="T3046">
        <v>1</v>
      </c>
      <c r="U3046">
        <v>6</v>
      </c>
      <c r="V3046">
        <v>1</v>
      </c>
      <c r="W3046">
        <v>0</v>
      </c>
      <c r="X3046">
        <v>114</v>
      </c>
      <c r="Y3046">
        <v>206</v>
      </c>
      <c r="Z3046">
        <v>2</v>
      </c>
      <c r="AC3046">
        <v>0</v>
      </c>
      <c r="AD3046">
        <v>0</v>
      </c>
      <c r="AE3046">
        <v>0</v>
      </c>
      <c r="AF3046">
        <v>0</v>
      </c>
      <c r="AK3046">
        <v>0</v>
      </c>
      <c r="AL3046">
        <v>0</v>
      </c>
      <c r="AM3046">
        <v>0</v>
      </c>
      <c r="AN3046">
        <v>0</v>
      </c>
      <c r="AT3046">
        <v>0</v>
      </c>
      <c r="BC3046">
        <v>0</v>
      </c>
      <c r="BD3046">
        <v>3</v>
      </c>
      <c r="BE3046">
        <v>494</v>
      </c>
      <c r="BF3046">
        <v>494</v>
      </c>
      <c r="BG3046">
        <v>593</v>
      </c>
      <c r="BJ3046">
        <v>1</v>
      </c>
      <c r="BL3046" t="s">
        <v>6323</v>
      </c>
      <c r="BM3046" s="4">
        <v>43283.482638888891</v>
      </c>
      <c r="BN3046" s="4">
        <v>43283.491215277776</v>
      </c>
      <c r="BO3046" s="4">
        <v>43283.491215277776</v>
      </c>
      <c r="BP3046" t="s">
        <v>92</v>
      </c>
      <c r="BQ3046" t="s">
        <v>93</v>
      </c>
      <c r="BR3046" t="s">
        <v>94</v>
      </c>
    </row>
    <row r="3047" spans="1:70" x14ac:dyDescent="0.3">
      <c r="A3047" t="str">
        <f>"202191C0100"</f>
        <v>202191C0100</v>
      </c>
      <c r="B3047" t="s">
        <v>6324</v>
      </c>
      <c r="C3047">
        <v>20</v>
      </c>
      <c r="D3047" t="s">
        <v>88</v>
      </c>
      <c r="E3047">
        <v>513</v>
      </c>
      <c r="F3047" t="s">
        <v>6318</v>
      </c>
      <c r="G3047">
        <v>2191</v>
      </c>
      <c r="H3047">
        <v>1</v>
      </c>
      <c r="I3047" t="s">
        <v>98</v>
      </c>
      <c r="J3047">
        <v>0</v>
      </c>
      <c r="K3047">
        <v>2</v>
      </c>
      <c r="L3047">
        <v>5</v>
      </c>
      <c r="M3047">
        <v>132</v>
      </c>
      <c r="N3047">
        <v>482</v>
      </c>
      <c r="O3047">
        <v>4</v>
      </c>
      <c r="P3047">
        <v>482</v>
      </c>
      <c r="Q3047">
        <v>2</v>
      </c>
      <c r="R3047">
        <v>129</v>
      </c>
      <c r="S3047">
        <v>7</v>
      </c>
      <c r="T3047">
        <v>1</v>
      </c>
      <c r="U3047">
        <v>3</v>
      </c>
      <c r="V3047">
        <v>1</v>
      </c>
      <c r="W3047">
        <v>0</v>
      </c>
      <c r="X3047">
        <v>99</v>
      </c>
      <c r="Y3047">
        <v>235</v>
      </c>
      <c r="Z3047">
        <v>0</v>
      </c>
      <c r="AC3047">
        <v>0</v>
      </c>
      <c r="AD3047">
        <v>0</v>
      </c>
      <c r="AE3047">
        <v>0</v>
      </c>
      <c r="AF3047">
        <v>0</v>
      </c>
      <c r="AK3047">
        <v>2</v>
      </c>
      <c r="AL3047">
        <v>0</v>
      </c>
      <c r="AM3047">
        <v>0</v>
      </c>
      <c r="AN3047">
        <v>0</v>
      </c>
      <c r="AT3047">
        <v>1</v>
      </c>
      <c r="BC3047">
        <v>0</v>
      </c>
      <c r="BD3047">
        <v>2</v>
      </c>
      <c r="BE3047">
        <v>482</v>
      </c>
      <c r="BF3047">
        <v>482</v>
      </c>
      <c r="BG3047">
        <v>592</v>
      </c>
      <c r="BJ3047">
        <v>1</v>
      </c>
      <c r="BL3047" t="s">
        <v>6325</v>
      </c>
      <c r="BM3047" s="4">
        <v>43283.481944444444</v>
      </c>
      <c r="BN3047" s="4">
        <v>43283.490567129629</v>
      </c>
      <c r="BO3047" s="4">
        <v>43283.490567129629</v>
      </c>
      <c r="BP3047" t="s">
        <v>92</v>
      </c>
      <c r="BQ3047" t="s">
        <v>93</v>
      </c>
      <c r="BR3047" t="s">
        <v>94</v>
      </c>
    </row>
    <row r="3048" spans="1:70" x14ac:dyDescent="0.3">
      <c r="A3048" t="str">
        <f>"202192B0100"</f>
        <v>202192B0100</v>
      </c>
      <c r="B3048" t="s">
        <v>6326</v>
      </c>
      <c r="C3048">
        <v>20</v>
      </c>
      <c r="D3048" t="s">
        <v>88</v>
      </c>
      <c r="E3048">
        <v>513</v>
      </c>
      <c r="F3048" t="s">
        <v>6318</v>
      </c>
      <c r="G3048">
        <v>2192</v>
      </c>
      <c r="H3048">
        <v>1</v>
      </c>
      <c r="I3048" t="s">
        <v>90</v>
      </c>
      <c r="J3048">
        <v>0</v>
      </c>
      <c r="K3048">
        <v>2</v>
      </c>
      <c r="L3048">
        <v>5</v>
      </c>
      <c r="M3048">
        <v>171</v>
      </c>
      <c r="N3048">
        <v>656</v>
      </c>
      <c r="O3048">
        <v>0</v>
      </c>
      <c r="P3048">
        <v>485</v>
      </c>
      <c r="Q3048">
        <v>0</v>
      </c>
      <c r="R3048">
        <v>165</v>
      </c>
      <c r="S3048">
        <v>14</v>
      </c>
      <c r="T3048">
        <v>0</v>
      </c>
      <c r="U3048">
        <v>1</v>
      </c>
      <c r="V3048">
        <v>0</v>
      </c>
      <c r="W3048">
        <v>1</v>
      </c>
      <c r="X3048">
        <v>104</v>
      </c>
      <c r="Y3048">
        <v>196</v>
      </c>
      <c r="Z3048">
        <v>2</v>
      </c>
      <c r="AC3048">
        <v>0</v>
      </c>
      <c r="AD3048">
        <v>0</v>
      </c>
      <c r="AE3048">
        <v>0</v>
      </c>
      <c r="AF3048">
        <v>0</v>
      </c>
      <c r="AK3048">
        <v>0</v>
      </c>
      <c r="AL3048">
        <v>0</v>
      </c>
      <c r="AM3048">
        <v>0</v>
      </c>
      <c r="AN3048">
        <v>0</v>
      </c>
      <c r="AT3048">
        <v>0</v>
      </c>
      <c r="BC3048">
        <v>0</v>
      </c>
      <c r="BD3048">
        <v>2</v>
      </c>
      <c r="BE3048">
        <v>485</v>
      </c>
      <c r="BF3048">
        <v>485</v>
      </c>
      <c r="BG3048">
        <v>634</v>
      </c>
      <c r="BJ3048">
        <v>1</v>
      </c>
      <c r="BL3048" t="s">
        <v>6327</v>
      </c>
      <c r="BM3048" s="4">
        <v>43283.475694444445</v>
      </c>
      <c r="BN3048" s="4">
        <v>43283.484351851854</v>
      </c>
      <c r="BO3048" s="4">
        <v>43283.484351851854</v>
      </c>
      <c r="BP3048" t="s">
        <v>92</v>
      </c>
      <c r="BQ3048" t="s">
        <v>93</v>
      </c>
      <c r="BR3048" t="s">
        <v>94</v>
      </c>
    </row>
    <row r="3049" spans="1:70" x14ac:dyDescent="0.3">
      <c r="A3049" t="str">
        <f>"202192C0100"</f>
        <v>202192C0100</v>
      </c>
      <c r="B3049" t="s">
        <v>6328</v>
      </c>
      <c r="C3049">
        <v>20</v>
      </c>
      <c r="D3049" t="s">
        <v>88</v>
      </c>
      <c r="E3049">
        <v>513</v>
      </c>
      <c r="F3049" t="s">
        <v>6318</v>
      </c>
      <c r="G3049">
        <v>2192</v>
      </c>
      <c r="H3049">
        <v>1</v>
      </c>
      <c r="I3049" t="s">
        <v>98</v>
      </c>
      <c r="J3049">
        <v>0</v>
      </c>
      <c r="K3049">
        <v>2</v>
      </c>
      <c r="L3049">
        <v>5</v>
      </c>
      <c r="M3049">
        <v>137</v>
      </c>
      <c r="N3049">
        <v>517</v>
      </c>
      <c r="O3049">
        <v>4</v>
      </c>
      <c r="P3049">
        <v>518</v>
      </c>
      <c r="Q3049">
        <v>0</v>
      </c>
      <c r="R3049">
        <v>183</v>
      </c>
      <c r="S3049">
        <v>6</v>
      </c>
      <c r="T3049">
        <v>0</v>
      </c>
      <c r="U3049">
        <v>0</v>
      </c>
      <c r="V3049">
        <v>1</v>
      </c>
      <c r="W3049">
        <v>0</v>
      </c>
      <c r="X3049">
        <v>124</v>
      </c>
      <c r="Y3049">
        <v>198</v>
      </c>
      <c r="Z3049">
        <v>0</v>
      </c>
      <c r="AC3049">
        <v>0</v>
      </c>
      <c r="AD3049">
        <v>0</v>
      </c>
      <c r="AE3049">
        <v>0</v>
      </c>
      <c r="AF3049">
        <v>0</v>
      </c>
      <c r="AK3049">
        <v>0</v>
      </c>
      <c r="AL3049">
        <v>0</v>
      </c>
      <c r="AM3049">
        <v>0</v>
      </c>
      <c r="AN3049">
        <v>0</v>
      </c>
      <c r="AT3049">
        <v>0</v>
      </c>
      <c r="BC3049">
        <v>0</v>
      </c>
      <c r="BD3049">
        <v>6</v>
      </c>
      <c r="BE3049">
        <v>518</v>
      </c>
      <c r="BF3049">
        <v>518</v>
      </c>
      <c r="BG3049">
        <v>633</v>
      </c>
      <c r="BJ3049">
        <v>1</v>
      </c>
      <c r="BL3049" t="s">
        <v>6329</v>
      </c>
      <c r="BM3049" s="4">
        <v>43283.481249999997</v>
      </c>
      <c r="BN3049" s="4">
        <v>43283.489606481482</v>
      </c>
      <c r="BO3049" s="4">
        <v>43283.489606481482</v>
      </c>
      <c r="BP3049" t="s">
        <v>92</v>
      </c>
      <c r="BQ3049" t="s">
        <v>93</v>
      </c>
      <c r="BR3049" t="s">
        <v>94</v>
      </c>
    </row>
    <row r="3050" spans="1:70" x14ac:dyDescent="0.3">
      <c r="A3050" t="str">
        <f>"202193B0100"</f>
        <v>202193B0100</v>
      </c>
      <c r="B3050" t="s">
        <v>6330</v>
      </c>
      <c r="C3050">
        <v>20</v>
      </c>
      <c r="D3050" t="s">
        <v>88</v>
      </c>
      <c r="E3050">
        <v>513</v>
      </c>
      <c r="F3050" t="s">
        <v>6318</v>
      </c>
      <c r="G3050">
        <v>2193</v>
      </c>
      <c r="H3050">
        <v>1</v>
      </c>
      <c r="I3050" t="s">
        <v>90</v>
      </c>
      <c r="J3050">
        <v>0</v>
      </c>
      <c r="K3050">
        <v>2</v>
      </c>
      <c r="L3050">
        <v>5</v>
      </c>
      <c r="M3050">
        <v>145</v>
      </c>
      <c r="N3050">
        <v>405</v>
      </c>
      <c r="O3050">
        <v>3</v>
      </c>
      <c r="P3050">
        <v>427</v>
      </c>
      <c r="Q3050">
        <v>1</v>
      </c>
      <c r="R3050">
        <v>151</v>
      </c>
      <c r="S3050">
        <v>3</v>
      </c>
      <c r="T3050">
        <v>0</v>
      </c>
      <c r="U3050">
        <v>1</v>
      </c>
      <c r="V3050">
        <v>1</v>
      </c>
      <c r="W3050">
        <v>0</v>
      </c>
      <c r="X3050">
        <v>89</v>
      </c>
      <c r="Y3050">
        <v>175</v>
      </c>
      <c r="Z3050">
        <v>0</v>
      </c>
      <c r="AC3050">
        <v>0</v>
      </c>
      <c r="AD3050">
        <v>1</v>
      </c>
      <c r="AE3050">
        <v>1</v>
      </c>
      <c r="AF3050">
        <v>1</v>
      </c>
      <c r="AK3050">
        <v>1</v>
      </c>
      <c r="AL3050">
        <v>1</v>
      </c>
      <c r="AM3050">
        <v>1</v>
      </c>
      <c r="AN3050">
        <v>1</v>
      </c>
      <c r="AT3050">
        <v>1</v>
      </c>
      <c r="BC3050">
        <v>5</v>
      </c>
      <c r="BD3050">
        <v>5</v>
      </c>
      <c r="BE3050">
        <v>427</v>
      </c>
      <c r="BF3050">
        <v>439</v>
      </c>
      <c r="BG3050">
        <v>550</v>
      </c>
      <c r="BJ3050">
        <v>1</v>
      </c>
      <c r="BL3050" s="2" t="s">
        <v>6331</v>
      </c>
      <c r="BM3050" s="4">
        <v>43283.479166666664</v>
      </c>
      <c r="BN3050" s="4">
        <v>43283.499606481484</v>
      </c>
      <c r="BO3050" s="4">
        <v>43283.499606481484</v>
      </c>
      <c r="BP3050" t="s">
        <v>92</v>
      </c>
      <c r="BQ3050" t="s">
        <v>93</v>
      </c>
      <c r="BR3050" t="s">
        <v>94</v>
      </c>
    </row>
    <row r="3051" spans="1:70" x14ac:dyDescent="0.3">
      <c r="A3051" t="str">
        <f>"202193C0100"</f>
        <v>202193C0100</v>
      </c>
      <c r="B3051" t="s">
        <v>6332</v>
      </c>
      <c r="C3051">
        <v>20</v>
      </c>
      <c r="D3051" t="s">
        <v>88</v>
      </c>
      <c r="E3051">
        <v>513</v>
      </c>
      <c r="F3051" t="s">
        <v>6318</v>
      </c>
      <c r="G3051">
        <v>2193</v>
      </c>
      <c r="H3051">
        <v>1</v>
      </c>
      <c r="I3051" t="s">
        <v>98</v>
      </c>
      <c r="J3051">
        <v>0</v>
      </c>
      <c r="K3051">
        <v>2</v>
      </c>
      <c r="L3051">
        <v>5</v>
      </c>
      <c r="M3051">
        <v>107</v>
      </c>
      <c r="N3051">
        <v>465</v>
      </c>
      <c r="O3051">
        <v>11</v>
      </c>
      <c r="P3051">
        <v>465</v>
      </c>
      <c r="Q3051">
        <v>2</v>
      </c>
      <c r="R3051">
        <v>129</v>
      </c>
      <c r="S3051">
        <v>5</v>
      </c>
      <c r="T3051" t="s">
        <v>105</v>
      </c>
      <c r="U3051">
        <v>2</v>
      </c>
      <c r="V3051" t="s">
        <v>105</v>
      </c>
      <c r="W3051" t="s">
        <v>105</v>
      </c>
      <c r="X3051">
        <v>106</v>
      </c>
      <c r="Y3051">
        <v>217</v>
      </c>
      <c r="Z3051" t="s">
        <v>105</v>
      </c>
      <c r="AC3051" t="s">
        <v>105</v>
      </c>
      <c r="AD3051" t="s">
        <v>105</v>
      </c>
      <c r="AE3051" t="s">
        <v>105</v>
      </c>
      <c r="AF3051" t="s">
        <v>105</v>
      </c>
      <c r="AK3051" t="s">
        <v>105</v>
      </c>
      <c r="AL3051" t="s">
        <v>105</v>
      </c>
      <c r="AM3051" t="s">
        <v>105</v>
      </c>
      <c r="AN3051" t="s">
        <v>105</v>
      </c>
      <c r="AT3051" t="s">
        <v>105</v>
      </c>
      <c r="BC3051" t="s">
        <v>105</v>
      </c>
      <c r="BD3051">
        <v>3</v>
      </c>
      <c r="BE3051" t="s">
        <v>105</v>
      </c>
      <c r="BF3051">
        <v>464</v>
      </c>
      <c r="BG3051">
        <v>550</v>
      </c>
      <c r="BI3051" t="s">
        <v>106</v>
      </c>
      <c r="BJ3051">
        <v>1</v>
      </c>
      <c r="BL3051" t="s">
        <v>6333</v>
      </c>
      <c r="BM3051" s="4">
        <v>43283.479861111111</v>
      </c>
      <c r="BN3051" s="4">
        <v>43283.487615740742</v>
      </c>
      <c r="BO3051" s="4">
        <v>43283.487615740742</v>
      </c>
      <c r="BP3051" t="s">
        <v>92</v>
      </c>
      <c r="BQ3051" t="s">
        <v>93</v>
      </c>
      <c r="BR3051" t="s">
        <v>94</v>
      </c>
    </row>
    <row r="3052" spans="1:70" x14ac:dyDescent="0.3">
      <c r="A3052" t="str">
        <f>"202194B0100"</f>
        <v>202194B0100</v>
      </c>
      <c r="B3052" t="s">
        <v>6334</v>
      </c>
      <c r="C3052">
        <v>20</v>
      </c>
      <c r="D3052" t="s">
        <v>88</v>
      </c>
      <c r="E3052">
        <v>513</v>
      </c>
      <c r="F3052" t="s">
        <v>6318</v>
      </c>
      <c r="G3052">
        <v>2194</v>
      </c>
      <c r="H3052">
        <v>1</v>
      </c>
      <c r="I3052" t="s">
        <v>90</v>
      </c>
      <c r="J3052">
        <v>0</v>
      </c>
      <c r="K3052">
        <v>2</v>
      </c>
      <c r="L3052">
        <v>5</v>
      </c>
      <c r="M3052">
        <v>146</v>
      </c>
      <c r="N3052">
        <v>561</v>
      </c>
      <c r="O3052">
        <v>0</v>
      </c>
      <c r="P3052">
        <v>567</v>
      </c>
      <c r="Q3052">
        <v>3</v>
      </c>
      <c r="R3052">
        <v>210</v>
      </c>
      <c r="S3052">
        <v>4</v>
      </c>
      <c r="T3052">
        <v>4</v>
      </c>
      <c r="U3052">
        <v>2</v>
      </c>
      <c r="V3052">
        <v>2</v>
      </c>
      <c r="W3052">
        <v>1</v>
      </c>
      <c r="X3052">
        <v>272</v>
      </c>
      <c r="Y3052">
        <v>48</v>
      </c>
      <c r="Z3052">
        <v>3</v>
      </c>
      <c r="AC3052">
        <v>0</v>
      </c>
      <c r="AD3052">
        <v>0</v>
      </c>
      <c r="AE3052">
        <v>0</v>
      </c>
      <c r="AF3052">
        <v>0</v>
      </c>
      <c r="AK3052">
        <v>0</v>
      </c>
      <c r="AL3052">
        <v>0</v>
      </c>
      <c r="AM3052">
        <v>0</v>
      </c>
      <c r="AN3052">
        <v>0</v>
      </c>
      <c r="AT3052">
        <v>0</v>
      </c>
      <c r="BC3052">
        <v>0</v>
      </c>
      <c r="BD3052">
        <v>18</v>
      </c>
      <c r="BE3052">
        <v>567</v>
      </c>
      <c r="BF3052">
        <v>567</v>
      </c>
      <c r="BG3052">
        <v>687</v>
      </c>
      <c r="BJ3052">
        <v>1</v>
      </c>
      <c r="BL3052" t="s">
        <v>6335</v>
      </c>
      <c r="BM3052" s="4">
        <v>43283.476388888892</v>
      </c>
      <c r="BN3052" s="4">
        <v>43283.485532407409</v>
      </c>
      <c r="BO3052" s="4">
        <v>43283.485532407409</v>
      </c>
      <c r="BP3052" t="s">
        <v>92</v>
      </c>
      <c r="BQ3052" t="s">
        <v>93</v>
      </c>
      <c r="BR3052" t="s">
        <v>94</v>
      </c>
    </row>
    <row r="3053" spans="1:70" x14ac:dyDescent="0.3">
      <c r="A3053" t="str">
        <f>"202195B0100"</f>
        <v>202195B0100</v>
      </c>
      <c r="B3053" t="s">
        <v>6336</v>
      </c>
      <c r="C3053">
        <v>20</v>
      </c>
      <c r="D3053" t="s">
        <v>88</v>
      </c>
      <c r="E3053">
        <v>513</v>
      </c>
      <c r="F3053" t="s">
        <v>6318</v>
      </c>
      <c r="G3053">
        <v>2195</v>
      </c>
      <c r="H3053">
        <v>1</v>
      </c>
      <c r="I3053" t="s">
        <v>90</v>
      </c>
      <c r="J3053">
        <v>0</v>
      </c>
      <c r="K3053">
        <v>2</v>
      </c>
      <c r="L3053">
        <v>5</v>
      </c>
      <c r="M3053">
        <v>69</v>
      </c>
      <c r="N3053">
        <v>245</v>
      </c>
      <c r="O3053">
        <v>0</v>
      </c>
      <c r="P3053">
        <v>245</v>
      </c>
      <c r="Q3053">
        <v>0</v>
      </c>
      <c r="R3053">
        <v>90</v>
      </c>
      <c r="S3053">
        <v>3</v>
      </c>
      <c r="T3053">
        <v>0</v>
      </c>
      <c r="U3053">
        <v>0</v>
      </c>
      <c r="V3053">
        <v>0</v>
      </c>
      <c r="W3053">
        <v>0</v>
      </c>
      <c r="X3053">
        <v>96</v>
      </c>
      <c r="Y3053">
        <v>46</v>
      </c>
      <c r="Z3053">
        <v>1</v>
      </c>
      <c r="AC3053">
        <v>0</v>
      </c>
      <c r="AD3053">
        <v>0</v>
      </c>
      <c r="AE3053">
        <v>0</v>
      </c>
      <c r="AF3053">
        <v>0</v>
      </c>
      <c r="AK3053">
        <v>2</v>
      </c>
      <c r="AL3053">
        <v>1</v>
      </c>
      <c r="AM3053">
        <v>0</v>
      </c>
      <c r="AN3053">
        <v>0</v>
      </c>
      <c r="AT3053" t="s">
        <v>105</v>
      </c>
      <c r="BC3053" t="s">
        <v>105</v>
      </c>
      <c r="BD3053">
        <v>6</v>
      </c>
      <c r="BE3053">
        <v>245</v>
      </c>
      <c r="BF3053">
        <v>245</v>
      </c>
      <c r="BG3053">
        <v>292</v>
      </c>
      <c r="BI3053" t="s">
        <v>106</v>
      </c>
      <c r="BJ3053">
        <v>1</v>
      </c>
      <c r="BL3053" t="s">
        <v>6337</v>
      </c>
      <c r="BM3053" s="4">
        <v>43283.480555555558</v>
      </c>
      <c r="BN3053" s="4">
        <v>43283.487962962965</v>
      </c>
      <c r="BO3053" s="4">
        <v>43283.487962962965</v>
      </c>
      <c r="BP3053" t="s">
        <v>92</v>
      </c>
      <c r="BQ3053" t="s">
        <v>93</v>
      </c>
      <c r="BR3053" t="s">
        <v>94</v>
      </c>
    </row>
    <row r="3054" spans="1:70" x14ac:dyDescent="0.3">
      <c r="A3054" t="str">
        <f>"202195E0100"</f>
        <v>202195E0100</v>
      </c>
      <c r="B3054" s="2" t="s">
        <v>6338</v>
      </c>
      <c r="C3054">
        <v>20</v>
      </c>
      <c r="D3054" t="s">
        <v>88</v>
      </c>
      <c r="E3054">
        <v>513</v>
      </c>
      <c r="F3054" t="s">
        <v>6318</v>
      </c>
      <c r="G3054">
        <v>2195</v>
      </c>
      <c r="H3054">
        <v>1</v>
      </c>
      <c r="I3054" t="s">
        <v>156</v>
      </c>
      <c r="J3054">
        <v>0</v>
      </c>
      <c r="K3054">
        <v>2</v>
      </c>
      <c r="L3054">
        <v>5</v>
      </c>
      <c r="M3054">
        <v>59</v>
      </c>
      <c r="N3054" t="s">
        <v>105</v>
      </c>
      <c r="O3054" t="s">
        <v>105</v>
      </c>
      <c r="P3054">
        <v>231</v>
      </c>
      <c r="Q3054" t="s">
        <v>105</v>
      </c>
      <c r="R3054">
        <v>94</v>
      </c>
      <c r="S3054">
        <v>1</v>
      </c>
      <c r="T3054" t="s">
        <v>105</v>
      </c>
      <c r="U3054" t="s">
        <v>105</v>
      </c>
      <c r="V3054" t="s">
        <v>105</v>
      </c>
      <c r="W3054" t="s">
        <v>105</v>
      </c>
      <c r="X3054">
        <v>102</v>
      </c>
      <c r="Y3054">
        <v>34</v>
      </c>
      <c r="Z3054" t="s">
        <v>105</v>
      </c>
      <c r="AC3054" t="s">
        <v>105</v>
      </c>
      <c r="AD3054" t="s">
        <v>105</v>
      </c>
      <c r="AE3054" t="s">
        <v>105</v>
      </c>
      <c r="AF3054" t="s">
        <v>105</v>
      </c>
      <c r="AK3054" t="s">
        <v>105</v>
      </c>
      <c r="AL3054" t="s">
        <v>105</v>
      </c>
      <c r="AM3054" t="s">
        <v>105</v>
      </c>
      <c r="AN3054" t="s">
        <v>105</v>
      </c>
      <c r="AT3054" t="s">
        <v>105</v>
      </c>
      <c r="BC3054" t="s">
        <v>105</v>
      </c>
      <c r="BD3054" t="s">
        <v>105</v>
      </c>
      <c r="BE3054" t="s">
        <v>105</v>
      </c>
      <c r="BF3054">
        <v>231</v>
      </c>
      <c r="BG3054">
        <v>269</v>
      </c>
      <c r="BI3054" t="s">
        <v>106</v>
      </c>
      <c r="BJ3054">
        <v>1</v>
      </c>
      <c r="BL3054" t="s">
        <v>6339</v>
      </c>
      <c r="BM3054" s="4">
        <v>43283.404861111114</v>
      </c>
      <c r="BN3054" s="4">
        <v>43283.409432870372</v>
      </c>
      <c r="BO3054" s="4">
        <v>43283.409432870372</v>
      </c>
      <c r="BP3054" t="s">
        <v>92</v>
      </c>
      <c r="BQ3054" t="s">
        <v>93</v>
      </c>
      <c r="BR3054" t="s">
        <v>94</v>
      </c>
    </row>
    <row r="3055" spans="1:70" x14ac:dyDescent="0.3">
      <c r="A3055" t="str">
        <f>"202196B0100"</f>
        <v>202196B0100</v>
      </c>
      <c r="B3055" t="s">
        <v>6340</v>
      </c>
      <c r="C3055">
        <v>20</v>
      </c>
      <c r="D3055" t="s">
        <v>88</v>
      </c>
      <c r="E3055">
        <v>513</v>
      </c>
      <c r="F3055" t="s">
        <v>6318</v>
      </c>
      <c r="G3055">
        <v>2196</v>
      </c>
      <c r="H3055">
        <v>1</v>
      </c>
      <c r="I3055" t="s">
        <v>90</v>
      </c>
      <c r="J3055">
        <v>0</v>
      </c>
      <c r="K3055">
        <v>2</v>
      </c>
      <c r="L3055">
        <v>5</v>
      </c>
      <c r="M3055">
        <v>40</v>
      </c>
      <c r="N3055">
        <v>264</v>
      </c>
      <c r="O3055">
        <v>1</v>
      </c>
      <c r="P3055">
        <v>264</v>
      </c>
      <c r="Q3055">
        <v>0</v>
      </c>
      <c r="R3055">
        <v>86</v>
      </c>
      <c r="S3055">
        <v>4</v>
      </c>
      <c r="T3055">
        <v>0</v>
      </c>
      <c r="U3055">
        <v>0</v>
      </c>
      <c r="V3055">
        <v>1</v>
      </c>
      <c r="W3055">
        <v>0</v>
      </c>
      <c r="X3055">
        <v>97</v>
      </c>
      <c r="Y3055">
        <v>75</v>
      </c>
      <c r="Z3055">
        <v>0</v>
      </c>
      <c r="AC3055">
        <v>0</v>
      </c>
      <c r="AD3055">
        <v>0</v>
      </c>
      <c r="AE3055">
        <v>0</v>
      </c>
      <c r="AF3055">
        <v>0</v>
      </c>
      <c r="AK3055">
        <v>0</v>
      </c>
      <c r="AL3055">
        <v>0</v>
      </c>
      <c r="AM3055">
        <v>0</v>
      </c>
      <c r="AN3055">
        <v>0</v>
      </c>
      <c r="AT3055">
        <v>0</v>
      </c>
      <c r="BC3055">
        <v>0</v>
      </c>
      <c r="BD3055">
        <v>1</v>
      </c>
      <c r="BE3055">
        <v>264</v>
      </c>
      <c r="BF3055">
        <v>264</v>
      </c>
      <c r="BG3055">
        <v>282</v>
      </c>
      <c r="BJ3055">
        <v>1</v>
      </c>
      <c r="BL3055" t="s">
        <v>6341</v>
      </c>
      <c r="BM3055" s="4">
        <v>43283.477083333331</v>
      </c>
      <c r="BN3055" s="4">
        <v>43283.485335648147</v>
      </c>
      <c r="BO3055" s="4">
        <v>43283.485335648147</v>
      </c>
      <c r="BP3055" t="s">
        <v>92</v>
      </c>
      <c r="BQ3055" t="s">
        <v>93</v>
      </c>
      <c r="BR3055" t="s">
        <v>94</v>
      </c>
    </row>
    <row r="3056" spans="1:70" x14ac:dyDescent="0.3">
      <c r="A3056" t="str">
        <f>"202197B0100"</f>
        <v>202197B0100</v>
      </c>
      <c r="B3056" t="s">
        <v>6342</v>
      </c>
      <c r="C3056">
        <v>20</v>
      </c>
      <c r="D3056" t="s">
        <v>88</v>
      </c>
      <c r="E3056">
        <v>513</v>
      </c>
      <c r="F3056" t="s">
        <v>6318</v>
      </c>
      <c r="G3056">
        <v>2197</v>
      </c>
      <c r="H3056">
        <v>1</v>
      </c>
      <c r="I3056" t="s">
        <v>90</v>
      </c>
      <c r="J3056">
        <v>0</v>
      </c>
      <c r="K3056">
        <v>2</v>
      </c>
      <c r="L3056">
        <v>5</v>
      </c>
      <c r="M3056">
        <v>32</v>
      </c>
      <c r="N3056">
        <v>133</v>
      </c>
      <c r="O3056">
        <v>2</v>
      </c>
      <c r="P3056">
        <v>133</v>
      </c>
      <c r="Q3056">
        <v>0</v>
      </c>
      <c r="R3056">
        <v>47</v>
      </c>
      <c r="S3056">
        <v>0</v>
      </c>
      <c r="T3056">
        <v>0</v>
      </c>
      <c r="U3056">
        <v>0</v>
      </c>
      <c r="V3056">
        <v>0</v>
      </c>
      <c r="W3056">
        <v>1</v>
      </c>
      <c r="X3056">
        <v>31</v>
      </c>
      <c r="Y3056">
        <v>54</v>
      </c>
      <c r="Z3056">
        <v>0</v>
      </c>
      <c r="AC3056">
        <v>0</v>
      </c>
      <c r="AD3056">
        <v>0</v>
      </c>
      <c r="AE3056">
        <v>0</v>
      </c>
      <c r="AF3056">
        <v>0</v>
      </c>
      <c r="AK3056">
        <v>0</v>
      </c>
      <c r="AL3056">
        <v>0</v>
      </c>
      <c r="AM3056">
        <v>0</v>
      </c>
      <c r="AN3056">
        <v>0</v>
      </c>
      <c r="AT3056">
        <v>0</v>
      </c>
      <c r="BC3056">
        <v>0</v>
      </c>
      <c r="BD3056">
        <v>0</v>
      </c>
      <c r="BE3056">
        <v>133</v>
      </c>
      <c r="BF3056">
        <v>133</v>
      </c>
      <c r="BG3056">
        <v>143</v>
      </c>
      <c r="BJ3056">
        <v>1</v>
      </c>
      <c r="BL3056" t="s">
        <v>6343</v>
      </c>
      <c r="BM3056" s="4">
        <v>43283.477777777778</v>
      </c>
      <c r="BN3056" s="4">
        <v>43283.485497685186</v>
      </c>
      <c r="BO3056" s="4">
        <v>43283.485497685186</v>
      </c>
      <c r="BP3056" t="s">
        <v>92</v>
      </c>
      <c r="BQ3056" t="s">
        <v>93</v>
      </c>
      <c r="BR3056" t="s">
        <v>94</v>
      </c>
    </row>
    <row r="3057" spans="1:70" x14ac:dyDescent="0.3">
      <c r="A3057" t="str">
        <f>"202198B0100"</f>
        <v>202198B0100</v>
      </c>
      <c r="B3057" t="s">
        <v>6344</v>
      </c>
      <c r="C3057">
        <v>20</v>
      </c>
      <c r="D3057" t="s">
        <v>88</v>
      </c>
      <c r="E3057">
        <v>513</v>
      </c>
      <c r="F3057" t="s">
        <v>6318</v>
      </c>
      <c r="G3057">
        <v>2198</v>
      </c>
      <c r="H3057">
        <v>1</v>
      </c>
      <c r="I3057" t="s">
        <v>90</v>
      </c>
      <c r="J3057">
        <v>0</v>
      </c>
      <c r="K3057">
        <v>2</v>
      </c>
      <c r="L3057">
        <v>5</v>
      </c>
      <c r="M3057">
        <v>45</v>
      </c>
      <c r="N3057">
        <v>201</v>
      </c>
      <c r="O3057">
        <v>0</v>
      </c>
      <c r="P3057">
        <v>201</v>
      </c>
      <c r="Q3057">
        <v>0</v>
      </c>
      <c r="R3057">
        <v>72</v>
      </c>
      <c r="S3057">
        <v>0</v>
      </c>
      <c r="T3057">
        <v>0</v>
      </c>
      <c r="U3057">
        <v>0</v>
      </c>
      <c r="V3057">
        <v>0</v>
      </c>
      <c r="W3057">
        <v>1</v>
      </c>
      <c r="X3057">
        <v>56</v>
      </c>
      <c r="Y3057">
        <v>71</v>
      </c>
      <c r="Z3057">
        <v>0</v>
      </c>
      <c r="AC3057">
        <v>0</v>
      </c>
      <c r="AD3057">
        <v>0</v>
      </c>
      <c r="AE3057">
        <v>0</v>
      </c>
      <c r="AF3057">
        <v>0</v>
      </c>
      <c r="AK3057">
        <v>0</v>
      </c>
      <c r="AL3057">
        <v>0</v>
      </c>
      <c r="AM3057">
        <v>0</v>
      </c>
      <c r="AN3057">
        <v>0</v>
      </c>
      <c r="AT3057">
        <v>0</v>
      </c>
      <c r="BC3057">
        <v>0</v>
      </c>
      <c r="BD3057">
        <v>0</v>
      </c>
      <c r="BE3057">
        <v>201</v>
      </c>
      <c r="BF3057">
        <v>200</v>
      </c>
      <c r="BG3057">
        <v>224</v>
      </c>
      <c r="BJ3057">
        <v>1</v>
      </c>
      <c r="BL3057" t="s">
        <v>6345</v>
      </c>
      <c r="BM3057" s="4">
        <v>43283.478472222225</v>
      </c>
      <c r="BN3057" s="4">
        <v>43283.486030092594</v>
      </c>
      <c r="BO3057" s="4">
        <v>43283.486030092594</v>
      </c>
      <c r="BP3057" t="s">
        <v>92</v>
      </c>
      <c r="BQ3057" t="s">
        <v>93</v>
      </c>
      <c r="BR3057" t="s">
        <v>94</v>
      </c>
    </row>
    <row r="3058" spans="1:70" x14ac:dyDescent="0.3">
      <c r="A3058" t="str">
        <f>"202054B0100"</f>
        <v>202054B0100</v>
      </c>
      <c r="B3058" t="s">
        <v>6346</v>
      </c>
      <c r="C3058">
        <v>20</v>
      </c>
      <c r="D3058" t="s">
        <v>88</v>
      </c>
      <c r="E3058">
        <v>515</v>
      </c>
      <c r="F3058" t="s">
        <v>6347</v>
      </c>
      <c r="G3058">
        <v>2054</v>
      </c>
      <c r="H3058">
        <v>1</v>
      </c>
      <c r="I3058" t="s">
        <v>90</v>
      </c>
      <c r="J3058">
        <v>0</v>
      </c>
      <c r="K3058">
        <v>2</v>
      </c>
      <c r="L3058">
        <v>5</v>
      </c>
      <c r="M3058">
        <v>143</v>
      </c>
      <c r="N3058">
        <v>444</v>
      </c>
      <c r="O3058">
        <v>1</v>
      </c>
      <c r="P3058">
        <v>444</v>
      </c>
      <c r="Q3058">
        <v>2</v>
      </c>
      <c r="R3058">
        <v>65</v>
      </c>
      <c r="S3058">
        <v>124</v>
      </c>
      <c r="T3058">
        <v>1</v>
      </c>
      <c r="U3058">
        <v>36</v>
      </c>
      <c r="V3058">
        <v>2</v>
      </c>
      <c r="X3058">
        <v>2</v>
      </c>
      <c r="Y3058">
        <v>178</v>
      </c>
      <c r="Z3058">
        <v>1</v>
      </c>
      <c r="AA3058">
        <v>0</v>
      </c>
      <c r="AB3058">
        <v>2</v>
      </c>
      <c r="AC3058">
        <v>0</v>
      </c>
      <c r="AD3058">
        <v>0</v>
      </c>
      <c r="AE3058">
        <v>0</v>
      </c>
      <c r="AF3058">
        <v>1</v>
      </c>
      <c r="AK3058">
        <v>0</v>
      </c>
      <c r="AL3058">
        <v>0</v>
      </c>
      <c r="AM3058">
        <v>0</v>
      </c>
      <c r="AN3058">
        <v>1</v>
      </c>
      <c r="AU3058">
        <v>0</v>
      </c>
      <c r="AZ3058">
        <v>6</v>
      </c>
      <c r="BC3058">
        <v>0</v>
      </c>
      <c r="BD3058">
        <v>23</v>
      </c>
      <c r="BE3058">
        <v>444</v>
      </c>
      <c r="BF3058">
        <v>444</v>
      </c>
      <c r="BG3058">
        <v>564</v>
      </c>
      <c r="BJ3058">
        <v>1</v>
      </c>
      <c r="BL3058" t="s">
        <v>6348</v>
      </c>
      <c r="BM3058" s="4">
        <v>43283.45208333333</v>
      </c>
      <c r="BN3058" s="4">
        <v>43283.460590277777</v>
      </c>
      <c r="BO3058" s="4">
        <v>43283.460590277777</v>
      </c>
      <c r="BP3058" t="s">
        <v>92</v>
      </c>
      <c r="BQ3058" t="s">
        <v>93</v>
      </c>
      <c r="BR3058" t="s">
        <v>94</v>
      </c>
    </row>
    <row r="3059" spans="1:70" x14ac:dyDescent="0.3">
      <c r="A3059" t="str">
        <f>"202200B0100"</f>
        <v>202200B0100</v>
      </c>
      <c r="B3059" t="s">
        <v>6349</v>
      </c>
      <c r="C3059">
        <v>20</v>
      </c>
      <c r="D3059" t="s">
        <v>88</v>
      </c>
      <c r="E3059">
        <v>515</v>
      </c>
      <c r="F3059" t="s">
        <v>6347</v>
      </c>
      <c r="G3059">
        <v>2200</v>
      </c>
      <c r="H3059">
        <v>1</v>
      </c>
      <c r="I3059" t="s">
        <v>90</v>
      </c>
      <c r="J3059">
        <v>0</v>
      </c>
      <c r="K3059">
        <v>2</v>
      </c>
      <c r="L3059">
        <v>5</v>
      </c>
      <c r="M3059">
        <v>200</v>
      </c>
      <c r="N3059">
        <v>392</v>
      </c>
      <c r="O3059">
        <v>13</v>
      </c>
      <c r="P3059">
        <v>398</v>
      </c>
      <c r="Q3059">
        <v>11</v>
      </c>
      <c r="R3059">
        <v>55</v>
      </c>
      <c r="S3059">
        <v>114</v>
      </c>
      <c r="T3059">
        <v>21</v>
      </c>
      <c r="U3059">
        <v>10</v>
      </c>
      <c r="V3059">
        <v>3</v>
      </c>
      <c r="X3059">
        <v>3</v>
      </c>
      <c r="Y3059">
        <v>145</v>
      </c>
      <c r="Z3059">
        <v>2</v>
      </c>
      <c r="AA3059">
        <v>1</v>
      </c>
      <c r="AB3059">
        <v>5</v>
      </c>
      <c r="AC3059">
        <v>3</v>
      </c>
      <c r="AD3059">
        <v>0</v>
      </c>
      <c r="AE3059">
        <v>0</v>
      </c>
      <c r="AF3059">
        <v>0</v>
      </c>
      <c r="AK3059">
        <v>2</v>
      </c>
      <c r="AL3059">
        <v>2</v>
      </c>
      <c r="AM3059">
        <v>0</v>
      </c>
      <c r="AN3059">
        <v>1</v>
      </c>
      <c r="AU3059">
        <v>1</v>
      </c>
      <c r="AZ3059">
        <v>3</v>
      </c>
      <c r="BC3059" t="s">
        <v>105</v>
      </c>
      <c r="BD3059">
        <v>16</v>
      </c>
      <c r="BE3059">
        <v>398</v>
      </c>
      <c r="BF3059">
        <v>398</v>
      </c>
      <c r="BG3059">
        <v>575</v>
      </c>
      <c r="BI3059" t="s">
        <v>106</v>
      </c>
      <c r="BJ3059">
        <v>1</v>
      </c>
      <c r="BL3059" t="s">
        <v>6350</v>
      </c>
      <c r="BM3059" s="4">
        <v>43283.286111111112</v>
      </c>
      <c r="BN3059" s="4">
        <v>43283.319976851853</v>
      </c>
      <c r="BO3059" s="4">
        <v>43283.319976851853</v>
      </c>
      <c r="BP3059" t="s">
        <v>92</v>
      </c>
      <c r="BQ3059" t="s">
        <v>93</v>
      </c>
      <c r="BR3059" t="s">
        <v>94</v>
      </c>
    </row>
    <row r="3060" spans="1:70" x14ac:dyDescent="0.3">
      <c r="A3060" t="str">
        <f>"202200C0100"</f>
        <v>202200C0100</v>
      </c>
      <c r="B3060" t="s">
        <v>6351</v>
      </c>
      <c r="C3060">
        <v>20</v>
      </c>
      <c r="D3060" t="s">
        <v>88</v>
      </c>
      <c r="E3060">
        <v>515</v>
      </c>
      <c r="F3060" t="s">
        <v>6347</v>
      </c>
      <c r="G3060">
        <v>2200</v>
      </c>
      <c r="H3060">
        <v>1</v>
      </c>
      <c r="I3060" t="s">
        <v>98</v>
      </c>
      <c r="J3060">
        <v>0</v>
      </c>
      <c r="K3060">
        <v>2</v>
      </c>
      <c r="L3060">
        <v>5</v>
      </c>
      <c r="BG3060">
        <v>575</v>
      </c>
      <c r="BI3060" t="s">
        <v>122</v>
      </c>
      <c r="BJ3060">
        <v>0</v>
      </c>
      <c r="BL3060" t="s">
        <v>6352</v>
      </c>
      <c r="BM3060" s="4">
        <v>43283.636805555558</v>
      </c>
      <c r="BN3060" s="4">
        <v>43283.642511574071</v>
      </c>
      <c r="BO3060" s="4">
        <v>43283.642511574071</v>
      </c>
      <c r="BP3060" t="s">
        <v>92</v>
      </c>
      <c r="BQ3060" t="s">
        <v>93</v>
      </c>
      <c r="BR3060" t="s">
        <v>94</v>
      </c>
    </row>
    <row r="3061" spans="1:70" x14ac:dyDescent="0.3">
      <c r="A3061" t="str">
        <f>"202200C0200"</f>
        <v>202200C0200</v>
      </c>
      <c r="B3061" t="s">
        <v>6353</v>
      </c>
      <c r="C3061">
        <v>20</v>
      </c>
      <c r="D3061" t="s">
        <v>88</v>
      </c>
      <c r="E3061">
        <v>515</v>
      </c>
      <c r="F3061" t="s">
        <v>6347</v>
      </c>
      <c r="G3061">
        <v>2200</v>
      </c>
      <c r="H3061">
        <v>2</v>
      </c>
      <c r="I3061" t="s">
        <v>98</v>
      </c>
      <c r="J3061">
        <v>0</v>
      </c>
      <c r="K3061">
        <v>2</v>
      </c>
      <c r="L3061">
        <v>5</v>
      </c>
      <c r="M3061">
        <v>194</v>
      </c>
      <c r="N3061">
        <v>403</v>
      </c>
      <c r="O3061">
        <v>7</v>
      </c>
      <c r="P3061" t="s">
        <v>105</v>
      </c>
      <c r="Q3061">
        <v>11</v>
      </c>
      <c r="R3061">
        <v>49</v>
      </c>
      <c r="S3061">
        <v>113</v>
      </c>
      <c r="T3061">
        <v>23</v>
      </c>
      <c r="U3061">
        <v>12</v>
      </c>
      <c r="V3061">
        <v>4</v>
      </c>
      <c r="X3061">
        <v>3</v>
      </c>
      <c r="Y3061">
        <v>149</v>
      </c>
      <c r="Z3061">
        <v>2</v>
      </c>
      <c r="AA3061">
        <v>2</v>
      </c>
      <c r="AB3061">
        <v>2</v>
      </c>
      <c r="AC3061">
        <v>0</v>
      </c>
      <c r="AD3061">
        <v>0</v>
      </c>
      <c r="AE3061">
        <v>0</v>
      </c>
      <c r="AF3061">
        <v>0</v>
      </c>
      <c r="AK3061">
        <v>1</v>
      </c>
      <c r="AL3061">
        <v>2</v>
      </c>
      <c r="AM3061">
        <v>0</v>
      </c>
      <c r="AN3061">
        <v>1</v>
      </c>
      <c r="AU3061">
        <v>1</v>
      </c>
      <c r="AZ3061">
        <v>9</v>
      </c>
      <c r="BC3061" t="s">
        <v>105</v>
      </c>
      <c r="BD3061">
        <v>16</v>
      </c>
      <c r="BE3061">
        <v>400</v>
      </c>
      <c r="BF3061">
        <v>400</v>
      </c>
      <c r="BG3061">
        <v>575</v>
      </c>
      <c r="BI3061" t="s">
        <v>106</v>
      </c>
      <c r="BJ3061">
        <v>1</v>
      </c>
      <c r="BL3061" t="s">
        <v>6354</v>
      </c>
      <c r="BM3061" s="4">
        <v>43283.286111111112</v>
      </c>
      <c r="BN3061" s="4">
        <v>43283.343449074076</v>
      </c>
      <c r="BO3061" s="4">
        <v>43283.343449074076</v>
      </c>
      <c r="BP3061" t="s">
        <v>92</v>
      </c>
      <c r="BQ3061" t="s">
        <v>93</v>
      </c>
      <c r="BR3061" t="s">
        <v>94</v>
      </c>
    </row>
    <row r="3062" spans="1:70" x14ac:dyDescent="0.3">
      <c r="A3062" t="str">
        <f>"202200E0100"</f>
        <v>202200E0100</v>
      </c>
      <c r="B3062" s="2" t="s">
        <v>6355</v>
      </c>
      <c r="C3062">
        <v>20</v>
      </c>
      <c r="D3062" t="s">
        <v>88</v>
      </c>
      <c r="E3062">
        <v>515</v>
      </c>
      <c r="F3062" t="s">
        <v>6347</v>
      </c>
      <c r="G3062">
        <v>2200</v>
      </c>
      <c r="H3062">
        <v>1</v>
      </c>
      <c r="I3062" t="s">
        <v>156</v>
      </c>
      <c r="J3062">
        <v>0</v>
      </c>
      <c r="K3062">
        <v>2</v>
      </c>
      <c r="L3062">
        <v>5</v>
      </c>
      <c r="BG3062">
        <v>406</v>
      </c>
      <c r="BI3062" t="s">
        <v>122</v>
      </c>
      <c r="BJ3062">
        <v>0</v>
      </c>
      <c r="BL3062" t="s">
        <v>6356</v>
      </c>
      <c r="BM3062" s="4">
        <v>43283.636805555558</v>
      </c>
      <c r="BN3062" s="4">
        <v>43283.643263888887</v>
      </c>
      <c r="BO3062" s="4">
        <v>43283.643263888887</v>
      </c>
      <c r="BP3062" t="s">
        <v>92</v>
      </c>
      <c r="BQ3062" t="s">
        <v>93</v>
      </c>
      <c r="BR3062" t="s">
        <v>94</v>
      </c>
    </row>
    <row r="3063" spans="1:70" x14ac:dyDescent="0.3">
      <c r="A3063" t="str">
        <f>"202200E0101"</f>
        <v>202200E0101</v>
      </c>
      <c r="B3063" s="2" t="s">
        <v>6357</v>
      </c>
      <c r="C3063">
        <v>20</v>
      </c>
      <c r="D3063" t="s">
        <v>88</v>
      </c>
      <c r="E3063">
        <v>515</v>
      </c>
      <c r="F3063" t="s">
        <v>6347</v>
      </c>
      <c r="G3063">
        <v>2200</v>
      </c>
      <c r="H3063">
        <v>1</v>
      </c>
      <c r="I3063" t="s">
        <v>156</v>
      </c>
      <c r="J3063">
        <v>1</v>
      </c>
      <c r="K3063">
        <v>2</v>
      </c>
      <c r="L3063">
        <v>5</v>
      </c>
      <c r="BG3063">
        <v>405</v>
      </c>
      <c r="BI3063" t="s">
        <v>122</v>
      </c>
      <c r="BJ3063">
        <v>0</v>
      </c>
      <c r="BL3063" t="s">
        <v>6358</v>
      </c>
      <c r="BM3063" s="4">
        <v>43283.686111111114</v>
      </c>
      <c r="BN3063" s="4">
        <v>43283.695196759261</v>
      </c>
      <c r="BO3063" s="4">
        <v>43283.695196759261</v>
      </c>
      <c r="BP3063" t="s">
        <v>92</v>
      </c>
      <c r="BQ3063" t="s">
        <v>93</v>
      </c>
      <c r="BR3063" t="s">
        <v>94</v>
      </c>
    </row>
    <row r="3064" spans="1:70" x14ac:dyDescent="0.3">
      <c r="A3064" t="str">
        <f>"202201B0100"</f>
        <v>202201B0100</v>
      </c>
      <c r="B3064" t="s">
        <v>6359</v>
      </c>
      <c r="C3064">
        <v>20</v>
      </c>
      <c r="D3064" t="s">
        <v>88</v>
      </c>
      <c r="E3064">
        <v>515</v>
      </c>
      <c r="F3064" t="s">
        <v>6347</v>
      </c>
      <c r="G3064">
        <v>2201</v>
      </c>
      <c r="H3064">
        <v>1</v>
      </c>
      <c r="I3064" t="s">
        <v>90</v>
      </c>
      <c r="J3064">
        <v>0</v>
      </c>
      <c r="K3064">
        <v>2</v>
      </c>
      <c r="L3064">
        <v>5</v>
      </c>
      <c r="M3064">
        <v>187</v>
      </c>
      <c r="N3064">
        <v>398</v>
      </c>
      <c r="O3064">
        <v>4</v>
      </c>
      <c r="P3064">
        <v>398</v>
      </c>
      <c r="Q3064">
        <v>5</v>
      </c>
      <c r="R3064">
        <v>78</v>
      </c>
      <c r="S3064">
        <v>123</v>
      </c>
      <c r="T3064">
        <v>17</v>
      </c>
      <c r="U3064">
        <v>10</v>
      </c>
      <c r="V3064">
        <v>2</v>
      </c>
      <c r="X3064">
        <v>4</v>
      </c>
      <c r="Y3064">
        <v>125</v>
      </c>
      <c r="Z3064">
        <v>2</v>
      </c>
      <c r="AA3064">
        <v>0</v>
      </c>
      <c r="AB3064">
        <v>1</v>
      </c>
      <c r="AC3064">
        <v>1</v>
      </c>
      <c r="AD3064">
        <v>1</v>
      </c>
      <c r="AE3064">
        <v>0</v>
      </c>
      <c r="AF3064">
        <v>1</v>
      </c>
      <c r="AK3064">
        <v>1</v>
      </c>
      <c r="AL3064">
        <v>1</v>
      </c>
      <c r="AM3064">
        <v>0</v>
      </c>
      <c r="AN3064">
        <v>1</v>
      </c>
      <c r="AU3064">
        <v>0</v>
      </c>
      <c r="AZ3064">
        <v>13</v>
      </c>
      <c r="BC3064">
        <v>0</v>
      </c>
      <c r="BD3064">
        <v>12</v>
      </c>
      <c r="BE3064">
        <v>398</v>
      </c>
      <c r="BF3064">
        <v>398</v>
      </c>
      <c r="BG3064">
        <v>562</v>
      </c>
      <c r="BJ3064">
        <v>1</v>
      </c>
      <c r="BL3064" t="s">
        <v>6360</v>
      </c>
      <c r="BM3064" s="4">
        <v>43283.267361111109</v>
      </c>
      <c r="BN3064" s="4">
        <v>43283.318784722222</v>
      </c>
      <c r="BO3064" s="4">
        <v>43283.318784722222</v>
      </c>
      <c r="BP3064" t="s">
        <v>92</v>
      </c>
      <c r="BQ3064" t="s">
        <v>93</v>
      </c>
      <c r="BR3064" t="s">
        <v>94</v>
      </c>
    </row>
    <row r="3065" spans="1:70" x14ac:dyDescent="0.3">
      <c r="A3065" t="str">
        <f>"202201C0100"</f>
        <v>202201C0100</v>
      </c>
      <c r="B3065" t="s">
        <v>6361</v>
      </c>
      <c r="C3065">
        <v>20</v>
      </c>
      <c r="D3065" t="s">
        <v>88</v>
      </c>
      <c r="E3065">
        <v>515</v>
      </c>
      <c r="F3065" t="s">
        <v>6347</v>
      </c>
      <c r="G3065">
        <v>2201</v>
      </c>
      <c r="H3065">
        <v>1</v>
      </c>
      <c r="I3065" t="s">
        <v>98</v>
      </c>
      <c r="J3065">
        <v>0</v>
      </c>
      <c r="K3065">
        <v>2</v>
      </c>
      <c r="L3065">
        <v>5</v>
      </c>
      <c r="BG3065">
        <v>562</v>
      </c>
      <c r="BI3065" t="s">
        <v>122</v>
      </c>
      <c r="BJ3065">
        <v>0</v>
      </c>
      <c r="BL3065" t="s">
        <v>6362</v>
      </c>
      <c r="BM3065" s="4">
        <v>43283.686111111114</v>
      </c>
      <c r="BN3065" s="4">
        <v>43283.693576388891</v>
      </c>
      <c r="BO3065" s="4">
        <v>43283.693576388891</v>
      </c>
      <c r="BP3065" t="s">
        <v>92</v>
      </c>
      <c r="BQ3065" t="s">
        <v>93</v>
      </c>
      <c r="BR3065" t="s">
        <v>94</v>
      </c>
    </row>
    <row r="3066" spans="1:70" x14ac:dyDescent="0.3">
      <c r="A3066" t="str">
        <f>"202201C0200"</f>
        <v>202201C0200</v>
      </c>
      <c r="B3066" t="s">
        <v>6363</v>
      </c>
      <c r="C3066">
        <v>20</v>
      </c>
      <c r="D3066" t="s">
        <v>88</v>
      </c>
      <c r="E3066">
        <v>515</v>
      </c>
      <c r="F3066" t="s">
        <v>6347</v>
      </c>
      <c r="G3066">
        <v>2201</v>
      </c>
      <c r="H3066">
        <v>2</v>
      </c>
      <c r="I3066" t="s">
        <v>98</v>
      </c>
      <c r="J3066">
        <v>0</v>
      </c>
      <c r="K3066">
        <v>2</v>
      </c>
      <c r="L3066">
        <v>5</v>
      </c>
      <c r="BG3066">
        <v>562</v>
      </c>
      <c r="BI3066" t="s">
        <v>122</v>
      </c>
      <c r="BJ3066">
        <v>0</v>
      </c>
      <c r="BL3066" t="s">
        <v>6364</v>
      </c>
      <c r="BM3066" s="4">
        <v>43283.710416666669</v>
      </c>
      <c r="BN3066" s="4">
        <v>43283.711863425924</v>
      </c>
      <c r="BO3066" s="4">
        <v>43283.711863425924</v>
      </c>
      <c r="BP3066" t="s">
        <v>92</v>
      </c>
      <c r="BQ3066" t="s">
        <v>93</v>
      </c>
      <c r="BR3066" t="s">
        <v>94</v>
      </c>
    </row>
    <row r="3067" spans="1:70" x14ac:dyDescent="0.3">
      <c r="A3067" t="str">
        <f>"202202B0100"</f>
        <v>202202B0100</v>
      </c>
      <c r="B3067" t="s">
        <v>6365</v>
      </c>
      <c r="C3067">
        <v>20</v>
      </c>
      <c r="D3067" t="s">
        <v>88</v>
      </c>
      <c r="E3067">
        <v>515</v>
      </c>
      <c r="F3067" t="s">
        <v>6347</v>
      </c>
      <c r="G3067">
        <v>2202</v>
      </c>
      <c r="H3067">
        <v>1</v>
      </c>
      <c r="I3067" t="s">
        <v>90</v>
      </c>
      <c r="J3067">
        <v>0</v>
      </c>
      <c r="K3067">
        <v>1</v>
      </c>
      <c r="L3067">
        <v>5</v>
      </c>
      <c r="BG3067">
        <v>673</v>
      </c>
      <c r="BI3067" t="s">
        <v>122</v>
      </c>
      <c r="BJ3067">
        <v>0</v>
      </c>
      <c r="BL3067" t="s">
        <v>6366</v>
      </c>
      <c r="BM3067" s="4">
        <v>43283.686111111114</v>
      </c>
      <c r="BN3067" s="4">
        <v>43283.695925925924</v>
      </c>
      <c r="BO3067" s="4">
        <v>43283.695925925924</v>
      </c>
      <c r="BP3067" t="s">
        <v>92</v>
      </c>
      <c r="BQ3067" t="s">
        <v>93</v>
      </c>
      <c r="BR3067" t="s">
        <v>94</v>
      </c>
    </row>
    <row r="3068" spans="1:70" x14ac:dyDescent="0.3">
      <c r="A3068" t="str">
        <f>"202202C0100"</f>
        <v>202202C0100</v>
      </c>
      <c r="B3068" t="s">
        <v>6367</v>
      </c>
      <c r="C3068">
        <v>20</v>
      </c>
      <c r="D3068" t="s">
        <v>88</v>
      </c>
      <c r="E3068">
        <v>515</v>
      </c>
      <c r="F3068" t="s">
        <v>6347</v>
      </c>
      <c r="G3068">
        <v>2202</v>
      </c>
      <c r="H3068">
        <v>1</v>
      </c>
      <c r="I3068" t="s">
        <v>98</v>
      </c>
      <c r="J3068">
        <v>0</v>
      </c>
      <c r="K3068">
        <v>1</v>
      </c>
      <c r="L3068">
        <v>5</v>
      </c>
      <c r="BG3068">
        <v>672</v>
      </c>
      <c r="BI3068" t="s">
        <v>122</v>
      </c>
      <c r="BJ3068">
        <v>0</v>
      </c>
      <c r="BL3068" t="s">
        <v>6368</v>
      </c>
      <c r="BM3068" s="4">
        <v>43283.686805555553</v>
      </c>
      <c r="BN3068" s="4">
        <v>43283.695613425924</v>
      </c>
      <c r="BO3068" s="4">
        <v>43283.695613425924</v>
      </c>
      <c r="BP3068" t="s">
        <v>92</v>
      </c>
      <c r="BQ3068" t="s">
        <v>93</v>
      </c>
      <c r="BR3068" t="s">
        <v>94</v>
      </c>
    </row>
    <row r="3069" spans="1:70" x14ac:dyDescent="0.3">
      <c r="A3069" t="str">
        <f>"202203B0100"</f>
        <v>202203B0100</v>
      </c>
      <c r="B3069" t="s">
        <v>6369</v>
      </c>
      <c r="C3069">
        <v>20</v>
      </c>
      <c r="D3069" t="s">
        <v>88</v>
      </c>
      <c r="E3069">
        <v>515</v>
      </c>
      <c r="F3069" t="s">
        <v>6347</v>
      </c>
      <c r="G3069">
        <v>2203</v>
      </c>
      <c r="H3069">
        <v>1</v>
      </c>
      <c r="I3069" t="s">
        <v>90</v>
      </c>
      <c r="J3069">
        <v>0</v>
      </c>
      <c r="K3069">
        <v>1</v>
      </c>
      <c r="L3069">
        <v>5</v>
      </c>
      <c r="M3069">
        <v>143</v>
      </c>
      <c r="N3069">
        <v>324</v>
      </c>
      <c r="O3069">
        <v>5</v>
      </c>
      <c r="P3069">
        <v>334</v>
      </c>
      <c r="Q3069">
        <v>11</v>
      </c>
      <c r="R3069">
        <v>77</v>
      </c>
      <c r="S3069">
        <v>105</v>
      </c>
      <c r="T3069">
        <v>8</v>
      </c>
      <c r="U3069">
        <v>2</v>
      </c>
      <c r="V3069">
        <v>12</v>
      </c>
      <c r="X3069">
        <v>1</v>
      </c>
      <c r="Y3069">
        <v>87</v>
      </c>
      <c r="Z3069">
        <v>0</v>
      </c>
      <c r="AA3069">
        <v>1</v>
      </c>
      <c r="AB3069">
        <v>4</v>
      </c>
      <c r="AC3069">
        <v>4</v>
      </c>
      <c r="AD3069">
        <v>0</v>
      </c>
      <c r="AE3069">
        <v>0</v>
      </c>
      <c r="AF3069">
        <v>2</v>
      </c>
      <c r="AK3069">
        <v>5</v>
      </c>
      <c r="AL3069">
        <v>0</v>
      </c>
      <c r="AM3069">
        <v>0</v>
      </c>
      <c r="AN3069">
        <v>1</v>
      </c>
      <c r="AU3069">
        <v>2</v>
      </c>
      <c r="AZ3069">
        <v>5</v>
      </c>
      <c r="BC3069">
        <v>0</v>
      </c>
      <c r="BD3069">
        <v>7</v>
      </c>
      <c r="BE3069">
        <v>312</v>
      </c>
      <c r="BF3069">
        <v>334</v>
      </c>
      <c r="BG3069">
        <v>456</v>
      </c>
      <c r="BJ3069">
        <v>1</v>
      </c>
      <c r="BL3069" t="s">
        <v>6370</v>
      </c>
      <c r="BM3069" s="4">
        <v>43283.287499999999</v>
      </c>
      <c r="BN3069" s="4">
        <v>43283.320196759261</v>
      </c>
      <c r="BO3069" s="4">
        <v>43283.320196759261</v>
      </c>
      <c r="BP3069" t="s">
        <v>92</v>
      </c>
      <c r="BQ3069" t="s">
        <v>93</v>
      </c>
      <c r="BR3069" t="s">
        <v>94</v>
      </c>
    </row>
    <row r="3070" spans="1:70" x14ac:dyDescent="0.3">
      <c r="A3070" t="str">
        <f>"202203C0100"</f>
        <v>202203C0100</v>
      </c>
      <c r="B3070" t="s">
        <v>6371</v>
      </c>
      <c r="C3070">
        <v>20</v>
      </c>
      <c r="D3070" t="s">
        <v>88</v>
      </c>
      <c r="E3070">
        <v>515</v>
      </c>
      <c r="F3070" t="s">
        <v>6347</v>
      </c>
      <c r="G3070">
        <v>2203</v>
      </c>
      <c r="H3070">
        <v>1</v>
      </c>
      <c r="I3070" t="s">
        <v>98</v>
      </c>
      <c r="J3070">
        <v>0</v>
      </c>
      <c r="K3070">
        <v>1</v>
      </c>
      <c r="L3070">
        <v>5</v>
      </c>
      <c r="BG3070">
        <v>455</v>
      </c>
      <c r="BI3070" t="s">
        <v>122</v>
      </c>
      <c r="BJ3070">
        <v>0</v>
      </c>
      <c r="BL3070" t="s">
        <v>6372</v>
      </c>
      <c r="BM3070" s="4">
        <v>43283.686805555553</v>
      </c>
      <c r="BN3070" s="4">
        <v>43283.696064814816</v>
      </c>
      <c r="BO3070" s="4">
        <v>43283.696064814816</v>
      </c>
      <c r="BP3070" t="s">
        <v>92</v>
      </c>
      <c r="BQ3070" t="s">
        <v>93</v>
      </c>
      <c r="BR3070" t="s">
        <v>94</v>
      </c>
    </row>
    <row r="3071" spans="1:70" x14ac:dyDescent="0.3">
      <c r="A3071" t="str">
        <f>"202204B0100"</f>
        <v>202204B0100</v>
      </c>
      <c r="B3071" t="s">
        <v>6373</v>
      </c>
      <c r="C3071">
        <v>20</v>
      </c>
      <c r="D3071" t="s">
        <v>88</v>
      </c>
      <c r="E3071">
        <v>515</v>
      </c>
      <c r="F3071" t="s">
        <v>6347</v>
      </c>
      <c r="G3071">
        <v>2204</v>
      </c>
      <c r="H3071">
        <v>1</v>
      </c>
      <c r="I3071" t="s">
        <v>90</v>
      </c>
      <c r="J3071">
        <v>0</v>
      </c>
      <c r="K3071">
        <v>2</v>
      </c>
      <c r="L3071">
        <v>5</v>
      </c>
      <c r="M3071">
        <v>149</v>
      </c>
      <c r="N3071">
        <v>379</v>
      </c>
      <c r="O3071">
        <v>7</v>
      </c>
      <c r="P3071">
        <v>0</v>
      </c>
      <c r="Q3071">
        <v>10</v>
      </c>
      <c r="R3071">
        <v>65</v>
      </c>
      <c r="S3071">
        <v>129</v>
      </c>
      <c r="T3071">
        <v>12</v>
      </c>
      <c r="U3071">
        <v>8</v>
      </c>
      <c r="V3071">
        <v>4</v>
      </c>
      <c r="X3071" t="s">
        <v>105</v>
      </c>
      <c r="Y3071">
        <v>132</v>
      </c>
      <c r="Z3071" t="s">
        <v>105</v>
      </c>
      <c r="AA3071" t="s">
        <v>105</v>
      </c>
      <c r="AB3071">
        <v>1</v>
      </c>
      <c r="AC3071">
        <v>1</v>
      </c>
      <c r="AD3071" t="s">
        <v>105</v>
      </c>
      <c r="AE3071" t="s">
        <v>105</v>
      </c>
      <c r="AF3071" t="s">
        <v>105</v>
      </c>
      <c r="AK3071">
        <v>1</v>
      </c>
      <c r="AL3071">
        <v>1</v>
      </c>
      <c r="AM3071" t="s">
        <v>105</v>
      </c>
      <c r="AN3071" t="s">
        <v>105</v>
      </c>
      <c r="AU3071">
        <v>1</v>
      </c>
      <c r="AZ3071">
        <v>6</v>
      </c>
      <c r="BC3071" t="s">
        <v>105</v>
      </c>
      <c r="BD3071">
        <v>8</v>
      </c>
      <c r="BE3071">
        <v>379</v>
      </c>
      <c r="BF3071">
        <v>379</v>
      </c>
      <c r="BG3071">
        <v>507</v>
      </c>
      <c r="BI3071" t="s">
        <v>106</v>
      </c>
      <c r="BJ3071">
        <v>1</v>
      </c>
      <c r="BL3071" t="s">
        <v>6374</v>
      </c>
      <c r="BM3071" s="4">
        <v>43283.288194444445</v>
      </c>
      <c r="BN3071" s="4">
        <v>43283.321111111109</v>
      </c>
      <c r="BO3071" s="4">
        <v>43283.321111111109</v>
      </c>
      <c r="BP3071" t="s">
        <v>92</v>
      </c>
      <c r="BQ3071" t="s">
        <v>93</v>
      </c>
      <c r="BR3071" t="s">
        <v>94</v>
      </c>
    </row>
    <row r="3072" spans="1:70" x14ac:dyDescent="0.3">
      <c r="A3072" t="str">
        <f>"202204C0100"</f>
        <v>202204C0100</v>
      </c>
      <c r="B3072" t="s">
        <v>6375</v>
      </c>
      <c r="C3072">
        <v>20</v>
      </c>
      <c r="D3072" t="s">
        <v>88</v>
      </c>
      <c r="E3072">
        <v>515</v>
      </c>
      <c r="F3072" t="s">
        <v>6347</v>
      </c>
      <c r="G3072">
        <v>2204</v>
      </c>
      <c r="H3072">
        <v>1</v>
      </c>
      <c r="I3072" t="s">
        <v>98</v>
      </c>
      <c r="J3072">
        <v>0</v>
      </c>
      <c r="K3072">
        <v>2</v>
      </c>
      <c r="L3072">
        <v>5</v>
      </c>
      <c r="M3072">
        <v>162</v>
      </c>
      <c r="N3072">
        <v>367</v>
      </c>
      <c r="O3072">
        <v>6</v>
      </c>
      <c r="P3072">
        <v>369</v>
      </c>
      <c r="Q3072">
        <v>9</v>
      </c>
      <c r="R3072">
        <v>74</v>
      </c>
      <c r="S3072">
        <v>130</v>
      </c>
      <c r="T3072">
        <v>8</v>
      </c>
      <c r="U3072">
        <v>1</v>
      </c>
      <c r="V3072">
        <v>7</v>
      </c>
      <c r="X3072">
        <v>2</v>
      </c>
      <c r="Y3072">
        <v>113</v>
      </c>
      <c r="Z3072">
        <v>1</v>
      </c>
      <c r="AA3072">
        <v>0</v>
      </c>
      <c r="AB3072">
        <v>1</v>
      </c>
      <c r="AC3072">
        <v>0</v>
      </c>
      <c r="AD3072">
        <v>1</v>
      </c>
      <c r="AE3072">
        <v>0</v>
      </c>
      <c r="AF3072">
        <v>2</v>
      </c>
      <c r="AK3072">
        <v>1</v>
      </c>
      <c r="AL3072">
        <v>3</v>
      </c>
      <c r="AM3072">
        <v>0</v>
      </c>
      <c r="AN3072">
        <v>0</v>
      </c>
      <c r="AU3072">
        <v>1</v>
      </c>
      <c r="AZ3072">
        <v>8</v>
      </c>
      <c r="BC3072">
        <v>0</v>
      </c>
      <c r="BD3072">
        <v>7</v>
      </c>
      <c r="BE3072">
        <v>369</v>
      </c>
      <c r="BF3072">
        <v>369</v>
      </c>
      <c r="BG3072">
        <v>507</v>
      </c>
      <c r="BJ3072">
        <v>1</v>
      </c>
      <c r="BL3072" t="s">
        <v>6376</v>
      </c>
      <c r="BM3072" s="4">
        <v>43283.286805555559</v>
      </c>
      <c r="BN3072" s="4">
        <v>43283.315381944441</v>
      </c>
      <c r="BO3072" s="4">
        <v>43283.315381944441</v>
      </c>
      <c r="BP3072" t="s">
        <v>92</v>
      </c>
      <c r="BQ3072" t="s">
        <v>93</v>
      </c>
      <c r="BR3072" t="s">
        <v>94</v>
      </c>
    </row>
    <row r="3073" spans="1:70" x14ac:dyDescent="0.3">
      <c r="A3073" t="str">
        <f>"202205B0100"</f>
        <v>202205B0100</v>
      </c>
      <c r="B3073" t="s">
        <v>6377</v>
      </c>
      <c r="C3073">
        <v>20</v>
      </c>
      <c r="D3073" t="s">
        <v>88</v>
      </c>
      <c r="E3073">
        <v>515</v>
      </c>
      <c r="F3073" t="s">
        <v>6347</v>
      </c>
      <c r="G3073">
        <v>2205</v>
      </c>
      <c r="H3073">
        <v>1</v>
      </c>
      <c r="I3073" t="s">
        <v>90</v>
      </c>
      <c r="J3073">
        <v>0</v>
      </c>
      <c r="K3073">
        <v>1</v>
      </c>
      <c r="L3073">
        <v>5</v>
      </c>
      <c r="M3073">
        <v>142</v>
      </c>
      <c r="N3073">
        <v>547</v>
      </c>
      <c r="O3073">
        <v>0</v>
      </c>
      <c r="P3073" t="s">
        <v>105</v>
      </c>
      <c r="Q3073">
        <v>7</v>
      </c>
      <c r="R3073">
        <v>40</v>
      </c>
      <c r="S3073">
        <v>133</v>
      </c>
      <c r="T3073">
        <v>29</v>
      </c>
      <c r="U3073">
        <v>11</v>
      </c>
      <c r="V3073">
        <v>3</v>
      </c>
      <c r="X3073">
        <v>2</v>
      </c>
      <c r="Y3073">
        <v>149</v>
      </c>
      <c r="Z3073">
        <v>1</v>
      </c>
      <c r="AA3073" t="s">
        <v>105</v>
      </c>
      <c r="AB3073">
        <v>8</v>
      </c>
      <c r="AC3073" t="s">
        <v>105</v>
      </c>
      <c r="AD3073">
        <v>1</v>
      </c>
      <c r="AE3073" t="s">
        <v>105</v>
      </c>
      <c r="AF3073" t="s">
        <v>105</v>
      </c>
      <c r="AK3073">
        <v>1</v>
      </c>
      <c r="AL3073" t="s">
        <v>105</v>
      </c>
      <c r="AM3073">
        <v>2</v>
      </c>
      <c r="AN3073" t="s">
        <v>105</v>
      </c>
      <c r="AU3073" t="s">
        <v>105</v>
      </c>
      <c r="AZ3073" t="s">
        <v>105</v>
      </c>
      <c r="BC3073" t="s">
        <v>105</v>
      </c>
      <c r="BD3073">
        <v>18</v>
      </c>
      <c r="BE3073">
        <v>405</v>
      </c>
      <c r="BF3073">
        <v>405</v>
      </c>
      <c r="BG3073">
        <v>524</v>
      </c>
      <c r="BI3073" t="s">
        <v>106</v>
      </c>
      <c r="BJ3073">
        <v>1</v>
      </c>
      <c r="BL3073" t="s">
        <v>6378</v>
      </c>
      <c r="BM3073" s="4">
        <v>43283.348611111112</v>
      </c>
      <c r="BN3073" s="4">
        <v>43283.368726851855</v>
      </c>
      <c r="BO3073" s="4">
        <v>43283.368726851855</v>
      </c>
      <c r="BP3073" t="s">
        <v>92</v>
      </c>
      <c r="BQ3073" t="s">
        <v>93</v>
      </c>
      <c r="BR3073" t="s">
        <v>94</v>
      </c>
    </row>
    <row r="3074" spans="1:70" x14ac:dyDescent="0.3">
      <c r="A3074" t="str">
        <f>"202205C0100"</f>
        <v>202205C0100</v>
      </c>
      <c r="B3074" t="s">
        <v>6379</v>
      </c>
      <c r="C3074">
        <v>20</v>
      </c>
      <c r="D3074" t="s">
        <v>88</v>
      </c>
      <c r="E3074">
        <v>515</v>
      </c>
      <c r="F3074" t="s">
        <v>6347</v>
      </c>
      <c r="G3074">
        <v>2205</v>
      </c>
      <c r="H3074">
        <v>1</v>
      </c>
      <c r="I3074" t="s">
        <v>98</v>
      </c>
      <c r="J3074">
        <v>0</v>
      </c>
      <c r="K3074">
        <v>1</v>
      </c>
      <c r="L3074">
        <v>5</v>
      </c>
      <c r="M3074">
        <v>147</v>
      </c>
      <c r="N3074">
        <v>400</v>
      </c>
      <c r="O3074">
        <v>4</v>
      </c>
      <c r="P3074">
        <v>0</v>
      </c>
      <c r="Q3074">
        <v>3</v>
      </c>
      <c r="R3074">
        <v>61</v>
      </c>
      <c r="S3074">
        <v>109</v>
      </c>
      <c r="T3074">
        <v>12</v>
      </c>
      <c r="U3074">
        <v>11</v>
      </c>
      <c r="V3074">
        <v>3</v>
      </c>
      <c r="X3074">
        <v>2</v>
      </c>
      <c r="Y3074">
        <v>160</v>
      </c>
      <c r="Z3074">
        <v>2</v>
      </c>
      <c r="AA3074" t="s">
        <v>105</v>
      </c>
      <c r="AB3074">
        <v>4</v>
      </c>
      <c r="AC3074" t="s">
        <v>105</v>
      </c>
      <c r="AD3074" t="s">
        <v>105</v>
      </c>
      <c r="AE3074">
        <v>1</v>
      </c>
      <c r="AF3074" t="s">
        <v>105</v>
      </c>
      <c r="AK3074" t="s">
        <v>105</v>
      </c>
      <c r="AL3074">
        <v>2</v>
      </c>
      <c r="AM3074" t="s">
        <v>105</v>
      </c>
      <c r="AN3074">
        <v>1</v>
      </c>
      <c r="AU3074" t="s">
        <v>105</v>
      </c>
      <c r="AZ3074" t="s">
        <v>105</v>
      </c>
      <c r="BC3074" t="s">
        <v>105</v>
      </c>
      <c r="BD3074" t="s">
        <v>105</v>
      </c>
      <c r="BE3074">
        <v>400</v>
      </c>
      <c r="BF3074">
        <v>371</v>
      </c>
      <c r="BG3074">
        <v>523</v>
      </c>
      <c r="BI3074" t="s">
        <v>106</v>
      </c>
      <c r="BJ3074">
        <v>1</v>
      </c>
      <c r="BL3074" t="s">
        <v>6380</v>
      </c>
      <c r="BM3074" s="4">
        <v>43283.347916666666</v>
      </c>
      <c r="BN3074" s="4">
        <v>43283.367418981485</v>
      </c>
      <c r="BO3074" s="4">
        <v>43283.367418981485</v>
      </c>
      <c r="BP3074" t="s">
        <v>92</v>
      </c>
      <c r="BQ3074" t="s">
        <v>93</v>
      </c>
      <c r="BR3074" t="s">
        <v>94</v>
      </c>
    </row>
    <row r="3075" spans="1:70" x14ac:dyDescent="0.3">
      <c r="A3075" t="str">
        <f>"202205C0200"</f>
        <v>202205C0200</v>
      </c>
      <c r="B3075" t="s">
        <v>6381</v>
      </c>
      <c r="C3075">
        <v>20</v>
      </c>
      <c r="D3075" t="s">
        <v>88</v>
      </c>
      <c r="E3075">
        <v>515</v>
      </c>
      <c r="F3075" t="s">
        <v>6347</v>
      </c>
      <c r="G3075">
        <v>2205</v>
      </c>
      <c r="H3075">
        <v>2</v>
      </c>
      <c r="I3075" t="s">
        <v>98</v>
      </c>
      <c r="J3075">
        <v>0</v>
      </c>
      <c r="K3075">
        <v>1</v>
      </c>
      <c r="L3075">
        <v>5</v>
      </c>
      <c r="BG3075">
        <v>523</v>
      </c>
      <c r="BI3075" t="s">
        <v>122</v>
      </c>
      <c r="BJ3075">
        <v>0</v>
      </c>
      <c r="BL3075" t="s">
        <v>6382</v>
      </c>
      <c r="BM3075" s="4">
        <v>43283.686805555553</v>
      </c>
      <c r="BN3075" s="4">
        <v>43283.696273148147</v>
      </c>
      <c r="BO3075" s="4">
        <v>43283.696273148147</v>
      </c>
      <c r="BP3075" t="s">
        <v>92</v>
      </c>
      <c r="BQ3075" t="s">
        <v>93</v>
      </c>
      <c r="BR3075" t="s">
        <v>94</v>
      </c>
    </row>
    <row r="3076" spans="1:70" x14ac:dyDescent="0.3">
      <c r="A3076" t="str">
        <f>"202206B0100"</f>
        <v>202206B0100</v>
      </c>
      <c r="B3076" t="s">
        <v>6383</v>
      </c>
      <c r="C3076">
        <v>20</v>
      </c>
      <c r="D3076" t="s">
        <v>88</v>
      </c>
      <c r="E3076">
        <v>515</v>
      </c>
      <c r="F3076" t="s">
        <v>6347</v>
      </c>
      <c r="G3076">
        <v>2206</v>
      </c>
      <c r="H3076">
        <v>1</v>
      </c>
      <c r="I3076" t="s">
        <v>90</v>
      </c>
      <c r="J3076">
        <v>0</v>
      </c>
      <c r="K3076">
        <v>1</v>
      </c>
      <c r="L3076">
        <v>5</v>
      </c>
      <c r="M3076">
        <v>230</v>
      </c>
      <c r="N3076">
        <v>473</v>
      </c>
      <c r="O3076">
        <v>7</v>
      </c>
      <c r="P3076" t="s">
        <v>105</v>
      </c>
      <c r="Q3076">
        <v>14</v>
      </c>
      <c r="R3076">
        <v>94</v>
      </c>
      <c r="S3076">
        <v>129</v>
      </c>
      <c r="T3076">
        <v>24</v>
      </c>
      <c r="U3076">
        <v>6</v>
      </c>
      <c r="V3076">
        <v>7</v>
      </c>
      <c r="X3076">
        <v>1</v>
      </c>
      <c r="Y3076">
        <v>160</v>
      </c>
      <c r="Z3076">
        <v>1</v>
      </c>
      <c r="AA3076">
        <v>0</v>
      </c>
      <c r="AB3076">
        <v>4</v>
      </c>
      <c r="AC3076">
        <v>0</v>
      </c>
      <c r="AD3076">
        <v>0</v>
      </c>
      <c r="AE3076">
        <v>0</v>
      </c>
      <c r="AF3076">
        <v>2</v>
      </c>
      <c r="AK3076">
        <v>6</v>
      </c>
      <c r="AL3076">
        <v>1</v>
      </c>
      <c r="AM3076">
        <v>0</v>
      </c>
      <c r="AN3076">
        <v>1</v>
      </c>
      <c r="AU3076">
        <v>1</v>
      </c>
      <c r="AZ3076">
        <v>16</v>
      </c>
      <c r="BC3076" t="s">
        <v>105</v>
      </c>
      <c r="BD3076">
        <v>6</v>
      </c>
      <c r="BE3076">
        <v>473</v>
      </c>
      <c r="BF3076">
        <v>473</v>
      </c>
      <c r="BG3076">
        <v>680</v>
      </c>
      <c r="BI3076" t="s">
        <v>106</v>
      </c>
      <c r="BJ3076">
        <v>1</v>
      </c>
      <c r="BL3076" t="s">
        <v>6384</v>
      </c>
      <c r="BM3076" s="4">
        <v>43283.287499999999</v>
      </c>
      <c r="BN3076" s="4">
        <v>43283.322581018518</v>
      </c>
      <c r="BO3076" s="4">
        <v>43283.322581018518</v>
      </c>
      <c r="BP3076" t="s">
        <v>92</v>
      </c>
      <c r="BQ3076" t="s">
        <v>93</v>
      </c>
      <c r="BR3076" t="s">
        <v>94</v>
      </c>
    </row>
    <row r="3077" spans="1:70" x14ac:dyDescent="0.3">
      <c r="A3077" t="str">
        <f>"202206C0100"</f>
        <v>202206C0100</v>
      </c>
      <c r="B3077" t="s">
        <v>6385</v>
      </c>
      <c r="C3077">
        <v>20</v>
      </c>
      <c r="D3077" t="s">
        <v>88</v>
      </c>
      <c r="E3077">
        <v>515</v>
      </c>
      <c r="F3077" t="s">
        <v>6347</v>
      </c>
      <c r="G3077">
        <v>2206</v>
      </c>
      <c r="H3077">
        <v>1</v>
      </c>
      <c r="I3077" t="s">
        <v>98</v>
      </c>
      <c r="J3077">
        <v>0</v>
      </c>
      <c r="K3077">
        <v>1</v>
      </c>
      <c r="L3077">
        <v>5</v>
      </c>
      <c r="M3077">
        <v>229</v>
      </c>
      <c r="N3077">
        <v>473</v>
      </c>
      <c r="O3077">
        <v>6</v>
      </c>
      <c r="P3077">
        <v>473</v>
      </c>
      <c r="Q3077">
        <v>12</v>
      </c>
      <c r="R3077">
        <v>86</v>
      </c>
      <c r="S3077">
        <v>141</v>
      </c>
      <c r="T3077">
        <v>19</v>
      </c>
      <c r="U3077">
        <v>7</v>
      </c>
      <c r="V3077">
        <v>5</v>
      </c>
      <c r="X3077">
        <v>3</v>
      </c>
      <c r="Y3077">
        <v>145</v>
      </c>
      <c r="Z3077">
        <v>4</v>
      </c>
      <c r="AA3077">
        <v>2</v>
      </c>
      <c r="AB3077">
        <v>2</v>
      </c>
      <c r="AC3077">
        <v>1</v>
      </c>
      <c r="AD3077">
        <v>1</v>
      </c>
      <c r="AE3077">
        <v>0</v>
      </c>
      <c r="AF3077">
        <v>1</v>
      </c>
      <c r="AK3077">
        <v>3</v>
      </c>
      <c r="AL3077">
        <v>0</v>
      </c>
      <c r="AM3077">
        <v>0</v>
      </c>
      <c r="AN3077">
        <v>0</v>
      </c>
      <c r="AU3077">
        <v>0</v>
      </c>
      <c r="AZ3077">
        <v>19</v>
      </c>
      <c r="BC3077">
        <v>0</v>
      </c>
      <c r="BD3077">
        <v>22</v>
      </c>
      <c r="BE3077">
        <v>473</v>
      </c>
      <c r="BF3077">
        <v>473</v>
      </c>
      <c r="BG3077">
        <v>679</v>
      </c>
      <c r="BJ3077">
        <v>1</v>
      </c>
      <c r="BL3077" t="s">
        <v>6386</v>
      </c>
      <c r="BM3077" s="4">
        <v>43283.286111111112</v>
      </c>
      <c r="BN3077" s="4">
        <v>43283.319374999999</v>
      </c>
      <c r="BO3077" s="4">
        <v>43283.319374999999</v>
      </c>
      <c r="BP3077" t="s">
        <v>92</v>
      </c>
      <c r="BQ3077" t="s">
        <v>93</v>
      </c>
      <c r="BR3077" t="s">
        <v>94</v>
      </c>
    </row>
    <row r="3078" spans="1:70" x14ac:dyDescent="0.3">
      <c r="A3078" t="str">
        <f>"202207B0100"</f>
        <v>202207B0100</v>
      </c>
      <c r="B3078" t="s">
        <v>6387</v>
      </c>
      <c r="C3078">
        <v>20</v>
      </c>
      <c r="D3078" t="s">
        <v>88</v>
      </c>
      <c r="E3078">
        <v>515</v>
      </c>
      <c r="F3078" t="s">
        <v>6347</v>
      </c>
      <c r="G3078">
        <v>2207</v>
      </c>
      <c r="H3078">
        <v>1</v>
      </c>
      <c r="I3078" t="s">
        <v>90</v>
      </c>
      <c r="J3078">
        <v>0</v>
      </c>
      <c r="K3078">
        <v>2</v>
      </c>
      <c r="L3078">
        <v>5</v>
      </c>
      <c r="M3078">
        <v>166</v>
      </c>
      <c r="N3078">
        <v>411</v>
      </c>
      <c r="O3078">
        <v>6</v>
      </c>
      <c r="P3078" t="s">
        <v>105</v>
      </c>
      <c r="Q3078">
        <v>12</v>
      </c>
      <c r="R3078">
        <v>87</v>
      </c>
      <c r="S3078">
        <v>183</v>
      </c>
      <c r="T3078">
        <v>17</v>
      </c>
      <c r="U3078">
        <v>2</v>
      </c>
      <c r="V3078">
        <v>10</v>
      </c>
      <c r="X3078">
        <v>3</v>
      </c>
      <c r="Y3078">
        <v>78</v>
      </c>
      <c r="Z3078">
        <v>0</v>
      </c>
      <c r="AA3078">
        <v>0</v>
      </c>
      <c r="AB3078">
        <v>1</v>
      </c>
      <c r="AC3078">
        <v>5</v>
      </c>
      <c r="AD3078" t="s">
        <v>105</v>
      </c>
      <c r="AE3078" t="s">
        <v>105</v>
      </c>
      <c r="AF3078" t="s">
        <v>105</v>
      </c>
      <c r="AK3078">
        <v>1</v>
      </c>
      <c r="AL3078" t="s">
        <v>105</v>
      </c>
      <c r="AM3078" t="s">
        <v>105</v>
      </c>
      <c r="AN3078" t="s">
        <v>105</v>
      </c>
      <c r="AU3078">
        <v>1</v>
      </c>
      <c r="AZ3078">
        <v>6</v>
      </c>
      <c r="BC3078" t="s">
        <v>105</v>
      </c>
      <c r="BD3078">
        <v>5</v>
      </c>
      <c r="BE3078">
        <v>411</v>
      </c>
      <c r="BF3078">
        <v>411</v>
      </c>
      <c r="BG3078">
        <v>554</v>
      </c>
      <c r="BI3078" t="s">
        <v>106</v>
      </c>
      <c r="BJ3078">
        <v>1</v>
      </c>
      <c r="BL3078" s="2" t="s">
        <v>6388</v>
      </c>
      <c r="BM3078" s="4">
        <v>43283.292361111111</v>
      </c>
      <c r="BN3078" s="4">
        <v>43283.328576388885</v>
      </c>
      <c r="BO3078" s="4">
        <v>43283.328576388885</v>
      </c>
      <c r="BP3078" t="s">
        <v>92</v>
      </c>
      <c r="BQ3078" t="s">
        <v>93</v>
      </c>
      <c r="BR3078" t="s">
        <v>94</v>
      </c>
    </row>
    <row r="3079" spans="1:70" x14ac:dyDescent="0.3">
      <c r="A3079" t="str">
        <f>"202207C0100"</f>
        <v>202207C0100</v>
      </c>
      <c r="B3079" t="s">
        <v>6389</v>
      </c>
      <c r="C3079">
        <v>20</v>
      </c>
      <c r="D3079" t="s">
        <v>88</v>
      </c>
      <c r="E3079">
        <v>515</v>
      </c>
      <c r="F3079" t="s">
        <v>6347</v>
      </c>
      <c r="G3079">
        <v>2207</v>
      </c>
      <c r="H3079">
        <v>1</v>
      </c>
      <c r="I3079" t="s">
        <v>98</v>
      </c>
      <c r="J3079">
        <v>0</v>
      </c>
      <c r="K3079">
        <v>2</v>
      </c>
      <c r="L3079">
        <v>5</v>
      </c>
      <c r="M3079">
        <v>164</v>
      </c>
      <c r="N3079" t="s">
        <v>105</v>
      </c>
      <c r="O3079">
        <v>6</v>
      </c>
      <c r="P3079">
        <v>569</v>
      </c>
      <c r="Q3079">
        <v>11</v>
      </c>
      <c r="R3079">
        <v>68</v>
      </c>
      <c r="S3079">
        <v>174</v>
      </c>
      <c r="T3079">
        <v>15</v>
      </c>
      <c r="U3079">
        <v>4</v>
      </c>
      <c r="V3079">
        <v>10</v>
      </c>
      <c r="X3079" t="s">
        <v>105</v>
      </c>
      <c r="Y3079">
        <v>95</v>
      </c>
      <c r="Z3079">
        <v>2</v>
      </c>
      <c r="AA3079">
        <v>2</v>
      </c>
      <c r="AB3079" t="s">
        <v>105</v>
      </c>
      <c r="AC3079">
        <v>3</v>
      </c>
      <c r="AD3079">
        <v>1</v>
      </c>
      <c r="AE3079">
        <v>1</v>
      </c>
      <c r="AF3079" t="s">
        <v>105</v>
      </c>
      <c r="AK3079" t="s">
        <v>105</v>
      </c>
      <c r="AL3079" t="s">
        <v>105</v>
      </c>
      <c r="AM3079" t="s">
        <v>105</v>
      </c>
      <c r="AN3079" t="s">
        <v>105</v>
      </c>
      <c r="AU3079">
        <v>3</v>
      </c>
      <c r="AZ3079">
        <v>2</v>
      </c>
      <c r="BC3079" t="s">
        <v>105</v>
      </c>
      <c r="BD3079" t="s">
        <v>105</v>
      </c>
      <c r="BE3079" t="s">
        <v>105</v>
      </c>
      <c r="BF3079">
        <v>391</v>
      </c>
      <c r="BG3079">
        <v>554</v>
      </c>
      <c r="BI3079" t="s">
        <v>106</v>
      </c>
      <c r="BJ3079">
        <v>1</v>
      </c>
      <c r="BL3079" t="s">
        <v>6390</v>
      </c>
      <c r="BM3079" s="4">
        <v>43283.292361111111</v>
      </c>
      <c r="BN3079" s="4">
        <v>43283.370509259257</v>
      </c>
      <c r="BO3079" s="4">
        <v>43283.370509259257</v>
      </c>
      <c r="BP3079" t="s">
        <v>92</v>
      </c>
      <c r="BQ3079" t="s">
        <v>93</v>
      </c>
      <c r="BR3079" t="s">
        <v>94</v>
      </c>
    </row>
    <row r="3080" spans="1:70" x14ac:dyDescent="0.3">
      <c r="A3080" t="str">
        <f>"202207E0100"</f>
        <v>202207E0100</v>
      </c>
      <c r="B3080" s="2" t="s">
        <v>6391</v>
      </c>
      <c r="C3080">
        <v>20</v>
      </c>
      <c r="D3080" t="s">
        <v>88</v>
      </c>
      <c r="E3080">
        <v>515</v>
      </c>
      <c r="F3080" t="s">
        <v>6347</v>
      </c>
      <c r="G3080">
        <v>2207</v>
      </c>
      <c r="H3080">
        <v>1</v>
      </c>
      <c r="I3080" t="s">
        <v>156</v>
      </c>
      <c r="J3080">
        <v>0</v>
      </c>
      <c r="K3080">
        <v>2</v>
      </c>
      <c r="L3080">
        <v>5</v>
      </c>
      <c r="M3080">
        <v>163</v>
      </c>
      <c r="N3080">
        <v>373</v>
      </c>
      <c r="O3080">
        <v>0</v>
      </c>
      <c r="P3080">
        <v>0</v>
      </c>
      <c r="Q3080">
        <v>7</v>
      </c>
      <c r="R3080">
        <v>51</v>
      </c>
      <c r="S3080">
        <v>123</v>
      </c>
      <c r="T3080">
        <v>6</v>
      </c>
      <c r="U3080">
        <v>14</v>
      </c>
      <c r="V3080">
        <v>3</v>
      </c>
      <c r="X3080">
        <v>1</v>
      </c>
      <c r="Y3080">
        <v>130</v>
      </c>
      <c r="Z3080">
        <v>2</v>
      </c>
      <c r="AA3080">
        <v>0</v>
      </c>
      <c r="AB3080">
        <v>15</v>
      </c>
      <c r="AC3080">
        <v>0</v>
      </c>
      <c r="AD3080">
        <v>0</v>
      </c>
      <c r="AE3080">
        <v>0</v>
      </c>
      <c r="AF3080">
        <v>0</v>
      </c>
      <c r="AK3080">
        <v>1</v>
      </c>
      <c r="AL3080">
        <v>2</v>
      </c>
      <c r="AM3080">
        <v>0</v>
      </c>
      <c r="AN3080">
        <v>1</v>
      </c>
      <c r="AU3080">
        <v>0</v>
      </c>
      <c r="AZ3080">
        <v>5</v>
      </c>
      <c r="BC3080">
        <v>0</v>
      </c>
      <c r="BD3080">
        <v>12</v>
      </c>
      <c r="BE3080">
        <v>373</v>
      </c>
      <c r="BF3080">
        <v>373</v>
      </c>
      <c r="BG3080">
        <v>513</v>
      </c>
      <c r="BJ3080">
        <v>1</v>
      </c>
      <c r="BL3080" t="s">
        <v>6392</v>
      </c>
      <c r="BM3080" s="4">
        <v>43283.292361111111</v>
      </c>
      <c r="BN3080" s="4">
        <v>43283.327314814815</v>
      </c>
      <c r="BO3080" s="4">
        <v>43283.327314814815</v>
      </c>
      <c r="BP3080" t="s">
        <v>92</v>
      </c>
      <c r="BQ3080" t="s">
        <v>93</v>
      </c>
      <c r="BR3080" t="s">
        <v>94</v>
      </c>
    </row>
    <row r="3081" spans="1:70" x14ac:dyDescent="0.3">
      <c r="A3081" t="str">
        <f>"202207E0101"</f>
        <v>202207E0101</v>
      </c>
      <c r="B3081" s="2" t="s">
        <v>6393</v>
      </c>
      <c r="C3081">
        <v>20</v>
      </c>
      <c r="D3081" t="s">
        <v>88</v>
      </c>
      <c r="E3081">
        <v>515</v>
      </c>
      <c r="F3081" t="s">
        <v>6347</v>
      </c>
      <c r="G3081">
        <v>2207</v>
      </c>
      <c r="H3081">
        <v>1</v>
      </c>
      <c r="I3081" t="s">
        <v>156</v>
      </c>
      <c r="J3081">
        <v>1</v>
      </c>
      <c r="K3081">
        <v>2</v>
      </c>
      <c r="L3081">
        <v>5</v>
      </c>
      <c r="BG3081">
        <v>512</v>
      </c>
      <c r="BI3081" t="s">
        <v>122</v>
      </c>
      <c r="BJ3081">
        <v>0</v>
      </c>
      <c r="BL3081" t="s">
        <v>6394</v>
      </c>
      <c r="BM3081" s="4">
        <v>43283.686805555553</v>
      </c>
      <c r="BN3081" s="4">
        <v>43283.695787037039</v>
      </c>
      <c r="BO3081" s="4">
        <v>43283.695787037039</v>
      </c>
      <c r="BP3081" t="s">
        <v>92</v>
      </c>
      <c r="BQ3081" t="s">
        <v>93</v>
      </c>
      <c r="BR3081" t="s">
        <v>94</v>
      </c>
    </row>
    <row r="3082" spans="1:70" x14ac:dyDescent="0.3">
      <c r="A3082" t="str">
        <f>"202207S0100"</f>
        <v>202207S0100</v>
      </c>
      <c r="B3082" t="s">
        <v>6395</v>
      </c>
      <c r="C3082">
        <v>20</v>
      </c>
      <c r="D3082" t="s">
        <v>88</v>
      </c>
      <c r="E3082">
        <v>515</v>
      </c>
      <c r="F3082" t="s">
        <v>6347</v>
      </c>
      <c r="G3082">
        <v>2207</v>
      </c>
      <c r="H3082">
        <v>1</v>
      </c>
      <c r="I3082" t="s">
        <v>113</v>
      </c>
      <c r="J3082">
        <v>0</v>
      </c>
      <c r="K3082">
        <v>2</v>
      </c>
      <c r="L3082">
        <v>6</v>
      </c>
      <c r="M3082">
        <v>739</v>
      </c>
      <c r="N3082" t="s">
        <v>105</v>
      </c>
      <c r="O3082">
        <v>0</v>
      </c>
      <c r="P3082" t="s">
        <v>105</v>
      </c>
      <c r="Q3082">
        <v>0</v>
      </c>
      <c r="R3082">
        <v>6</v>
      </c>
      <c r="S3082">
        <v>8</v>
      </c>
      <c r="T3082">
        <v>3</v>
      </c>
      <c r="U3082">
        <v>1</v>
      </c>
      <c r="V3082">
        <v>0</v>
      </c>
      <c r="X3082">
        <v>0</v>
      </c>
      <c r="Y3082">
        <v>9</v>
      </c>
      <c r="Z3082">
        <v>1</v>
      </c>
      <c r="AA3082">
        <v>0</v>
      </c>
      <c r="AB3082">
        <v>1</v>
      </c>
      <c r="AC3082">
        <v>0</v>
      </c>
      <c r="AD3082">
        <v>0</v>
      </c>
      <c r="AE3082">
        <v>0</v>
      </c>
      <c r="AF3082">
        <v>1</v>
      </c>
      <c r="AK3082">
        <v>0</v>
      </c>
      <c r="AL3082">
        <v>0</v>
      </c>
      <c r="AM3082">
        <v>0</v>
      </c>
      <c r="AN3082">
        <v>0</v>
      </c>
      <c r="AU3082">
        <v>0</v>
      </c>
      <c r="AZ3082">
        <v>2</v>
      </c>
      <c r="BC3082">
        <v>0</v>
      </c>
      <c r="BD3082">
        <v>2</v>
      </c>
      <c r="BE3082">
        <v>44</v>
      </c>
      <c r="BF3082">
        <v>34</v>
      </c>
      <c r="BG3082">
        <v>0</v>
      </c>
      <c r="BJ3082">
        <v>1</v>
      </c>
      <c r="BL3082" t="s">
        <v>6396</v>
      </c>
      <c r="BM3082" s="4">
        <v>43283.35833333333</v>
      </c>
      <c r="BN3082" s="4">
        <v>43283.392372685186</v>
      </c>
      <c r="BO3082" s="4">
        <v>43283.392372685186</v>
      </c>
      <c r="BP3082" t="s">
        <v>92</v>
      </c>
      <c r="BQ3082" t="s">
        <v>93</v>
      </c>
      <c r="BR3082" t="s">
        <v>94</v>
      </c>
    </row>
    <row r="3083" spans="1:70" x14ac:dyDescent="0.3">
      <c r="A3083" t="str">
        <f>"202207S0200"</f>
        <v>202207S0200</v>
      </c>
      <c r="B3083" t="s">
        <v>6397</v>
      </c>
      <c r="C3083">
        <v>20</v>
      </c>
      <c r="D3083" t="s">
        <v>88</v>
      </c>
      <c r="E3083">
        <v>515</v>
      </c>
      <c r="F3083" t="s">
        <v>6347</v>
      </c>
      <c r="G3083">
        <v>2207</v>
      </c>
      <c r="H3083">
        <v>2</v>
      </c>
      <c r="I3083" t="s">
        <v>113</v>
      </c>
      <c r="J3083">
        <v>0</v>
      </c>
      <c r="K3083">
        <v>2</v>
      </c>
      <c r="L3083">
        <v>6</v>
      </c>
      <c r="M3083">
        <v>749</v>
      </c>
      <c r="N3083">
        <v>24</v>
      </c>
      <c r="O3083">
        <v>0</v>
      </c>
      <c r="P3083">
        <v>773</v>
      </c>
      <c r="Q3083">
        <v>0</v>
      </c>
      <c r="R3083">
        <v>4</v>
      </c>
      <c r="S3083">
        <v>8</v>
      </c>
      <c r="T3083">
        <v>0</v>
      </c>
      <c r="U3083">
        <v>0</v>
      </c>
      <c r="V3083">
        <v>0</v>
      </c>
      <c r="X3083">
        <v>0</v>
      </c>
      <c r="Y3083">
        <v>10</v>
      </c>
      <c r="Z3083">
        <v>0</v>
      </c>
      <c r="AA3083">
        <v>0</v>
      </c>
      <c r="AB3083">
        <v>1</v>
      </c>
      <c r="AC3083">
        <v>0</v>
      </c>
      <c r="AD3083">
        <v>1</v>
      </c>
      <c r="AE3083">
        <v>0</v>
      </c>
      <c r="AF3083">
        <v>0</v>
      </c>
      <c r="AK3083">
        <v>0</v>
      </c>
      <c r="AL3083">
        <v>0</v>
      </c>
      <c r="AM3083">
        <v>0</v>
      </c>
      <c r="AN3083">
        <v>0</v>
      </c>
      <c r="AU3083">
        <v>0</v>
      </c>
      <c r="AZ3083">
        <v>0</v>
      </c>
      <c r="BC3083">
        <v>0</v>
      </c>
      <c r="BD3083">
        <v>0</v>
      </c>
      <c r="BE3083">
        <v>24</v>
      </c>
      <c r="BF3083">
        <v>24</v>
      </c>
      <c r="BG3083">
        <v>0</v>
      </c>
      <c r="BJ3083">
        <v>1</v>
      </c>
      <c r="BL3083" t="s">
        <v>6398</v>
      </c>
      <c r="BM3083" s="4">
        <v>43283.45208333333</v>
      </c>
      <c r="BN3083" s="4">
        <v>43283.459189814814</v>
      </c>
      <c r="BO3083" s="4">
        <v>43283.459189814814</v>
      </c>
      <c r="BP3083" t="s">
        <v>92</v>
      </c>
      <c r="BQ3083" t="s">
        <v>93</v>
      </c>
      <c r="BR3083" t="s">
        <v>94</v>
      </c>
    </row>
    <row r="3084" spans="1:70" x14ac:dyDescent="0.3">
      <c r="A3084" t="str">
        <f>"202208B0100"</f>
        <v>202208B0100</v>
      </c>
      <c r="B3084" t="s">
        <v>6399</v>
      </c>
      <c r="C3084">
        <v>20</v>
      </c>
      <c r="D3084" t="s">
        <v>88</v>
      </c>
      <c r="E3084">
        <v>515</v>
      </c>
      <c r="F3084" t="s">
        <v>6347</v>
      </c>
      <c r="G3084">
        <v>2208</v>
      </c>
      <c r="H3084">
        <v>1</v>
      </c>
      <c r="I3084" t="s">
        <v>90</v>
      </c>
      <c r="J3084">
        <v>0</v>
      </c>
      <c r="K3084">
        <v>1</v>
      </c>
      <c r="L3084">
        <v>5</v>
      </c>
      <c r="BG3084">
        <v>415</v>
      </c>
      <c r="BI3084" t="s">
        <v>122</v>
      </c>
      <c r="BJ3084">
        <v>0</v>
      </c>
      <c r="BL3084" t="s">
        <v>6400</v>
      </c>
      <c r="BM3084" s="4">
        <v>43283.6875</v>
      </c>
      <c r="BN3084" s="4">
        <v>43283.69599537037</v>
      </c>
      <c r="BO3084" s="4">
        <v>43283.69599537037</v>
      </c>
      <c r="BP3084" t="s">
        <v>92</v>
      </c>
      <c r="BQ3084" t="s">
        <v>93</v>
      </c>
      <c r="BR3084" t="s">
        <v>94</v>
      </c>
    </row>
    <row r="3085" spans="1:70" x14ac:dyDescent="0.3">
      <c r="A3085" t="str">
        <f>"202208C0100"</f>
        <v>202208C0100</v>
      </c>
      <c r="B3085" t="s">
        <v>6401</v>
      </c>
      <c r="C3085">
        <v>20</v>
      </c>
      <c r="D3085" t="s">
        <v>88</v>
      </c>
      <c r="E3085">
        <v>515</v>
      </c>
      <c r="F3085" t="s">
        <v>6347</v>
      </c>
      <c r="G3085">
        <v>2208</v>
      </c>
      <c r="H3085">
        <v>1</v>
      </c>
      <c r="I3085" t="s">
        <v>98</v>
      </c>
      <c r="J3085">
        <v>0</v>
      </c>
      <c r="K3085">
        <v>1</v>
      </c>
      <c r="L3085">
        <v>5</v>
      </c>
      <c r="M3085">
        <v>121</v>
      </c>
      <c r="N3085">
        <v>316</v>
      </c>
      <c r="O3085">
        <v>4</v>
      </c>
      <c r="P3085">
        <v>316</v>
      </c>
      <c r="Q3085">
        <v>8</v>
      </c>
      <c r="R3085">
        <v>65</v>
      </c>
      <c r="S3085">
        <v>101</v>
      </c>
      <c r="T3085">
        <v>16</v>
      </c>
      <c r="U3085">
        <v>7</v>
      </c>
      <c r="V3085">
        <v>8</v>
      </c>
      <c r="X3085">
        <v>2</v>
      </c>
      <c r="Y3085">
        <v>82</v>
      </c>
      <c r="Z3085">
        <v>2</v>
      </c>
      <c r="AA3085">
        <v>0</v>
      </c>
      <c r="AB3085">
        <v>4</v>
      </c>
      <c r="AC3085">
        <v>3</v>
      </c>
      <c r="AD3085">
        <v>0</v>
      </c>
      <c r="AE3085">
        <v>0</v>
      </c>
      <c r="AF3085">
        <v>0</v>
      </c>
      <c r="AK3085">
        <v>3</v>
      </c>
      <c r="AL3085">
        <v>1</v>
      </c>
      <c r="AM3085">
        <v>0</v>
      </c>
      <c r="AN3085">
        <v>1</v>
      </c>
      <c r="AU3085">
        <v>0</v>
      </c>
      <c r="AZ3085">
        <v>6</v>
      </c>
      <c r="BC3085">
        <v>0</v>
      </c>
      <c r="BD3085">
        <v>7</v>
      </c>
      <c r="BE3085">
        <v>316</v>
      </c>
      <c r="BF3085">
        <v>316</v>
      </c>
      <c r="BG3085">
        <v>415</v>
      </c>
      <c r="BJ3085">
        <v>1</v>
      </c>
      <c r="BL3085" t="s">
        <v>6402</v>
      </c>
      <c r="BM3085" s="4">
        <v>43283.291666666664</v>
      </c>
      <c r="BN3085" s="4">
        <v>43283.325428240743</v>
      </c>
      <c r="BO3085" s="4">
        <v>43283.325428240743</v>
      </c>
      <c r="BP3085" t="s">
        <v>92</v>
      </c>
      <c r="BQ3085" t="s">
        <v>93</v>
      </c>
      <c r="BR3085" t="s">
        <v>94</v>
      </c>
    </row>
    <row r="3086" spans="1:70" x14ac:dyDescent="0.3">
      <c r="A3086" t="str">
        <f>"202209B0100"</f>
        <v>202209B0100</v>
      </c>
      <c r="B3086" t="s">
        <v>6403</v>
      </c>
      <c r="C3086">
        <v>20</v>
      </c>
      <c r="D3086" t="s">
        <v>88</v>
      </c>
      <c r="E3086">
        <v>515</v>
      </c>
      <c r="F3086" t="s">
        <v>6347</v>
      </c>
      <c r="G3086">
        <v>2209</v>
      </c>
      <c r="H3086">
        <v>1</v>
      </c>
      <c r="I3086" t="s">
        <v>90</v>
      </c>
      <c r="J3086">
        <v>0</v>
      </c>
      <c r="K3086">
        <v>1</v>
      </c>
      <c r="L3086">
        <v>5</v>
      </c>
      <c r="M3086">
        <v>137</v>
      </c>
      <c r="N3086" t="s">
        <v>105</v>
      </c>
      <c r="O3086" t="s">
        <v>105</v>
      </c>
      <c r="P3086" t="s">
        <v>105</v>
      </c>
      <c r="Q3086">
        <v>50</v>
      </c>
      <c r="R3086">
        <v>103</v>
      </c>
      <c r="S3086">
        <v>33</v>
      </c>
      <c r="T3086">
        <v>2</v>
      </c>
      <c r="U3086">
        <v>6</v>
      </c>
      <c r="V3086">
        <v>2</v>
      </c>
      <c r="X3086">
        <v>173</v>
      </c>
      <c r="Y3086">
        <v>2</v>
      </c>
      <c r="Z3086">
        <v>1</v>
      </c>
      <c r="AA3086">
        <v>9</v>
      </c>
      <c r="AB3086" t="s">
        <v>105</v>
      </c>
      <c r="AC3086" t="s">
        <v>105</v>
      </c>
      <c r="AD3086">
        <v>2</v>
      </c>
      <c r="AE3086" t="s">
        <v>105</v>
      </c>
      <c r="AF3086" t="s">
        <v>105</v>
      </c>
      <c r="AK3086">
        <v>2</v>
      </c>
      <c r="AL3086" t="s">
        <v>105</v>
      </c>
      <c r="AM3086" t="s">
        <v>105</v>
      </c>
      <c r="AN3086">
        <v>1</v>
      </c>
      <c r="AU3086" t="s">
        <v>105</v>
      </c>
      <c r="AZ3086" t="s">
        <v>105</v>
      </c>
      <c r="BC3086" t="s">
        <v>105</v>
      </c>
      <c r="BD3086" t="s">
        <v>105</v>
      </c>
      <c r="BE3086">
        <v>405</v>
      </c>
      <c r="BF3086">
        <v>386</v>
      </c>
      <c r="BG3086">
        <v>522</v>
      </c>
      <c r="BI3086" t="s">
        <v>106</v>
      </c>
      <c r="BJ3086">
        <v>1</v>
      </c>
      <c r="BL3086" t="s">
        <v>6404</v>
      </c>
      <c r="BM3086" s="4">
        <v>43283.347916666666</v>
      </c>
      <c r="BN3086" s="4">
        <v>43283.386886574073</v>
      </c>
      <c r="BO3086" s="4">
        <v>43283.386886574073</v>
      </c>
      <c r="BP3086" t="s">
        <v>92</v>
      </c>
      <c r="BQ3086" t="s">
        <v>93</v>
      </c>
      <c r="BR3086" t="s">
        <v>94</v>
      </c>
    </row>
    <row r="3087" spans="1:70" x14ac:dyDescent="0.3">
      <c r="A3087" t="str">
        <f>"202209C0100"</f>
        <v>202209C0100</v>
      </c>
      <c r="B3087" t="s">
        <v>6405</v>
      </c>
      <c r="C3087">
        <v>20</v>
      </c>
      <c r="D3087" t="s">
        <v>88</v>
      </c>
      <c r="E3087">
        <v>515</v>
      </c>
      <c r="F3087" t="s">
        <v>6347</v>
      </c>
      <c r="G3087">
        <v>2209</v>
      </c>
      <c r="H3087">
        <v>1</v>
      </c>
      <c r="I3087" t="s">
        <v>98</v>
      </c>
      <c r="J3087">
        <v>0</v>
      </c>
      <c r="K3087">
        <v>1</v>
      </c>
      <c r="L3087">
        <v>5</v>
      </c>
      <c r="BG3087">
        <v>522</v>
      </c>
      <c r="BI3087" t="s">
        <v>122</v>
      </c>
      <c r="BJ3087">
        <v>0</v>
      </c>
      <c r="BL3087" t="s">
        <v>6406</v>
      </c>
      <c r="BM3087" s="4">
        <v>43283.6875</v>
      </c>
      <c r="BN3087" s="4">
        <v>43283.696921296294</v>
      </c>
      <c r="BO3087" s="4">
        <v>43283.696921296294</v>
      </c>
      <c r="BP3087" t="s">
        <v>92</v>
      </c>
      <c r="BQ3087" t="s">
        <v>93</v>
      </c>
      <c r="BR3087" t="s">
        <v>94</v>
      </c>
    </row>
    <row r="3088" spans="1:70" x14ac:dyDescent="0.3">
      <c r="A3088" t="str">
        <f>"202210B0100"</f>
        <v>202210B0100</v>
      </c>
      <c r="B3088" t="s">
        <v>6407</v>
      </c>
      <c r="C3088">
        <v>20</v>
      </c>
      <c r="D3088" t="s">
        <v>88</v>
      </c>
      <c r="E3088">
        <v>515</v>
      </c>
      <c r="F3088" t="s">
        <v>6347</v>
      </c>
      <c r="G3088">
        <v>2210</v>
      </c>
      <c r="H3088">
        <v>1</v>
      </c>
      <c r="I3088" t="s">
        <v>90</v>
      </c>
      <c r="J3088">
        <v>0</v>
      </c>
      <c r="K3088">
        <v>1</v>
      </c>
      <c r="L3088">
        <v>5</v>
      </c>
      <c r="M3088">
        <v>136</v>
      </c>
      <c r="N3088">
        <v>493</v>
      </c>
      <c r="O3088">
        <v>7</v>
      </c>
      <c r="P3088">
        <v>494</v>
      </c>
      <c r="Q3088">
        <v>6</v>
      </c>
      <c r="R3088">
        <v>71</v>
      </c>
      <c r="S3088">
        <v>151</v>
      </c>
      <c r="T3088">
        <v>17</v>
      </c>
      <c r="U3088">
        <v>14</v>
      </c>
      <c r="V3088">
        <v>4</v>
      </c>
      <c r="X3088">
        <v>2</v>
      </c>
      <c r="Y3088">
        <v>202</v>
      </c>
      <c r="Z3088">
        <v>3</v>
      </c>
      <c r="AA3088">
        <v>0</v>
      </c>
      <c r="AB3088">
        <v>5</v>
      </c>
      <c r="AC3088">
        <v>1</v>
      </c>
      <c r="AD3088">
        <v>2</v>
      </c>
      <c r="AE3088">
        <v>0</v>
      </c>
      <c r="AF3088">
        <v>3</v>
      </c>
      <c r="AK3088">
        <v>1</v>
      </c>
      <c r="AL3088">
        <v>0</v>
      </c>
      <c r="AM3088">
        <v>0</v>
      </c>
      <c r="AN3088">
        <v>1</v>
      </c>
      <c r="AU3088">
        <v>1</v>
      </c>
      <c r="AZ3088">
        <v>6</v>
      </c>
      <c r="BC3088">
        <v>0</v>
      </c>
      <c r="BD3088">
        <v>5</v>
      </c>
      <c r="BE3088">
        <v>494</v>
      </c>
      <c r="BF3088">
        <v>495</v>
      </c>
      <c r="BG3088">
        <v>607</v>
      </c>
      <c r="BJ3088">
        <v>1</v>
      </c>
      <c r="BL3088" t="s">
        <v>6408</v>
      </c>
      <c r="BM3088" s="4">
        <v>43283.347222222219</v>
      </c>
      <c r="BN3088" s="4">
        <v>43283.362696759257</v>
      </c>
      <c r="BO3088" s="4">
        <v>43283.362696759257</v>
      </c>
      <c r="BP3088" t="s">
        <v>92</v>
      </c>
      <c r="BQ3088" t="s">
        <v>93</v>
      </c>
      <c r="BR3088" t="s">
        <v>94</v>
      </c>
    </row>
    <row r="3089" spans="1:70" x14ac:dyDescent="0.3">
      <c r="A3089" t="str">
        <f>"202210C0100"</f>
        <v>202210C0100</v>
      </c>
      <c r="B3089" t="s">
        <v>6409</v>
      </c>
      <c r="C3089">
        <v>20</v>
      </c>
      <c r="D3089" t="s">
        <v>88</v>
      </c>
      <c r="E3089">
        <v>515</v>
      </c>
      <c r="F3089" t="s">
        <v>6347</v>
      </c>
      <c r="G3089">
        <v>2210</v>
      </c>
      <c r="H3089">
        <v>1</v>
      </c>
      <c r="I3089" t="s">
        <v>98</v>
      </c>
      <c r="J3089">
        <v>0</v>
      </c>
      <c r="K3089">
        <v>1</v>
      </c>
      <c r="L3089">
        <v>5</v>
      </c>
      <c r="M3089">
        <v>190</v>
      </c>
      <c r="N3089">
        <v>440</v>
      </c>
      <c r="O3089">
        <v>4</v>
      </c>
      <c r="P3089">
        <v>440</v>
      </c>
      <c r="Q3089">
        <v>6</v>
      </c>
      <c r="R3089">
        <v>66</v>
      </c>
      <c r="S3089">
        <v>126</v>
      </c>
      <c r="T3089">
        <v>5</v>
      </c>
      <c r="U3089">
        <v>7</v>
      </c>
      <c r="V3089">
        <v>3</v>
      </c>
      <c r="X3089">
        <v>0</v>
      </c>
      <c r="Y3089">
        <v>187</v>
      </c>
      <c r="Z3089">
        <v>2</v>
      </c>
      <c r="AA3089">
        <v>1</v>
      </c>
      <c r="AB3089">
        <v>7</v>
      </c>
      <c r="AC3089">
        <v>2</v>
      </c>
      <c r="AD3089">
        <v>0</v>
      </c>
      <c r="AE3089">
        <v>0</v>
      </c>
      <c r="AF3089">
        <v>2</v>
      </c>
      <c r="AK3089">
        <v>0</v>
      </c>
      <c r="AL3089">
        <v>1</v>
      </c>
      <c r="AM3089">
        <v>2</v>
      </c>
      <c r="AN3089">
        <v>0</v>
      </c>
      <c r="AU3089">
        <v>1</v>
      </c>
      <c r="AZ3089">
        <v>10</v>
      </c>
      <c r="BC3089">
        <v>0</v>
      </c>
      <c r="BD3089">
        <v>12</v>
      </c>
      <c r="BE3089">
        <v>440</v>
      </c>
      <c r="BF3089">
        <v>440</v>
      </c>
      <c r="BG3089">
        <v>607</v>
      </c>
      <c r="BJ3089">
        <v>1</v>
      </c>
      <c r="BL3089" t="s">
        <v>6410</v>
      </c>
      <c r="BM3089" s="4">
        <v>43283.347916666666</v>
      </c>
      <c r="BN3089" s="4">
        <v>43283.36954861111</v>
      </c>
      <c r="BO3089" s="4">
        <v>43283.36954861111</v>
      </c>
      <c r="BP3089" t="s">
        <v>92</v>
      </c>
      <c r="BQ3089" t="s">
        <v>93</v>
      </c>
      <c r="BR3089" t="s">
        <v>94</v>
      </c>
    </row>
    <row r="3090" spans="1:70" x14ac:dyDescent="0.3">
      <c r="A3090" t="str">
        <f>"202210C0200"</f>
        <v>202210C0200</v>
      </c>
      <c r="B3090" t="s">
        <v>6411</v>
      </c>
      <c r="C3090">
        <v>20</v>
      </c>
      <c r="D3090" t="s">
        <v>88</v>
      </c>
      <c r="E3090">
        <v>515</v>
      </c>
      <c r="F3090" t="s">
        <v>6347</v>
      </c>
      <c r="G3090">
        <v>2210</v>
      </c>
      <c r="H3090">
        <v>2</v>
      </c>
      <c r="I3090" t="s">
        <v>98</v>
      </c>
      <c r="J3090">
        <v>0</v>
      </c>
      <c r="K3090">
        <v>1</v>
      </c>
      <c r="L3090">
        <v>5</v>
      </c>
      <c r="M3090">
        <v>188</v>
      </c>
      <c r="N3090">
        <v>445</v>
      </c>
      <c r="O3090">
        <v>2</v>
      </c>
      <c r="P3090">
        <v>439</v>
      </c>
      <c r="Q3090">
        <v>6</v>
      </c>
      <c r="R3090">
        <v>68</v>
      </c>
      <c r="S3090">
        <v>136</v>
      </c>
      <c r="T3090">
        <v>22</v>
      </c>
      <c r="U3090">
        <v>20</v>
      </c>
      <c r="V3090">
        <v>5</v>
      </c>
      <c r="X3090">
        <v>2</v>
      </c>
      <c r="Y3090">
        <v>149</v>
      </c>
      <c r="Z3090">
        <v>5</v>
      </c>
      <c r="AA3090">
        <v>0</v>
      </c>
      <c r="AB3090">
        <v>8</v>
      </c>
      <c r="AC3090">
        <v>2</v>
      </c>
      <c r="AD3090">
        <v>0</v>
      </c>
      <c r="AE3090">
        <v>0</v>
      </c>
      <c r="AF3090">
        <v>0</v>
      </c>
      <c r="AK3090">
        <v>1</v>
      </c>
      <c r="AL3090">
        <v>1</v>
      </c>
      <c r="AM3090">
        <v>0</v>
      </c>
      <c r="AN3090">
        <v>0</v>
      </c>
      <c r="AU3090">
        <v>0</v>
      </c>
      <c r="AZ3090">
        <v>5</v>
      </c>
      <c r="BC3090">
        <v>0</v>
      </c>
      <c r="BD3090">
        <v>8</v>
      </c>
      <c r="BE3090">
        <v>439</v>
      </c>
      <c r="BF3090">
        <v>438</v>
      </c>
      <c r="BG3090">
        <v>607</v>
      </c>
      <c r="BJ3090">
        <v>1</v>
      </c>
      <c r="BL3090" t="s">
        <v>6412</v>
      </c>
      <c r="BM3090" s="4">
        <v>43283.347916666666</v>
      </c>
      <c r="BN3090" s="4">
        <v>43283.388923611114</v>
      </c>
      <c r="BO3090" s="4">
        <v>43283.388923611114</v>
      </c>
      <c r="BP3090" t="s">
        <v>92</v>
      </c>
      <c r="BQ3090" t="s">
        <v>93</v>
      </c>
      <c r="BR3090" t="s">
        <v>94</v>
      </c>
    </row>
    <row r="3091" spans="1:70" x14ac:dyDescent="0.3">
      <c r="A3091" t="str">
        <f>"202211B0100"</f>
        <v>202211B0100</v>
      </c>
      <c r="B3091" t="s">
        <v>6413</v>
      </c>
      <c r="C3091">
        <v>20</v>
      </c>
      <c r="D3091" t="s">
        <v>88</v>
      </c>
      <c r="E3091">
        <v>515</v>
      </c>
      <c r="F3091" t="s">
        <v>6347</v>
      </c>
      <c r="G3091">
        <v>2211</v>
      </c>
      <c r="H3091">
        <v>1</v>
      </c>
      <c r="I3091" t="s">
        <v>90</v>
      </c>
      <c r="J3091">
        <v>0</v>
      </c>
      <c r="K3091">
        <v>1</v>
      </c>
      <c r="L3091">
        <v>5</v>
      </c>
      <c r="M3091">
        <v>139</v>
      </c>
      <c r="N3091">
        <v>319</v>
      </c>
      <c r="O3091">
        <v>3</v>
      </c>
      <c r="P3091">
        <v>319</v>
      </c>
      <c r="Q3091">
        <v>8</v>
      </c>
      <c r="R3091">
        <v>87</v>
      </c>
      <c r="S3091">
        <v>71</v>
      </c>
      <c r="T3091">
        <v>12</v>
      </c>
      <c r="U3091">
        <v>6</v>
      </c>
      <c r="V3091">
        <v>5</v>
      </c>
      <c r="X3091">
        <v>0</v>
      </c>
      <c r="Y3091">
        <v>107</v>
      </c>
      <c r="Z3091">
        <v>2</v>
      </c>
      <c r="AA3091">
        <v>3</v>
      </c>
      <c r="AB3091">
        <v>3</v>
      </c>
      <c r="AC3091">
        <v>3</v>
      </c>
      <c r="AD3091">
        <v>0</v>
      </c>
      <c r="AE3091">
        <v>0</v>
      </c>
      <c r="AF3091">
        <v>1</v>
      </c>
      <c r="AK3091">
        <v>2</v>
      </c>
      <c r="AL3091">
        <v>1</v>
      </c>
      <c r="AM3091">
        <v>0</v>
      </c>
      <c r="AN3091">
        <v>1</v>
      </c>
      <c r="AU3091">
        <v>1</v>
      </c>
      <c r="AZ3091">
        <v>5</v>
      </c>
      <c r="BC3091">
        <v>0</v>
      </c>
      <c r="BD3091">
        <v>2</v>
      </c>
      <c r="BE3091">
        <v>319</v>
      </c>
      <c r="BF3091">
        <v>320</v>
      </c>
      <c r="BG3091">
        <v>435</v>
      </c>
      <c r="BJ3091">
        <v>1</v>
      </c>
      <c r="BL3091" t="s">
        <v>6414</v>
      </c>
      <c r="BM3091" s="4">
        <v>43283.347222222219</v>
      </c>
      <c r="BN3091" s="4">
        <v>43283.368564814817</v>
      </c>
      <c r="BO3091" s="4">
        <v>43283.368564814817</v>
      </c>
      <c r="BP3091" t="s">
        <v>92</v>
      </c>
      <c r="BQ3091" t="s">
        <v>93</v>
      </c>
      <c r="BR3091" t="s">
        <v>94</v>
      </c>
    </row>
    <row r="3092" spans="1:70" x14ac:dyDescent="0.3">
      <c r="A3092" t="str">
        <f>"202212B0100"</f>
        <v>202212B0100</v>
      </c>
      <c r="B3092" t="s">
        <v>6415</v>
      </c>
      <c r="C3092">
        <v>20</v>
      </c>
      <c r="D3092" t="s">
        <v>88</v>
      </c>
      <c r="E3092">
        <v>515</v>
      </c>
      <c r="F3092" t="s">
        <v>6347</v>
      </c>
      <c r="G3092">
        <v>2212</v>
      </c>
      <c r="H3092">
        <v>1</v>
      </c>
      <c r="I3092" t="s">
        <v>90</v>
      </c>
      <c r="J3092">
        <v>0</v>
      </c>
      <c r="K3092">
        <v>1</v>
      </c>
      <c r="L3092">
        <v>5</v>
      </c>
      <c r="M3092">
        <v>121</v>
      </c>
      <c r="N3092">
        <v>346</v>
      </c>
      <c r="O3092">
        <v>3</v>
      </c>
      <c r="P3092">
        <v>349</v>
      </c>
      <c r="Q3092">
        <v>4</v>
      </c>
      <c r="R3092">
        <v>77</v>
      </c>
      <c r="S3092">
        <v>114</v>
      </c>
      <c r="T3092">
        <v>8</v>
      </c>
      <c r="U3092">
        <v>2</v>
      </c>
      <c r="V3092">
        <v>7</v>
      </c>
      <c r="X3092">
        <v>3</v>
      </c>
      <c r="Y3092">
        <v>111</v>
      </c>
      <c r="Z3092">
        <v>1</v>
      </c>
      <c r="AA3092">
        <v>0</v>
      </c>
      <c r="AB3092">
        <v>0</v>
      </c>
      <c r="AC3092">
        <v>1</v>
      </c>
      <c r="AD3092">
        <v>1</v>
      </c>
      <c r="AE3092">
        <v>0</v>
      </c>
      <c r="AF3092">
        <v>0</v>
      </c>
      <c r="AK3092">
        <v>3</v>
      </c>
      <c r="AL3092">
        <v>2</v>
      </c>
      <c r="AM3092">
        <v>0</v>
      </c>
      <c r="AN3092">
        <v>0</v>
      </c>
      <c r="AU3092">
        <v>0</v>
      </c>
      <c r="AZ3092">
        <v>7</v>
      </c>
      <c r="BC3092">
        <v>0</v>
      </c>
      <c r="BD3092">
        <v>5</v>
      </c>
      <c r="BE3092">
        <v>346</v>
      </c>
      <c r="BF3092">
        <v>346</v>
      </c>
      <c r="BG3092">
        <v>447</v>
      </c>
      <c r="BJ3092">
        <v>1</v>
      </c>
      <c r="BL3092" t="s">
        <v>6416</v>
      </c>
      <c r="BM3092" s="4">
        <v>43283.281944444447</v>
      </c>
      <c r="BN3092" s="4">
        <v>43283.309884259259</v>
      </c>
      <c r="BO3092" s="4">
        <v>43283.309884259259</v>
      </c>
      <c r="BP3092" t="s">
        <v>92</v>
      </c>
      <c r="BQ3092" t="s">
        <v>93</v>
      </c>
      <c r="BR3092" t="s">
        <v>94</v>
      </c>
    </row>
    <row r="3093" spans="1:70" x14ac:dyDescent="0.3">
      <c r="A3093" t="str">
        <f>"202212C0100"</f>
        <v>202212C0100</v>
      </c>
      <c r="B3093" t="s">
        <v>6417</v>
      </c>
      <c r="C3093">
        <v>20</v>
      </c>
      <c r="D3093" t="s">
        <v>88</v>
      </c>
      <c r="E3093">
        <v>515</v>
      </c>
      <c r="F3093" t="s">
        <v>6347</v>
      </c>
      <c r="G3093">
        <v>2212</v>
      </c>
      <c r="H3093">
        <v>1</v>
      </c>
      <c r="I3093" t="s">
        <v>98</v>
      </c>
      <c r="J3093">
        <v>0</v>
      </c>
      <c r="K3093">
        <v>1</v>
      </c>
      <c r="L3093">
        <v>5</v>
      </c>
      <c r="M3093">
        <v>128</v>
      </c>
      <c r="N3093">
        <v>341</v>
      </c>
      <c r="O3093">
        <v>11</v>
      </c>
      <c r="P3093">
        <v>341</v>
      </c>
      <c r="Q3093">
        <v>4</v>
      </c>
      <c r="R3093">
        <v>84</v>
      </c>
      <c r="S3093">
        <v>93</v>
      </c>
      <c r="T3093">
        <v>9</v>
      </c>
      <c r="U3093">
        <v>1</v>
      </c>
      <c r="V3093">
        <v>2</v>
      </c>
      <c r="X3093">
        <v>0</v>
      </c>
      <c r="Y3093">
        <v>125</v>
      </c>
      <c r="Z3093">
        <v>1</v>
      </c>
      <c r="AA3093">
        <v>0</v>
      </c>
      <c r="AB3093">
        <v>3</v>
      </c>
      <c r="AC3093">
        <v>0</v>
      </c>
      <c r="AD3093">
        <v>0</v>
      </c>
      <c r="AE3093">
        <v>0</v>
      </c>
      <c r="AF3093">
        <v>0</v>
      </c>
      <c r="AK3093">
        <v>1</v>
      </c>
      <c r="AL3093">
        <v>1</v>
      </c>
      <c r="AM3093">
        <v>0</v>
      </c>
      <c r="AN3093">
        <v>0</v>
      </c>
      <c r="AU3093">
        <v>0</v>
      </c>
      <c r="AZ3093">
        <v>11</v>
      </c>
      <c r="BC3093">
        <v>0</v>
      </c>
      <c r="BD3093">
        <v>6</v>
      </c>
      <c r="BE3093">
        <v>341</v>
      </c>
      <c r="BF3093">
        <v>341</v>
      </c>
      <c r="BG3093">
        <v>446</v>
      </c>
      <c r="BJ3093">
        <v>1</v>
      </c>
      <c r="BL3093" t="s">
        <v>6418</v>
      </c>
      <c r="BM3093" s="4">
        <v>43283.347222222219</v>
      </c>
      <c r="BN3093" s="4">
        <v>43283.386516203704</v>
      </c>
      <c r="BO3093" s="4">
        <v>43283.386516203704</v>
      </c>
      <c r="BP3093" t="s">
        <v>92</v>
      </c>
      <c r="BQ3093" t="s">
        <v>93</v>
      </c>
      <c r="BR3093" t="s">
        <v>94</v>
      </c>
    </row>
    <row r="3094" spans="1:70" x14ac:dyDescent="0.3">
      <c r="A3094" t="str">
        <f>"202213B0100"</f>
        <v>202213B0100</v>
      </c>
      <c r="B3094" t="s">
        <v>6419</v>
      </c>
      <c r="C3094">
        <v>20</v>
      </c>
      <c r="D3094" t="s">
        <v>88</v>
      </c>
      <c r="E3094">
        <v>515</v>
      </c>
      <c r="F3094" t="s">
        <v>6347</v>
      </c>
      <c r="G3094">
        <v>2213</v>
      </c>
      <c r="H3094">
        <v>1</v>
      </c>
      <c r="I3094" t="s">
        <v>90</v>
      </c>
      <c r="J3094">
        <v>0</v>
      </c>
      <c r="K3094">
        <v>1</v>
      </c>
      <c r="L3094">
        <v>5</v>
      </c>
      <c r="BG3094">
        <v>630</v>
      </c>
      <c r="BI3094" t="s">
        <v>122</v>
      </c>
      <c r="BJ3094">
        <v>0</v>
      </c>
      <c r="BL3094" t="s">
        <v>6420</v>
      </c>
      <c r="BM3094" s="4">
        <v>43283.688194444447</v>
      </c>
      <c r="BN3094" s="4">
        <v>43283.696446759262</v>
      </c>
      <c r="BO3094" s="4">
        <v>43283.696446759262</v>
      </c>
      <c r="BP3094" t="s">
        <v>92</v>
      </c>
      <c r="BQ3094" t="s">
        <v>93</v>
      </c>
      <c r="BR3094" t="s">
        <v>94</v>
      </c>
    </row>
    <row r="3095" spans="1:70" x14ac:dyDescent="0.3">
      <c r="A3095" t="str">
        <f>"202213C0100"</f>
        <v>202213C0100</v>
      </c>
      <c r="B3095" t="s">
        <v>6421</v>
      </c>
      <c r="C3095">
        <v>20</v>
      </c>
      <c r="D3095" t="s">
        <v>88</v>
      </c>
      <c r="E3095">
        <v>515</v>
      </c>
      <c r="F3095" t="s">
        <v>6347</v>
      </c>
      <c r="G3095">
        <v>2213</v>
      </c>
      <c r="H3095">
        <v>1</v>
      </c>
      <c r="I3095" t="s">
        <v>98</v>
      </c>
      <c r="J3095">
        <v>0</v>
      </c>
      <c r="K3095">
        <v>1</v>
      </c>
      <c r="L3095">
        <v>5</v>
      </c>
      <c r="M3095">
        <v>182</v>
      </c>
      <c r="N3095">
        <v>470</v>
      </c>
      <c r="O3095">
        <v>0</v>
      </c>
      <c r="P3095">
        <v>470</v>
      </c>
      <c r="Q3095">
        <v>6</v>
      </c>
      <c r="R3095">
        <v>85</v>
      </c>
      <c r="S3095">
        <v>121</v>
      </c>
      <c r="T3095">
        <v>16</v>
      </c>
      <c r="U3095">
        <v>15</v>
      </c>
      <c r="V3095">
        <v>5</v>
      </c>
      <c r="X3095">
        <v>0</v>
      </c>
      <c r="Y3095">
        <v>181</v>
      </c>
      <c r="Z3095">
        <v>2</v>
      </c>
      <c r="AA3095">
        <v>0</v>
      </c>
      <c r="AB3095">
        <v>0</v>
      </c>
      <c r="AC3095">
        <v>1</v>
      </c>
      <c r="AD3095">
        <v>0</v>
      </c>
      <c r="AE3095">
        <v>0</v>
      </c>
      <c r="AF3095">
        <v>1</v>
      </c>
      <c r="AK3095">
        <v>0</v>
      </c>
      <c r="AL3095">
        <v>1</v>
      </c>
      <c r="AM3095">
        <v>0</v>
      </c>
      <c r="AN3095">
        <v>2</v>
      </c>
      <c r="AU3095">
        <v>2</v>
      </c>
      <c r="AZ3095">
        <v>11</v>
      </c>
      <c r="BC3095">
        <v>0</v>
      </c>
      <c r="BD3095">
        <v>21</v>
      </c>
      <c r="BE3095">
        <v>470</v>
      </c>
      <c r="BF3095">
        <v>470</v>
      </c>
      <c r="BG3095">
        <v>629</v>
      </c>
      <c r="BJ3095">
        <v>1</v>
      </c>
      <c r="BL3095" t="s">
        <v>6422</v>
      </c>
      <c r="BM3095" s="4">
        <v>43283.293055555558</v>
      </c>
      <c r="BN3095" s="4">
        <v>43283.335393518515</v>
      </c>
      <c r="BO3095" s="4">
        <v>43283.335393518515</v>
      </c>
      <c r="BP3095" t="s">
        <v>92</v>
      </c>
      <c r="BQ3095" t="s">
        <v>93</v>
      </c>
      <c r="BR3095" t="s">
        <v>94</v>
      </c>
    </row>
    <row r="3096" spans="1:70" x14ac:dyDescent="0.3">
      <c r="A3096" t="str">
        <f>"202213C0200"</f>
        <v>202213C0200</v>
      </c>
      <c r="B3096" t="s">
        <v>6423</v>
      </c>
      <c r="C3096">
        <v>20</v>
      </c>
      <c r="D3096" t="s">
        <v>88</v>
      </c>
      <c r="E3096">
        <v>515</v>
      </c>
      <c r="F3096" t="s">
        <v>6347</v>
      </c>
      <c r="G3096">
        <v>2213</v>
      </c>
      <c r="H3096">
        <v>2</v>
      </c>
      <c r="I3096" t="s">
        <v>98</v>
      </c>
      <c r="J3096">
        <v>0</v>
      </c>
      <c r="K3096">
        <v>1</v>
      </c>
      <c r="L3096">
        <v>5</v>
      </c>
      <c r="BG3096">
        <v>629</v>
      </c>
      <c r="BI3096" t="s">
        <v>122</v>
      </c>
      <c r="BJ3096">
        <v>0</v>
      </c>
      <c r="BL3096" s="2" t="s">
        <v>6424</v>
      </c>
      <c r="BM3096" s="4">
        <v>43283.688194444447</v>
      </c>
      <c r="BN3096" s="4">
        <v>43283.697210648148</v>
      </c>
      <c r="BO3096" s="4">
        <v>43283.697210648148</v>
      </c>
      <c r="BP3096" t="s">
        <v>92</v>
      </c>
      <c r="BQ3096" t="s">
        <v>93</v>
      </c>
      <c r="BR3096" t="s">
        <v>94</v>
      </c>
    </row>
    <row r="3097" spans="1:70" x14ac:dyDescent="0.3">
      <c r="A3097" t="str">
        <f>"202214B0100"</f>
        <v>202214B0100</v>
      </c>
      <c r="B3097" t="s">
        <v>6425</v>
      </c>
      <c r="C3097">
        <v>20</v>
      </c>
      <c r="D3097" t="s">
        <v>88</v>
      </c>
      <c r="E3097">
        <v>515</v>
      </c>
      <c r="F3097" t="s">
        <v>6347</v>
      </c>
      <c r="G3097">
        <v>2214</v>
      </c>
      <c r="H3097">
        <v>1</v>
      </c>
      <c r="I3097" t="s">
        <v>90</v>
      </c>
      <c r="J3097">
        <v>0</v>
      </c>
      <c r="K3097">
        <v>1</v>
      </c>
      <c r="L3097">
        <v>5</v>
      </c>
      <c r="BG3097">
        <v>638</v>
      </c>
      <c r="BI3097" t="s">
        <v>122</v>
      </c>
      <c r="BJ3097">
        <v>0</v>
      </c>
      <c r="BL3097" t="s">
        <v>6426</v>
      </c>
      <c r="BM3097" s="4">
        <v>43283.688194444447</v>
      </c>
      <c r="BN3097" s="4">
        <v>43283.696585648147</v>
      </c>
      <c r="BO3097" s="4">
        <v>43283.696585648147</v>
      </c>
      <c r="BP3097" t="s">
        <v>92</v>
      </c>
      <c r="BQ3097" t="s">
        <v>93</v>
      </c>
      <c r="BR3097" t="s">
        <v>94</v>
      </c>
    </row>
    <row r="3098" spans="1:70" x14ac:dyDescent="0.3">
      <c r="A3098" t="str">
        <f>"202214C0100"</f>
        <v>202214C0100</v>
      </c>
      <c r="B3098" t="s">
        <v>6427</v>
      </c>
      <c r="C3098">
        <v>20</v>
      </c>
      <c r="D3098" t="s">
        <v>88</v>
      </c>
      <c r="E3098">
        <v>515</v>
      </c>
      <c r="F3098" t="s">
        <v>6347</v>
      </c>
      <c r="G3098">
        <v>2214</v>
      </c>
      <c r="H3098">
        <v>1</v>
      </c>
      <c r="I3098" t="s">
        <v>98</v>
      </c>
      <c r="J3098">
        <v>0</v>
      </c>
      <c r="K3098">
        <v>1</v>
      </c>
      <c r="L3098">
        <v>5</v>
      </c>
      <c r="M3098">
        <v>196</v>
      </c>
      <c r="N3098">
        <v>468</v>
      </c>
      <c r="O3098">
        <v>5</v>
      </c>
      <c r="P3098">
        <v>468</v>
      </c>
      <c r="Q3098">
        <v>7</v>
      </c>
      <c r="R3098">
        <v>103</v>
      </c>
      <c r="S3098">
        <v>105</v>
      </c>
      <c r="T3098">
        <v>7</v>
      </c>
      <c r="U3098">
        <v>8</v>
      </c>
      <c r="V3098">
        <v>5</v>
      </c>
      <c r="X3098">
        <v>4</v>
      </c>
      <c r="Y3098">
        <v>194</v>
      </c>
      <c r="Z3098">
        <v>1</v>
      </c>
      <c r="AA3098">
        <v>0</v>
      </c>
      <c r="AB3098">
        <v>3</v>
      </c>
      <c r="AC3098">
        <v>0</v>
      </c>
      <c r="AD3098">
        <v>0</v>
      </c>
      <c r="AE3098">
        <v>0</v>
      </c>
      <c r="AF3098">
        <v>1</v>
      </c>
      <c r="AK3098">
        <v>7</v>
      </c>
      <c r="AL3098">
        <v>1</v>
      </c>
      <c r="AM3098">
        <v>0</v>
      </c>
      <c r="AN3098">
        <v>1</v>
      </c>
      <c r="AU3098">
        <v>1</v>
      </c>
      <c r="AZ3098">
        <v>11</v>
      </c>
      <c r="BC3098">
        <v>0</v>
      </c>
      <c r="BD3098">
        <v>10</v>
      </c>
      <c r="BE3098">
        <v>469</v>
      </c>
      <c r="BF3098">
        <v>469</v>
      </c>
      <c r="BG3098">
        <v>638</v>
      </c>
      <c r="BJ3098">
        <v>1</v>
      </c>
      <c r="BL3098" t="s">
        <v>6428</v>
      </c>
      <c r="BM3098" s="4">
        <v>43283.286111111112</v>
      </c>
      <c r="BN3098" s="4">
        <v>43283.320613425924</v>
      </c>
      <c r="BO3098" s="4">
        <v>43283.320613425924</v>
      </c>
      <c r="BP3098" t="s">
        <v>92</v>
      </c>
      <c r="BQ3098" t="s">
        <v>93</v>
      </c>
      <c r="BR3098" t="s">
        <v>94</v>
      </c>
    </row>
    <row r="3099" spans="1:70" x14ac:dyDescent="0.3">
      <c r="A3099" t="str">
        <f>"202214C0200"</f>
        <v>202214C0200</v>
      </c>
      <c r="B3099" t="s">
        <v>6429</v>
      </c>
      <c r="C3099">
        <v>20</v>
      </c>
      <c r="D3099" t="s">
        <v>88</v>
      </c>
      <c r="E3099">
        <v>515</v>
      </c>
      <c r="F3099" t="s">
        <v>6347</v>
      </c>
      <c r="G3099">
        <v>2214</v>
      </c>
      <c r="H3099">
        <v>2</v>
      </c>
      <c r="I3099" t="s">
        <v>98</v>
      </c>
      <c r="J3099">
        <v>0</v>
      </c>
      <c r="K3099">
        <v>1</v>
      </c>
      <c r="L3099">
        <v>5</v>
      </c>
      <c r="BG3099">
        <v>637</v>
      </c>
      <c r="BI3099" t="s">
        <v>122</v>
      </c>
      <c r="BJ3099">
        <v>0</v>
      </c>
      <c r="BL3099" t="s">
        <v>6430</v>
      </c>
      <c r="BM3099" s="4">
        <v>43283.688194444447</v>
      </c>
      <c r="BN3099" s="4">
        <v>43283.696805555555</v>
      </c>
      <c r="BO3099" s="4">
        <v>43283.696805555555</v>
      </c>
      <c r="BP3099" t="s">
        <v>92</v>
      </c>
      <c r="BQ3099" t="s">
        <v>93</v>
      </c>
      <c r="BR3099" t="s">
        <v>94</v>
      </c>
    </row>
    <row r="3100" spans="1:70" x14ac:dyDescent="0.3">
      <c r="A3100" t="str">
        <f>"202215B0100"</f>
        <v>202215B0100</v>
      </c>
      <c r="B3100" t="s">
        <v>6431</v>
      </c>
      <c r="C3100">
        <v>20</v>
      </c>
      <c r="D3100" t="s">
        <v>88</v>
      </c>
      <c r="E3100">
        <v>515</v>
      </c>
      <c r="F3100" t="s">
        <v>6347</v>
      </c>
      <c r="G3100">
        <v>2215</v>
      </c>
      <c r="H3100">
        <v>1</v>
      </c>
      <c r="I3100" t="s">
        <v>90</v>
      </c>
      <c r="J3100">
        <v>0</v>
      </c>
      <c r="K3100">
        <v>1</v>
      </c>
      <c r="L3100">
        <v>5</v>
      </c>
      <c r="M3100">
        <v>202</v>
      </c>
      <c r="N3100">
        <v>504</v>
      </c>
      <c r="O3100">
        <v>9</v>
      </c>
      <c r="P3100">
        <v>504</v>
      </c>
      <c r="Q3100">
        <v>8</v>
      </c>
      <c r="R3100">
        <v>62</v>
      </c>
      <c r="S3100">
        <v>177</v>
      </c>
      <c r="T3100">
        <v>11</v>
      </c>
      <c r="U3100">
        <v>11</v>
      </c>
      <c r="V3100">
        <v>5</v>
      </c>
      <c r="X3100">
        <v>2</v>
      </c>
      <c r="Y3100">
        <v>173</v>
      </c>
      <c r="Z3100">
        <v>9</v>
      </c>
      <c r="AA3100">
        <v>0</v>
      </c>
      <c r="AB3100">
        <v>9</v>
      </c>
      <c r="AC3100">
        <v>1</v>
      </c>
      <c r="AD3100">
        <v>0</v>
      </c>
      <c r="AE3100">
        <v>0</v>
      </c>
      <c r="AF3100">
        <v>2</v>
      </c>
      <c r="AK3100">
        <v>4</v>
      </c>
      <c r="AL3100">
        <v>1</v>
      </c>
      <c r="AM3100">
        <v>2</v>
      </c>
      <c r="AN3100">
        <v>3</v>
      </c>
      <c r="AU3100">
        <v>0</v>
      </c>
      <c r="AZ3100">
        <v>9</v>
      </c>
      <c r="BC3100">
        <v>0</v>
      </c>
      <c r="BD3100">
        <v>15</v>
      </c>
      <c r="BE3100">
        <v>504</v>
      </c>
      <c r="BF3100">
        <v>504</v>
      </c>
      <c r="BG3100">
        <v>683</v>
      </c>
      <c r="BJ3100">
        <v>1</v>
      </c>
      <c r="BL3100" t="s">
        <v>6432</v>
      </c>
      <c r="BM3100" s="4">
        <v>43283.292361111111</v>
      </c>
      <c r="BN3100" s="4">
        <v>43283.329733796294</v>
      </c>
      <c r="BO3100" s="4">
        <v>43283.329733796294</v>
      </c>
      <c r="BP3100" t="s">
        <v>92</v>
      </c>
      <c r="BQ3100" t="s">
        <v>93</v>
      </c>
      <c r="BR3100" t="s">
        <v>94</v>
      </c>
    </row>
    <row r="3101" spans="1:70" x14ac:dyDescent="0.3">
      <c r="A3101" t="str">
        <f>"202215C0100"</f>
        <v>202215C0100</v>
      </c>
      <c r="B3101" t="s">
        <v>6433</v>
      </c>
      <c r="C3101">
        <v>20</v>
      </c>
      <c r="D3101" t="s">
        <v>88</v>
      </c>
      <c r="E3101">
        <v>515</v>
      </c>
      <c r="F3101" t="s">
        <v>6347</v>
      </c>
      <c r="G3101">
        <v>2215</v>
      </c>
      <c r="H3101">
        <v>1</v>
      </c>
      <c r="I3101" t="s">
        <v>98</v>
      </c>
      <c r="J3101">
        <v>0</v>
      </c>
      <c r="K3101">
        <v>1</v>
      </c>
      <c r="L3101">
        <v>5</v>
      </c>
      <c r="BG3101">
        <v>683</v>
      </c>
      <c r="BI3101" t="s">
        <v>122</v>
      </c>
      <c r="BJ3101">
        <v>0</v>
      </c>
      <c r="BL3101" t="s">
        <v>6434</v>
      </c>
      <c r="BM3101" s="4">
        <v>43283.688888888886</v>
      </c>
      <c r="BN3101" s="4">
        <v>43283.697002314817</v>
      </c>
      <c r="BO3101" s="4">
        <v>43283.697002314817</v>
      </c>
      <c r="BP3101" t="s">
        <v>92</v>
      </c>
      <c r="BQ3101" t="s">
        <v>93</v>
      </c>
      <c r="BR3101" t="s">
        <v>94</v>
      </c>
    </row>
    <row r="3102" spans="1:70" x14ac:dyDescent="0.3">
      <c r="A3102" t="str">
        <f>"202215C0200"</f>
        <v>202215C0200</v>
      </c>
      <c r="B3102" t="s">
        <v>6435</v>
      </c>
      <c r="C3102">
        <v>20</v>
      </c>
      <c r="D3102" t="s">
        <v>88</v>
      </c>
      <c r="E3102">
        <v>515</v>
      </c>
      <c r="F3102" t="s">
        <v>6347</v>
      </c>
      <c r="G3102">
        <v>2215</v>
      </c>
      <c r="H3102">
        <v>2</v>
      </c>
      <c r="I3102" t="s">
        <v>98</v>
      </c>
      <c r="J3102">
        <v>0</v>
      </c>
      <c r="K3102">
        <v>1</v>
      </c>
      <c r="L3102">
        <v>5</v>
      </c>
      <c r="M3102">
        <v>189</v>
      </c>
      <c r="N3102">
        <v>517</v>
      </c>
      <c r="O3102">
        <v>5</v>
      </c>
      <c r="P3102">
        <v>517</v>
      </c>
      <c r="Q3102">
        <v>11</v>
      </c>
      <c r="R3102">
        <v>83</v>
      </c>
      <c r="S3102">
        <v>152</v>
      </c>
      <c r="T3102">
        <v>11</v>
      </c>
      <c r="U3102">
        <v>10</v>
      </c>
      <c r="V3102">
        <v>8</v>
      </c>
      <c r="X3102">
        <v>3</v>
      </c>
      <c r="Y3102">
        <v>188</v>
      </c>
      <c r="Z3102">
        <v>0</v>
      </c>
      <c r="AA3102">
        <v>0</v>
      </c>
      <c r="AB3102">
        <v>9</v>
      </c>
      <c r="AC3102">
        <v>0</v>
      </c>
      <c r="AD3102">
        <v>0</v>
      </c>
      <c r="AE3102">
        <v>0</v>
      </c>
      <c r="AF3102">
        <v>1</v>
      </c>
      <c r="AK3102">
        <v>4</v>
      </c>
      <c r="AL3102">
        <v>2</v>
      </c>
      <c r="AM3102">
        <v>4</v>
      </c>
      <c r="AN3102">
        <v>0</v>
      </c>
      <c r="AU3102">
        <v>1</v>
      </c>
      <c r="AZ3102">
        <v>11</v>
      </c>
      <c r="BC3102">
        <v>0</v>
      </c>
      <c r="BD3102">
        <v>19</v>
      </c>
      <c r="BE3102">
        <v>517</v>
      </c>
      <c r="BF3102">
        <v>517</v>
      </c>
      <c r="BG3102">
        <v>683</v>
      </c>
      <c r="BJ3102">
        <v>1</v>
      </c>
      <c r="BL3102" t="s">
        <v>6436</v>
      </c>
      <c r="BM3102" s="4">
        <v>43283.293055555558</v>
      </c>
      <c r="BN3102" s="4">
        <v>43283.33</v>
      </c>
      <c r="BO3102" s="4">
        <v>43283.33</v>
      </c>
      <c r="BP3102" t="s">
        <v>92</v>
      </c>
      <c r="BQ3102" t="s">
        <v>93</v>
      </c>
      <c r="BR3102" t="s">
        <v>94</v>
      </c>
    </row>
    <row r="3103" spans="1:70" x14ac:dyDescent="0.3">
      <c r="A3103" t="str">
        <f>"202216B0100"</f>
        <v>202216B0100</v>
      </c>
      <c r="B3103" t="s">
        <v>6437</v>
      </c>
      <c r="C3103">
        <v>20</v>
      </c>
      <c r="D3103" t="s">
        <v>88</v>
      </c>
      <c r="E3103">
        <v>515</v>
      </c>
      <c r="F3103" t="s">
        <v>6347</v>
      </c>
      <c r="G3103">
        <v>2216</v>
      </c>
      <c r="H3103">
        <v>1</v>
      </c>
      <c r="I3103" t="s">
        <v>90</v>
      </c>
      <c r="J3103">
        <v>0</v>
      </c>
      <c r="K3103">
        <v>1</v>
      </c>
      <c r="L3103">
        <v>5</v>
      </c>
      <c r="BG3103">
        <v>745</v>
      </c>
      <c r="BI3103" t="s">
        <v>122</v>
      </c>
      <c r="BJ3103">
        <v>0</v>
      </c>
      <c r="BL3103" t="s">
        <v>6438</v>
      </c>
      <c r="BM3103" s="4">
        <v>43283.688888888886</v>
      </c>
      <c r="BN3103" s="4">
        <v>43283.697152777779</v>
      </c>
      <c r="BO3103" s="4">
        <v>43283.697152777779</v>
      </c>
      <c r="BP3103" t="s">
        <v>92</v>
      </c>
      <c r="BQ3103" t="s">
        <v>93</v>
      </c>
      <c r="BR3103" t="s">
        <v>94</v>
      </c>
    </row>
    <row r="3104" spans="1:70" x14ac:dyDescent="0.3">
      <c r="A3104" t="str">
        <f>"202216C0100"</f>
        <v>202216C0100</v>
      </c>
      <c r="B3104" t="s">
        <v>6439</v>
      </c>
      <c r="C3104">
        <v>20</v>
      </c>
      <c r="D3104" t="s">
        <v>88</v>
      </c>
      <c r="E3104">
        <v>515</v>
      </c>
      <c r="F3104" t="s">
        <v>6347</v>
      </c>
      <c r="G3104">
        <v>2216</v>
      </c>
      <c r="H3104">
        <v>1</v>
      </c>
      <c r="I3104" t="s">
        <v>98</v>
      </c>
      <c r="J3104">
        <v>0</v>
      </c>
      <c r="K3104">
        <v>1</v>
      </c>
      <c r="L3104">
        <v>5</v>
      </c>
      <c r="BG3104">
        <v>745</v>
      </c>
      <c r="BI3104" t="s">
        <v>122</v>
      </c>
      <c r="BJ3104">
        <v>0</v>
      </c>
      <c r="BL3104" t="s">
        <v>6440</v>
      </c>
      <c r="BM3104" s="4">
        <v>43283.688888888886</v>
      </c>
      <c r="BN3104" s="4">
        <v>43283.697337962964</v>
      </c>
      <c r="BO3104" s="4">
        <v>43283.697337962964</v>
      </c>
      <c r="BP3104" t="s">
        <v>92</v>
      </c>
      <c r="BQ3104" t="s">
        <v>93</v>
      </c>
      <c r="BR3104" t="s">
        <v>94</v>
      </c>
    </row>
    <row r="3105" spans="1:70" x14ac:dyDescent="0.3">
      <c r="A3105" t="str">
        <f>"202217B0100"</f>
        <v>202217B0100</v>
      </c>
      <c r="B3105" t="s">
        <v>6441</v>
      </c>
      <c r="C3105">
        <v>20</v>
      </c>
      <c r="D3105" t="s">
        <v>88</v>
      </c>
      <c r="E3105">
        <v>515</v>
      </c>
      <c r="F3105" t="s">
        <v>6347</v>
      </c>
      <c r="G3105">
        <v>2217</v>
      </c>
      <c r="H3105">
        <v>1</v>
      </c>
      <c r="I3105" t="s">
        <v>90</v>
      </c>
      <c r="J3105">
        <v>0</v>
      </c>
      <c r="K3105">
        <v>1</v>
      </c>
      <c r="L3105">
        <v>5</v>
      </c>
      <c r="M3105">
        <v>188</v>
      </c>
      <c r="N3105">
        <v>538</v>
      </c>
      <c r="O3105">
        <v>4</v>
      </c>
      <c r="P3105">
        <v>538</v>
      </c>
      <c r="Q3105">
        <v>11</v>
      </c>
      <c r="R3105">
        <v>70</v>
      </c>
      <c r="S3105">
        <v>183</v>
      </c>
      <c r="T3105">
        <v>18</v>
      </c>
      <c r="U3105">
        <v>11</v>
      </c>
      <c r="V3105">
        <v>1</v>
      </c>
      <c r="X3105">
        <v>8</v>
      </c>
      <c r="Y3105">
        <v>176</v>
      </c>
      <c r="Z3105">
        <v>3</v>
      </c>
      <c r="AA3105">
        <v>1</v>
      </c>
      <c r="AB3105">
        <v>10</v>
      </c>
      <c r="AC3105">
        <v>1</v>
      </c>
      <c r="AD3105">
        <v>1</v>
      </c>
      <c r="AE3105">
        <v>0</v>
      </c>
      <c r="AF3105">
        <v>1</v>
      </c>
      <c r="AK3105">
        <v>3</v>
      </c>
      <c r="AL3105">
        <v>2</v>
      </c>
      <c r="AM3105">
        <v>0</v>
      </c>
      <c r="AN3105">
        <v>1</v>
      </c>
      <c r="AU3105">
        <v>2</v>
      </c>
      <c r="AZ3105">
        <v>21</v>
      </c>
      <c r="BC3105">
        <v>0</v>
      </c>
      <c r="BD3105">
        <v>14</v>
      </c>
      <c r="BE3105">
        <v>538</v>
      </c>
      <c r="BF3105">
        <v>538</v>
      </c>
      <c r="BG3105">
        <v>703</v>
      </c>
      <c r="BJ3105">
        <v>1</v>
      </c>
      <c r="BL3105" t="s">
        <v>6442</v>
      </c>
      <c r="BM3105" s="4">
        <v>43283.348611111112</v>
      </c>
      <c r="BN3105" s="4">
        <v>43283.372152777774</v>
      </c>
      <c r="BO3105" s="4">
        <v>43283.372152777774</v>
      </c>
      <c r="BP3105" t="s">
        <v>92</v>
      </c>
      <c r="BQ3105" t="s">
        <v>93</v>
      </c>
      <c r="BR3105" t="s">
        <v>94</v>
      </c>
    </row>
    <row r="3106" spans="1:70" x14ac:dyDescent="0.3">
      <c r="A3106" t="str">
        <f>"202217C0100"</f>
        <v>202217C0100</v>
      </c>
      <c r="B3106" t="s">
        <v>6443</v>
      </c>
      <c r="C3106">
        <v>20</v>
      </c>
      <c r="D3106" t="s">
        <v>88</v>
      </c>
      <c r="E3106">
        <v>515</v>
      </c>
      <c r="F3106" t="s">
        <v>6347</v>
      </c>
      <c r="G3106">
        <v>2217</v>
      </c>
      <c r="H3106">
        <v>1</v>
      </c>
      <c r="I3106" t="s">
        <v>98</v>
      </c>
      <c r="J3106">
        <v>0</v>
      </c>
      <c r="K3106">
        <v>1</v>
      </c>
      <c r="L3106">
        <v>5</v>
      </c>
      <c r="BG3106">
        <v>703</v>
      </c>
      <c r="BI3106" t="s">
        <v>122</v>
      </c>
      <c r="BJ3106">
        <v>0</v>
      </c>
      <c r="BL3106" t="s">
        <v>6444</v>
      </c>
      <c r="BM3106" s="4">
        <v>43283.688888888886</v>
      </c>
      <c r="BN3106" s="4">
        <v>43283.697858796295</v>
      </c>
      <c r="BO3106" s="4">
        <v>43283.697858796295</v>
      </c>
      <c r="BP3106" t="s">
        <v>92</v>
      </c>
      <c r="BQ3106" t="s">
        <v>93</v>
      </c>
      <c r="BR3106" t="s">
        <v>94</v>
      </c>
    </row>
    <row r="3107" spans="1:70" x14ac:dyDescent="0.3">
      <c r="A3107" t="str">
        <f>"202217C0200"</f>
        <v>202217C0200</v>
      </c>
      <c r="B3107" t="s">
        <v>6445</v>
      </c>
      <c r="C3107">
        <v>20</v>
      </c>
      <c r="D3107" t="s">
        <v>88</v>
      </c>
      <c r="E3107">
        <v>515</v>
      </c>
      <c r="F3107" t="s">
        <v>6347</v>
      </c>
      <c r="G3107">
        <v>2217</v>
      </c>
      <c r="H3107">
        <v>2</v>
      </c>
      <c r="I3107" t="s">
        <v>98</v>
      </c>
      <c r="J3107">
        <v>0</v>
      </c>
      <c r="K3107">
        <v>1</v>
      </c>
      <c r="L3107">
        <v>5</v>
      </c>
      <c r="BG3107">
        <v>702</v>
      </c>
      <c r="BI3107" t="s">
        <v>122</v>
      </c>
      <c r="BJ3107">
        <v>0</v>
      </c>
      <c r="BL3107" t="s">
        <v>6446</v>
      </c>
      <c r="BM3107" s="4">
        <v>43283.689583333333</v>
      </c>
      <c r="BN3107" s="4">
        <v>43283.697511574072</v>
      </c>
      <c r="BO3107" s="4">
        <v>43283.697511574072</v>
      </c>
      <c r="BP3107" t="s">
        <v>92</v>
      </c>
      <c r="BQ3107" t="s">
        <v>93</v>
      </c>
      <c r="BR3107" t="s">
        <v>94</v>
      </c>
    </row>
    <row r="3108" spans="1:70" x14ac:dyDescent="0.3">
      <c r="A3108" t="str">
        <f>"202218B0100"</f>
        <v>202218B0100</v>
      </c>
      <c r="B3108" t="s">
        <v>6447</v>
      </c>
      <c r="C3108">
        <v>20</v>
      </c>
      <c r="D3108" t="s">
        <v>88</v>
      </c>
      <c r="E3108">
        <v>515</v>
      </c>
      <c r="F3108" t="s">
        <v>6347</v>
      </c>
      <c r="G3108">
        <v>2218</v>
      </c>
      <c r="H3108">
        <v>1</v>
      </c>
      <c r="I3108" t="s">
        <v>90</v>
      </c>
      <c r="J3108">
        <v>0</v>
      </c>
      <c r="K3108">
        <v>1</v>
      </c>
      <c r="L3108">
        <v>5</v>
      </c>
      <c r="M3108">
        <v>221</v>
      </c>
      <c r="N3108">
        <v>485</v>
      </c>
      <c r="O3108">
        <v>10</v>
      </c>
      <c r="P3108">
        <v>485</v>
      </c>
      <c r="Q3108">
        <v>2</v>
      </c>
      <c r="R3108">
        <v>70</v>
      </c>
      <c r="S3108">
        <v>154</v>
      </c>
      <c r="T3108">
        <v>6</v>
      </c>
      <c r="U3108">
        <v>11</v>
      </c>
      <c r="V3108">
        <v>5</v>
      </c>
      <c r="X3108">
        <v>4</v>
      </c>
      <c r="Y3108">
        <v>179</v>
      </c>
      <c r="Z3108">
        <v>4</v>
      </c>
      <c r="AA3108">
        <v>1</v>
      </c>
      <c r="AB3108">
        <v>0</v>
      </c>
      <c r="AC3108">
        <v>4</v>
      </c>
      <c r="AD3108">
        <v>0</v>
      </c>
      <c r="AE3108">
        <v>0</v>
      </c>
      <c r="AF3108">
        <v>0</v>
      </c>
      <c r="AK3108">
        <v>6</v>
      </c>
      <c r="AL3108">
        <v>0</v>
      </c>
      <c r="AM3108">
        <v>0</v>
      </c>
      <c r="AN3108">
        <v>0</v>
      </c>
      <c r="AU3108">
        <v>2</v>
      </c>
      <c r="AZ3108">
        <v>11</v>
      </c>
      <c r="BC3108">
        <v>0</v>
      </c>
      <c r="BD3108">
        <v>25</v>
      </c>
      <c r="BE3108">
        <v>485</v>
      </c>
      <c r="BF3108">
        <v>484</v>
      </c>
      <c r="BG3108">
        <v>686</v>
      </c>
      <c r="BJ3108">
        <v>1</v>
      </c>
      <c r="BL3108" t="s">
        <v>6448</v>
      </c>
      <c r="BM3108" s="4">
        <v>43283.287499999999</v>
      </c>
      <c r="BN3108" s="4">
        <v>43283.321562500001</v>
      </c>
      <c r="BO3108" s="4">
        <v>43283.321562500001</v>
      </c>
      <c r="BP3108" t="s">
        <v>92</v>
      </c>
      <c r="BQ3108" t="s">
        <v>93</v>
      </c>
      <c r="BR3108" t="s">
        <v>94</v>
      </c>
    </row>
    <row r="3109" spans="1:70" x14ac:dyDescent="0.3">
      <c r="A3109" t="str">
        <f>"202218C0100"</f>
        <v>202218C0100</v>
      </c>
      <c r="B3109" t="s">
        <v>6449</v>
      </c>
      <c r="C3109">
        <v>20</v>
      </c>
      <c r="D3109" t="s">
        <v>88</v>
      </c>
      <c r="E3109">
        <v>515</v>
      </c>
      <c r="F3109" t="s">
        <v>6347</v>
      </c>
      <c r="G3109">
        <v>2218</v>
      </c>
      <c r="H3109">
        <v>1</v>
      </c>
      <c r="I3109" t="s">
        <v>98</v>
      </c>
      <c r="J3109">
        <v>0</v>
      </c>
      <c r="K3109">
        <v>1</v>
      </c>
      <c r="L3109">
        <v>5</v>
      </c>
      <c r="M3109">
        <v>238</v>
      </c>
      <c r="N3109">
        <v>471</v>
      </c>
      <c r="O3109">
        <v>3</v>
      </c>
      <c r="P3109">
        <v>471</v>
      </c>
      <c r="Q3109">
        <v>16</v>
      </c>
      <c r="R3109">
        <v>67</v>
      </c>
      <c r="S3109">
        <v>161</v>
      </c>
      <c r="T3109">
        <v>15</v>
      </c>
      <c r="U3109">
        <v>15</v>
      </c>
      <c r="V3109">
        <v>4</v>
      </c>
      <c r="X3109">
        <v>0</v>
      </c>
      <c r="Y3109">
        <v>165</v>
      </c>
      <c r="Z3109">
        <v>2</v>
      </c>
      <c r="AA3109">
        <v>0</v>
      </c>
      <c r="AB3109">
        <v>3</v>
      </c>
      <c r="AC3109">
        <v>1</v>
      </c>
      <c r="AD3109">
        <v>1</v>
      </c>
      <c r="AE3109" t="s">
        <v>105</v>
      </c>
      <c r="AF3109" t="s">
        <v>105</v>
      </c>
      <c r="AK3109">
        <v>1</v>
      </c>
      <c r="AL3109" t="s">
        <v>105</v>
      </c>
      <c r="AM3109" t="s">
        <v>105</v>
      </c>
      <c r="AN3109" t="s">
        <v>105</v>
      </c>
      <c r="AU3109" t="s">
        <v>105</v>
      </c>
      <c r="AZ3109">
        <v>5</v>
      </c>
      <c r="BC3109" t="s">
        <v>105</v>
      </c>
      <c r="BD3109">
        <v>36</v>
      </c>
      <c r="BE3109">
        <v>471</v>
      </c>
      <c r="BF3109">
        <v>492</v>
      </c>
      <c r="BG3109">
        <v>686</v>
      </c>
      <c r="BI3109" t="s">
        <v>106</v>
      </c>
      <c r="BJ3109">
        <v>1</v>
      </c>
      <c r="BL3109" t="s">
        <v>6450</v>
      </c>
      <c r="BM3109" s="4">
        <v>43283.286111111112</v>
      </c>
      <c r="BN3109" s="4">
        <v>43283.314664351848</v>
      </c>
      <c r="BO3109" s="4">
        <v>43283.314664351848</v>
      </c>
      <c r="BP3109" t="s">
        <v>92</v>
      </c>
      <c r="BQ3109" t="s">
        <v>93</v>
      </c>
      <c r="BR3109" t="s">
        <v>94</v>
      </c>
    </row>
    <row r="3110" spans="1:70" x14ac:dyDescent="0.3">
      <c r="A3110" t="str">
        <f>"202218C0200"</f>
        <v>202218C0200</v>
      </c>
      <c r="B3110" t="s">
        <v>6451</v>
      </c>
      <c r="C3110">
        <v>20</v>
      </c>
      <c r="D3110" t="s">
        <v>88</v>
      </c>
      <c r="E3110">
        <v>515</v>
      </c>
      <c r="F3110" t="s">
        <v>6347</v>
      </c>
      <c r="G3110">
        <v>2218</v>
      </c>
      <c r="H3110">
        <v>2</v>
      </c>
      <c r="I3110" t="s">
        <v>98</v>
      </c>
      <c r="J3110">
        <v>0</v>
      </c>
      <c r="K3110">
        <v>1</v>
      </c>
      <c r="L3110">
        <v>5</v>
      </c>
      <c r="BG3110">
        <v>686</v>
      </c>
      <c r="BI3110" t="s">
        <v>122</v>
      </c>
      <c r="BJ3110">
        <v>0</v>
      </c>
      <c r="BL3110" t="s">
        <v>6452</v>
      </c>
      <c r="BM3110" s="4">
        <v>43283.689583333333</v>
      </c>
      <c r="BN3110" s="4">
        <v>43283.697384259256</v>
      </c>
      <c r="BO3110" s="4">
        <v>43283.697384259256</v>
      </c>
      <c r="BP3110" t="s">
        <v>92</v>
      </c>
      <c r="BQ3110" t="s">
        <v>93</v>
      </c>
      <c r="BR3110" t="s">
        <v>94</v>
      </c>
    </row>
    <row r="3111" spans="1:70" x14ac:dyDescent="0.3">
      <c r="A3111" t="str">
        <f>"202218C0300"</f>
        <v>202218C0300</v>
      </c>
      <c r="B3111" t="s">
        <v>6453</v>
      </c>
      <c r="C3111">
        <v>20</v>
      </c>
      <c r="D3111" t="s">
        <v>88</v>
      </c>
      <c r="E3111">
        <v>515</v>
      </c>
      <c r="F3111" t="s">
        <v>6347</v>
      </c>
      <c r="G3111">
        <v>2218</v>
      </c>
      <c r="H3111">
        <v>3</v>
      </c>
      <c r="I3111" t="s">
        <v>98</v>
      </c>
      <c r="J3111">
        <v>0</v>
      </c>
      <c r="K3111">
        <v>1</v>
      </c>
      <c r="L3111">
        <v>5</v>
      </c>
      <c r="M3111">
        <v>213</v>
      </c>
      <c r="N3111">
        <v>496</v>
      </c>
      <c r="O3111">
        <v>15</v>
      </c>
      <c r="P3111">
        <v>496</v>
      </c>
      <c r="Q3111">
        <v>3</v>
      </c>
      <c r="R3111">
        <v>63</v>
      </c>
      <c r="S3111">
        <v>184</v>
      </c>
      <c r="T3111">
        <v>13</v>
      </c>
      <c r="U3111">
        <v>8</v>
      </c>
      <c r="V3111">
        <v>4</v>
      </c>
      <c r="X3111">
        <v>3</v>
      </c>
      <c r="Y3111">
        <v>177</v>
      </c>
      <c r="Z3111">
        <v>4</v>
      </c>
      <c r="AA3111">
        <v>0</v>
      </c>
      <c r="AB3111">
        <v>5</v>
      </c>
      <c r="AC3111">
        <v>0</v>
      </c>
      <c r="AD3111">
        <v>0</v>
      </c>
      <c r="AE3111">
        <v>0</v>
      </c>
      <c r="AF3111">
        <v>1</v>
      </c>
      <c r="AK3111">
        <v>2</v>
      </c>
      <c r="AL3111">
        <v>0</v>
      </c>
      <c r="AM3111">
        <v>0</v>
      </c>
      <c r="AN3111">
        <v>0</v>
      </c>
      <c r="AU3111">
        <v>0</v>
      </c>
      <c r="AZ3111">
        <v>9</v>
      </c>
      <c r="BC3111">
        <v>0</v>
      </c>
      <c r="BD3111">
        <v>20</v>
      </c>
      <c r="BE3111">
        <v>496</v>
      </c>
      <c r="BF3111">
        <v>496</v>
      </c>
      <c r="BG3111">
        <v>686</v>
      </c>
      <c r="BJ3111">
        <v>1</v>
      </c>
      <c r="BL3111" t="s">
        <v>6454</v>
      </c>
      <c r="BM3111" s="4">
        <v>43283.286111111112</v>
      </c>
      <c r="BN3111" s="4">
        <v>43283.316030092596</v>
      </c>
      <c r="BO3111" s="4">
        <v>43283.316030092596</v>
      </c>
      <c r="BP3111" t="s">
        <v>92</v>
      </c>
      <c r="BQ3111" t="s">
        <v>93</v>
      </c>
      <c r="BR3111" t="s">
        <v>94</v>
      </c>
    </row>
    <row r="3112" spans="1:70" x14ac:dyDescent="0.3">
      <c r="A3112" t="str">
        <f>"202218C0400"</f>
        <v>202218C0400</v>
      </c>
      <c r="B3112" t="s">
        <v>6455</v>
      </c>
      <c r="C3112">
        <v>20</v>
      </c>
      <c r="D3112" t="s">
        <v>88</v>
      </c>
      <c r="E3112">
        <v>515</v>
      </c>
      <c r="F3112" t="s">
        <v>6347</v>
      </c>
      <c r="G3112">
        <v>2218</v>
      </c>
      <c r="H3112">
        <v>4</v>
      </c>
      <c r="I3112" t="s">
        <v>98</v>
      </c>
      <c r="J3112">
        <v>0</v>
      </c>
      <c r="K3112">
        <v>1</v>
      </c>
      <c r="L3112">
        <v>5</v>
      </c>
      <c r="BG3112">
        <v>685</v>
      </c>
      <c r="BI3112" t="s">
        <v>122</v>
      </c>
      <c r="BJ3112">
        <v>0</v>
      </c>
      <c r="BL3112" t="s">
        <v>6456</v>
      </c>
      <c r="BM3112" s="4">
        <v>43283.689583333333</v>
      </c>
      <c r="BN3112" s="4">
        <v>43283.697731481479</v>
      </c>
      <c r="BO3112" s="4">
        <v>43283.697731481479</v>
      </c>
      <c r="BP3112" t="s">
        <v>92</v>
      </c>
      <c r="BQ3112" t="s">
        <v>93</v>
      </c>
      <c r="BR3112" t="s">
        <v>94</v>
      </c>
    </row>
    <row r="3113" spans="1:70" x14ac:dyDescent="0.3">
      <c r="A3113" t="str">
        <f>"202219B0100"</f>
        <v>202219B0100</v>
      </c>
      <c r="B3113" t="s">
        <v>6457</v>
      </c>
      <c r="C3113">
        <v>20</v>
      </c>
      <c r="D3113" t="s">
        <v>88</v>
      </c>
      <c r="E3113">
        <v>515</v>
      </c>
      <c r="F3113" t="s">
        <v>6347</v>
      </c>
      <c r="G3113">
        <v>2219</v>
      </c>
      <c r="H3113">
        <v>1</v>
      </c>
      <c r="I3113" t="s">
        <v>90</v>
      </c>
      <c r="J3113">
        <v>0</v>
      </c>
      <c r="K3113">
        <v>1</v>
      </c>
      <c r="L3113">
        <v>5</v>
      </c>
      <c r="BG3113">
        <v>748</v>
      </c>
      <c r="BI3113" t="s">
        <v>122</v>
      </c>
      <c r="BJ3113">
        <v>0</v>
      </c>
      <c r="BL3113" t="s">
        <v>6458</v>
      </c>
      <c r="BM3113" s="4">
        <v>43283.689583333333</v>
      </c>
      <c r="BN3113" s="4">
        <v>43283.697581018518</v>
      </c>
      <c r="BO3113" s="4">
        <v>43283.697581018518</v>
      </c>
      <c r="BP3113" t="s">
        <v>92</v>
      </c>
      <c r="BQ3113" t="s">
        <v>93</v>
      </c>
      <c r="BR3113" t="s">
        <v>94</v>
      </c>
    </row>
    <row r="3114" spans="1:70" x14ac:dyDescent="0.3">
      <c r="A3114" t="str">
        <f>"202219C0100"</f>
        <v>202219C0100</v>
      </c>
      <c r="B3114" t="s">
        <v>6459</v>
      </c>
      <c r="C3114">
        <v>20</v>
      </c>
      <c r="D3114" t="s">
        <v>88</v>
      </c>
      <c r="E3114">
        <v>515</v>
      </c>
      <c r="F3114" t="s">
        <v>6347</v>
      </c>
      <c r="G3114">
        <v>2219</v>
      </c>
      <c r="H3114">
        <v>1</v>
      </c>
      <c r="I3114" t="s">
        <v>98</v>
      </c>
      <c r="J3114">
        <v>0</v>
      </c>
      <c r="K3114">
        <v>1</v>
      </c>
      <c r="L3114">
        <v>5</v>
      </c>
      <c r="M3114">
        <v>245</v>
      </c>
      <c r="N3114">
        <v>525</v>
      </c>
      <c r="O3114">
        <v>9</v>
      </c>
      <c r="P3114">
        <v>0</v>
      </c>
      <c r="Q3114">
        <v>8</v>
      </c>
      <c r="R3114">
        <v>65</v>
      </c>
      <c r="S3114">
        <v>146</v>
      </c>
      <c r="T3114">
        <v>15</v>
      </c>
      <c r="U3114">
        <v>9</v>
      </c>
      <c r="V3114">
        <v>7</v>
      </c>
      <c r="X3114">
        <v>2</v>
      </c>
      <c r="Y3114">
        <v>225</v>
      </c>
      <c r="Z3114">
        <v>5</v>
      </c>
      <c r="AA3114">
        <v>0</v>
      </c>
      <c r="AB3114">
        <v>5</v>
      </c>
      <c r="AC3114">
        <v>1</v>
      </c>
      <c r="AD3114">
        <v>1</v>
      </c>
      <c r="AE3114">
        <v>0</v>
      </c>
      <c r="AF3114">
        <v>1</v>
      </c>
      <c r="AK3114">
        <v>6</v>
      </c>
      <c r="AL3114">
        <v>1</v>
      </c>
      <c r="AM3114">
        <v>0</v>
      </c>
      <c r="AN3114">
        <v>0</v>
      </c>
      <c r="AU3114">
        <v>1</v>
      </c>
      <c r="AZ3114">
        <v>18</v>
      </c>
      <c r="BC3114">
        <v>1</v>
      </c>
      <c r="BD3114">
        <v>9</v>
      </c>
      <c r="BE3114">
        <v>516</v>
      </c>
      <c r="BF3114">
        <v>526</v>
      </c>
      <c r="BG3114">
        <v>747</v>
      </c>
      <c r="BJ3114">
        <v>1</v>
      </c>
      <c r="BL3114" t="s">
        <v>6460</v>
      </c>
      <c r="BM3114" s="4">
        <v>43283.45416666667</v>
      </c>
      <c r="BN3114" s="4">
        <v>43283.464594907404</v>
      </c>
      <c r="BO3114" s="4">
        <v>43283.464594907404</v>
      </c>
      <c r="BP3114" t="s">
        <v>92</v>
      </c>
      <c r="BQ3114" t="s">
        <v>93</v>
      </c>
      <c r="BR3114" t="s">
        <v>94</v>
      </c>
    </row>
    <row r="3115" spans="1:70" x14ac:dyDescent="0.3">
      <c r="A3115" t="str">
        <f>"202219C0200"</f>
        <v>202219C0200</v>
      </c>
      <c r="B3115" t="s">
        <v>6461</v>
      </c>
      <c r="C3115">
        <v>20</v>
      </c>
      <c r="D3115" t="s">
        <v>88</v>
      </c>
      <c r="E3115">
        <v>515</v>
      </c>
      <c r="F3115" t="s">
        <v>6347</v>
      </c>
      <c r="G3115">
        <v>2219</v>
      </c>
      <c r="H3115">
        <v>2</v>
      </c>
      <c r="I3115" t="s">
        <v>98</v>
      </c>
      <c r="J3115">
        <v>0</v>
      </c>
      <c r="K3115">
        <v>1</v>
      </c>
      <c r="L3115">
        <v>5</v>
      </c>
      <c r="BG3115">
        <v>747</v>
      </c>
      <c r="BI3115" t="s">
        <v>122</v>
      </c>
      <c r="BJ3115">
        <v>0</v>
      </c>
      <c r="BL3115" t="s">
        <v>6462</v>
      </c>
      <c r="BM3115" s="4">
        <v>43283.69027777778</v>
      </c>
      <c r="BN3115" s="4">
        <v>43283.697881944441</v>
      </c>
      <c r="BO3115" s="4">
        <v>43283.697881944441</v>
      </c>
      <c r="BP3115" t="s">
        <v>92</v>
      </c>
      <c r="BQ3115" t="s">
        <v>93</v>
      </c>
      <c r="BR3115" t="s">
        <v>94</v>
      </c>
    </row>
    <row r="3116" spans="1:70" x14ac:dyDescent="0.3">
      <c r="A3116" t="str">
        <f>"202219C0300"</f>
        <v>202219C0300</v>
      </c>
      <c r="B3116" t="s">
        <v>6463</v>
      </c>
      <c r="C3116">
        <v>20</v>
      </c>
      <c r="D3116" t="s">
        <v>88</v>
      </c>
      <c r="E3116">
        <v>515</v>
      </c>
      <c r="F3116" t="s">
        <v>6347</v>
      </c>
      <c r="G3116">
        <v>2219</v>
      </c>
      <c r="H3116">
        <v>3</v>
      </c>
      <c r="I3116" t="s">
        <v>98</v>
      </c>
      <c r="J3116">
        <v>0</v>
      </c>
      <c r="K3116">
        <v>1</v>
      </c>
      <c r="L3116">
        <v>5</v>
      </c>
      <c r="BG3116">
        <v>747</v>
      </c>
      <c r="BI3116" t="s">
        <v>122</v>
      </c>
      <c r="BJ3116">
        <v>0</v>
      </c>
      <c r="BL3116" t="s">
        <v>6464</v>
      </c>
      <c r="BM3116" s="4">
        <v>43283.69027777778</v>
      </c>
      <c r="BN3116" s="4">
        <v>43283.697696759256</v>
      </c>
      <c r="BO3116" s="4">
        <v>43283.697696759256</v>
      </c>
      <c r="BP3116" t="s">
        <v>92</v>
      </c>
      <c r="BQ3116" t="s">
        <v>93</v>
      </c>
      <c r="BR3116" t="s">
        <v>94</v>
      </c>
    </row>
    <row r="3117" spans="1:70" x14ac:dyDescent="0.3">
      <c r="A3117" t="str">
        <f>"202219C0400"</f>
        <v>202219C0400</v>
      </c>
      <c r="B3117" t="s">
        <v>6465</v>
      </c>
      <c r="C3117">
        <v>20</v>
      </c>
      <c r="D3117" t="s">
        <v>88</v>
      </c>
      <c r="E3117">
        <v>515</v>
      </c>
      <c r="F3117" t="s">
        <v>6347</v>
      </c>
      <c r="G3117">
        <v>2219</v>
      </c>
      <c r="H3117">
        <v>4</v>
      </c>
      <c r="I3117" t="s">
        <v>98</v>
      </c>
      <c r="J3117">
        <v>0</v>
      </c>
      <c r="K3117">
        <v>1</v>
      </c>
      <c r="L3117">
        <v>5</v>
      </c>
      <c r="M3117">
        <v>279</v>
      </c>
      <c r="N3117">
        <v>491</v>
      </c>
      <c r="O3117">
        <v>5</v>
      </c>
      <c r="P3117">
        <v>491</v>
      </c>
      <c r="Q3117">
        <v>13</v>
      </c>
      <c r="R3117">
        <v>64</v>
      </c>
      <c r="S3117">
        <v>161</v>
      </c>
      <c r="T3117">
        <v>5</v>
      </c>
      <c r="U3117">
        <v>8</v>
      </c>
      <c r="V3117">
        <v>6</v>
      </c>
      <c r="X3117">
        <v>1</v>
      </c>
      <c r="Y3117">
        <v>190</v>
      </c>
      <c r="Z3117">
        <v>2</v>
      </c>
      <c r="AA3117">
        <v>0</v>
      </c>
      <c r="AB3117">
        <v>9</v>
      </c>
      <c r="AC3117">
        <v>3</v>
      </c>
      <c r="AD3117">
        <v>2</v>
      </c>
      <c r="AE3117">
        <v>0</v>
      </c>
      <c r="AF3117">
        <v>0</v>
      </c>
      <c r="AK3117">
        <v>5</v>
      </c>
      <c r="AL3117">
        <v>0</v>
      </c>
      <c r="AM3117">
        <v>1</v>
      </c>
      <c r="AN3117">
        <v>0</v>
      </c>
      <c r="AU3117">
        <v>0</v>
      </c>
      <c r="AZ3117">
        <v>4</v>
      </c>
      <c r="BC3117">
        <v>0</v>
      </c>
      <c r="BD3117">
        <v>17</v>
      </c>
      <c r="BE3117">
        <v>491</v>
      </c>
      <c r="BF3117">
        <v>491</v>
      </c>
      <c r="BG3117">
        <v>747</v>
      </c>
      <c r="BJ3117">
        <v>1</v>
      </c>
      <c r="BL3117" t="s">
        <v>6466</v>
      </c>
      <c r="BM3117" s="4">
        <v>43283.454861111109</v>
      </c>
      <c r="BN3117" s="4">
        <v>43283.467511574076</v>
      </c>
      <c r="BO3117" s="4">
        <v>43283.467511574076</v>
      </c>
      <c r="BP3117" t="s">
        <v>92</v>
      </c>
      <c r="BQ3117" t="s">
        <v>93</v>
      </c>
      <c r="BR3117" t="s">
        <v>94</v>
      </c>
    </row>
    <row r="3118" spans="1:70" x14ac:dyDescent="0.3">
      <c r="A3118" t="str">
        <f>"202220B0100"</f>
        <v>202220B0100</v>
      </c>
      <c r="B3118" t="s">
        <v>6467</v>
      </c>
      <c r="C3118">
        <v>20</v>
      </c>
      <c r="D3118" t="s">
        <v>88</v>
      </c>
      <c r="E3118">
        <v>515</v>
      </c>
      <c r="F3118" t="s">
        <v>6347</v>
      </c>
      <c r="G3118">
        <v>2220</v>
      </c>
      <c r="H3118">
        <v>1</v>
      </c>
      <c r="I3118" t="s">
        <v>90</v>
      </c>
      <c r="J3118">
        <v>0</v>
      </c>
      <c r="K3118">
        <v>1</v>
      </c>
      <c r="L3118">
        <v>5</v>
      </c>
      <c r="BG3118">
        <v>537</v>
      </c>
      <c r="BI3118" t="s">
        <v>122</v>
      </c>
      <c r="BJ3118">
        <v>0</v>
      </c>
      <c r="BL3118" t="s">
        <v>6468</v>
      </c>
      <c r="BM3118" s="4">
        <v>43283.690972222219</v>
      </c>
      <c r="BN3118" s="4">
        <v>43283.698101851849</v>
      </c>
      <c r="BO3118" s="4">
        <v>43283.698101851849</v>
      </c>
      <c r="BP3118" t="s">
        <v>92</v>
      </c>
      <c r="BQ3118" t="s">
        <v>93</v>
      </c>
      <c r="BR3118" t="s">
        <v>94</v>
      </c>
    </row>
    <row r="3119" spans="1:70" x14ac:dyDescent="0.3">
      <c r="A3119" t="str">
        <f>"202220C0100"</f>
        <v>202220C0100</v>
      </c>
      <c r="B3119" t="s">
        <v>6469</v>
      </c>
      <c r="C3119">
        <v>20</v>
      </c>
      <c r="D3119" t="s">
        <v>88</v>
      </c>
      <c r="E3119">
        <v>515</v>
      </c>
      <c r="F3119" t="s">
        <v>6347</v>
      </c>
      <c r="G3119">
        <v>2220</v>
      </c>
      <c r="H3119">
        <v>1</v>
      </c>
      <c r="I3119" t="s">
        <v>98</v>
      </c>
      <c r="J3119">
        <v>0</v>
      </c>
      <c r="K3119">
        <v>1</v>
      </c>
      <c r="L3119">
        <v>5</v>
      </c>
      <c r="M3119">
        <v>157</v>
      </c>
      <c r="N3119">
        <v>403</v>
      </c>
      <c r="O3119">
        <v>6</v>
      </c>
      <c r="P3119">
        <v>406</v>
      </c>
      <c r="Q3119">
        <v>12</v>
      </c>
      <c r="R3119">
        <v>61</v>
      </c>
      <c r="S3119">
        <v>111</v>
      </c>
      <c r="T3119">
        <v>14</v>
      </c>
      <c r="U3119">
        <v>4</v>
      </c>
      <c r="V3119">
        <v>6</v>
      </c>
      <c r="X3119">
        <v>0</v>
      </c>
      <c r="Y3119">
        <v>174</v>
      </c>
      <c r="Z3119">
        <v>3</v>
      </c>
      <c r="AA3119">
        <v>0</v>
      </c>
      <c r="AB3119">
        <v>7</v>
      </c>
      <c r="AC3119">
        <v>1</v>
      </c>
      <c r="AD3119">
        <v>0</v>
      </c>
      <c r="AE3119">
        <v>1</v>
      </c>
      <c r="AF3119">
        <v>0</v>
      </c>
      <c r="AK3119">
        <v>2</v>
      </c>
      <c r="AL3119">
        <v>2</v>
      </c>
      <c r="AM3119">
        <v>0</v>
      </c>
      <c r="AN3119">
        <v>0</v>
      </c>
      <c r="AU3119">
        <v>0</v>
      </c>
      <c r="AZ3119">
        <v>1</v>
      </c>
      <c r="BC3119">
        <v>0</v>
      </c>
      <c r="BD3119">
        <v>9</v>
      </c>
      <c r="BE3119">
        <v>408</v>
      </c>
      <c r="BF3119">
        <v>408</v>
      </c>
      <c r="BG3119">
        <v>537</v>
      </c>
      <c r="BJ3119">
        <v>1</v>
      </c>
      <c r="BL3119" t="s">
        <v>6470</v>
      </c>
      <c r="BM3119" s="4">
        <v>43283.45416666667</v>
      </c>
      <c r="BN3119" s="4">
        <v>43283.467581018522</v>
      </c>
      <c r="BO3119" s="4">
        <v>43283.467581018522</v>
      </c>
      <c r="BP3119" t="s">
        <v>92</v>
      </c>
      <c r="BQ3119" t="s">
        <v>93</v>
      </c>
      <c r="BR3119" t="s">
        <v>94</v>
      </c>
    </row>
    <row r="3120" spans="1:70" x14ac:dyDescent="0.3">
      <c r="A3120" t="str">
        <f>"202220C0200"</f>
        <v>202220C0200</v>
      </c>
      <c r="B3120" t="s">
        <v>6471</v>
      </c>
      <c r="C3120">
        <v>20</v>
      </c>
      <c r="D3120" t="s">
        <v>88</v>
      </c>
      <c r="E3120">
        <v>515</v>
      </c>
      <c r="F3120" t="s">
        <v>6347</v>
      </c>
      <c r="G3120">
        <v>2220</v>
      </c>
      <c r="H3120">
        <v>2</v>
      </c>
      <c r="I3120" t="s">
        <v>98</v>
      </c>
      <c r="J3120">
        <v>0</v>
      </c>
      <c r="K3120">
        <v>1</v>
      </c>
      <c r="L3120">
        <v>5</v>
      </c>
      <c r="M3120">
        <v>194</v>
      </c>
      <c r="N3120">
        <v>366</v>
      </c>
      <c r="O3120">
        <v>1</v>
      </c>
      <c r="P3120">
        <v>365</v>
      </c>
      <c r="Q3120">
        <v>14</v>
      </c>
      <c r="R3120">
        <v>67</v>
      </c>
      <c r="S3120">
        <v>94</v>
      </c>
      <c r="T3120">
        <v>13</v>
      </c>
      <c r="U3120">
        <v>3</v>
      </c>
      <c r="V3120">
        <v>5</v>
      </c>
      <c r="X3120">
        <v>1</v>
      </c>
      <c r="Y3120">
        <v>135</v>
      </c>
      <c r="Z3120">
        <v>3</v>
      </c>
      <c r="AA3120">
        <v>1</v>
      </c>
      <c r="AB3120">
        <v>9</v>
      </c>
      <c r="AC3120" t="s">
        <v>105</v>
      </c>
      <c r="AD3120" t="s">
        <v>105</v>
      </c>
      <c r="AE3120" t="s">
        <v>105</v>
      </c>
      <c r="AF3120" t="s">
        <v>105</v>
      </c>
      <c r="AK3120">
        <v>4</v>
      </c>
      <c r="AL3120" t="s">
        <v>105</v>
      </c>
      <c r="AM3120" t="s">
        <v>105</v>
      </c>
      <c r="AN3120" t="s">
        <v>105</v>
      </c>
      <c r="AU3120" t="s">
        <v>105</v>
      </c>
      <c r="AZ3120">
        <v>11</v>
      </c>
      <c r="BC3120" t="s">
        <v>105</v>
      </c>
      <c r="BD3120">
        <v>5</v>
      </c>
      <c r="BE3120">
        <v>365</v>
      </c>
      <c r="BF3120">
        <v>365</v>
      </c>
      <c r="BG3120">
        <v>537</v>
      </c>
      <c r="BI3120" t="s">
        <v>106</v>
      </c>
      <c r="BJ3120">
        <v>1</v>
      </c>
      <c r="BL3120" t="s">
        <v>6472</v>
      </c>
      <c r="BM3120" s="4">
        <v>43283.453472222223</v>
      </c>
      <c r="BN3120" s="4">
        <v>43283.465474537035</v>
      </c>
      <c r="BO3120" s="4">
        <v>43283.465474537035</v>
      </c>
      <c r="BP3120" t="s">
        <v>92</v>
      </c>
      <c r="BQ3120" t="s">
        <v>93</v>
      </c>
      <c r="BR3120" t="s">
        <v>94</v>
      </c>
    </row>
    <row r="3121" spans="1:70" x14ac:dyDescent="0.3">
      <c r="A3121" t="str">
        <f>"202221B0100"</f>
        <v>202221B0100</v>
      </c>
      <c r="B3121" t="s">
        <v>6473</v>
      </c>
      <c r="C3121">
        <v>20</v>
      </c>
      <c r="D3121" t="s">
        <v>88</v>
      </c>
      <c r="E3121">
        <v>515</v>
      </c>
      <c r="F3121" t="s">
        <v>6347</v>
      </c>
      <c r="G3121">
        <v>2221</v>
      </c>
      <c r="H3121">
        <v>1</v>
      </c>
      <c r="I3121" t="s">
        <v>90</v>
      </c>
      <c r="J3121">
        <v>0</v>
      </c>
      <c r="K3121">
        <v>1</v>
      </c>
      <c r="L3121">
        <v>5</v>
      </c>
      <c r="BG3121">
        <v>624</v>
      </c>
      <c r="BI3121" t="s">
        <v>122</v>
      </c>
      <c r="BJ3121">
        <v>0</v>
      </c>
      <c r="BL3121" t="s">
        <v>6474</v>
      </c>
      <c r="BM3121" s="4">
        <v>43283.690972222219</v>
      </c>
      <c r="BN3121" s="4">
        <v>43283.698078703703</v>
      </c>
      <c r="BO3121" s="4">
        <v>43283.698078703703</v>
      </c>
      <c r="BP3121" t="s">
        <v>92</v>
      </c>
      <c r="BQ3121" t="s">
        <v>93</v>
      </c>
      <c r="BR3121" t="s">
        <v>94</v>
      </c>
    </row>
    <row r="3122" spans="1:70" x14ac:dyDescent="0.3">
      <c r="A3122" t="str">
        <f>"202221C0100"</f>
        <v>202221C0100</v>
      </c>
      <c r="B3122" t="s">
        <v>6475</v>
      </c>
      <c r="C3122">
        <v>20</v>
      </c>
      <c r="D3122" t="s">
        <v>88</v>
      </c>
      <c r="E3122">
        <v>515</v>
      </c>
      <c r="F3122" t="s">
        <v>6347</v>
      </c>
      <c r="G3122">
        <v>2221</v>
      </c>
      <c r="H3122">
        <v>1</v>
      </c>
      <c r="I3122" t="s">
        <v>98</v>
      </c>
      <c r="J3122">
        <v>0</v>
      </c>
      <c r="K3122">
        <v>1</v>
      </c>
      <c r="L3122">
        <v>5</v>
      </c>
      <c r="BG3122">
        <v>623</v>
      </c>
      <c r="BI3122" t="s">
        <v>122</v>
      </c>
      <c r="BJ3122">
        <v>0</v>
      </c>
      <c r="BL3122" t="s">
        <v>6476</v>
      </c>
      <c r="BM3122" s="4">
        <v>43283.690972222219</v>
      </c>
      <c r="BN3122" s="4">
        <v>43283.697928240741</v>
      </c>
      <c r="BO3122" s="4">
        <v>43283.697928240741</v>
      </c>
      <c r="BP3122" t="s">
        <v>92</v>
      </c>
      <c r="BQ3122" t="s">
        <v>93</v>
      </c>
      <c r="BR3122" t="s">
        <v>94</v>
      </c>
    </row>
    <row r="3123" spans="1:70" x14ac:dyDescent="0.3">
      <c r="A3123" t="str">
        <f>"202221C0200"</f>
        <v>202221C0200</v>
      </c>
      <c r="B3123" t="s">
        <v>6477</v>
      </c>
      <c r="C3123">
        <v>20</v>
      </c>
      <c r="D3123" t="s">
        <v>88</v>
      </c>
      <c r="E3123">
        <v>515</v>
      </c>
      <c r="F3123" t="s">
        <v>6347</v>
      </c>
      <c r="G3123">
        <v>2221</v>
      </c>
      <c r="H3123">
        <v>2</v>
      </c>
      <c r="I3123" t="s">
        <v>98</v>
      </c>
      <c r="J3123">
        <v>0</v>
      </c>
      <c r="K3123">
        <v>1</v>
      </c>
      <c r="L3123">
        <v>5</v>
      </c>
      <c r="BG3123">
        <v>623</v>
      </c>
      <c r="BI3123" t="s">
        <v>122</v>
      </c>
      <c r="BJ3123">
        <v>0</v>
      </c>
      <c r="BL3123" t="s">
        <v>6478</v>
      </c>
      <c r="BM3123" s="4">
        <v>43283.690972222219</v>
      </c>
      <c r="BN3123" s="4">
        <v>43283.698263888888</v>
      </c>
      <c r="BO3123" s="4">
        <v>43283.698263888888</v>
      </c>
      <c r="BP3123" t="s">
        <v>92</v>
      </c>
      <c r="BQ3123" t="s">
        <v>93</v>
      </c>
      <c r="BR3123" t="s">
        <v>94</v>
      </c>
    </row>
    <row r="3124" spans="1:70" x14ac:dyDescent="0.3">
      <c r="A3124" t="str">
        <f>"202222B0100"</f>
        <v>202222B0100</v>
      </c>
      <c r="B3124" t="s">
        <v>6479</v>
      </c>
      <c r="C3124">
        <v>20</v>
      </c>
      <c r="D3124" t="s">
        <v>88</v>
      </c>
      <c r="E3124">
        <v>515</v>
      </c>
      <c r="F3124" t="s">
        <v>6347</v>
      </c>
      <c r="G3124">
        <v>2222</v>
      </c>
      <c r="H3124">
        <v>1</v>
      </c>
      <c r="I3124" t="s">
        <v>90</v>
      </c>
      <c r="J3124">
        <v>0</v>
      </c>
      <c r="K3124">
        <v>2</v>
      </c>
      <c r="L3124">
        <v>5</v>
      </c>
      <c r="M3124">
        <v>141</v>
      </c>
      <c r="N3124" t="s">
        <v>105</v>
      </c>
      <c r="O3124">
        <v>0</v>
      </c>
      <c r="P3124">
        <v>0</v>
      </c>
      <c r="Q3124">
        <v>0</v>
      </c>
      <c r="R3124">
        <v>102</v>
      </c>
      <c r="S3124">
        <v>143</v>
      </c>
      <c r="T3124">
        <v>3</v>
      </c>
      <c r="U3124">
        <v>2</v>
      </c>
      <c r="V3124">
        <v>1</v>
      </c>
      <c r="X3124">
        <v>1</v>
      </c>
      <c r="Y3124">
        <v>191</v>
      </c>
      <c r="Z3124">
        <v>3</v>
      </c>
      <c r="AA3124">
        <v>0</v>
      </c>
      <c r="AB3124">
        <v>0</v>
      </c>
      <c r="AC3124">
        <v>2</v>
      </c>
      <c r="AD3124">
        <v>3</v>
      </c>
      <c r="AE3124">
        <v>0</v>
      </c>
      <c r="AF3124">
        <v>0</v>
      </c>
      <c r="AK3124">
        <v>2</v>
      </c>
      <c r="AL3124">
        <v>0</v>
      </c>
      <c r="AM3124">
        <v>0</v>
      </c>
      <c r="AN3124">
        <v>0</v>
      </c>
      <c r="AU3124">
        <v>1</v>
      </c>
      <c r="AZ3124">
        <v>0</v>
      </c>
      <c r="BC3124">
        <v>0</v>
      </c>
      <c r="BD3124">
        <v>4</v>
      </c>
      <c r="BE3124">
        <v>463</v>
      </c>
      <c r="BF3124">
        <v>458</v>
      </c>
      <c r="BG3124">
        <v>583</v>
      </c>
      <c r="BJ3124">
        <v>1</v>
      </c>
      <c r="BL3124" t="s">
        <v>6480</v>
      </c>
      <c r="BM3124" s="4">
        <v>43283.454861111109</v>
      </c>
      <c r="BN3124" s="4">
        <v>43283.46607638889</v>
      </c>
      <c r="BO3124" s="4">
        <v>43283.46607638889</v>
      </c>
      <c r="BP3124" t="s">
        <v>92</v>
      </c>
      <c r="BQ3124" t="s">
        <v>93</v>
      </c>
      <c r="BR3124" t="s">
        <v>94</v>
      </c>
    </row>
    <row r="3125" spans="1:70" x14ac:dyDescent="0.3">
      <c r="A3125" t="str">
        <f>"202222E0100"</f>
        <v>202222E0100</v>
      </c>
      <c r="B3125" s="2" t="s">
        <v>6481</v>
      </c>
      <c r="C3125">
        <v>20</v>
      </c>
      <c r="D3125" t="s">
        <v>88</v>
      </c>
      <c r="E3125">
        <v>515</v>
      </c>
      <c r="F3125" t="s">
        <v>6347</v>
      </c>
      <c r="G3125">
        <v>2222</v>
      </c>
      <c r="H3125">
        <v>1</v>
      </c>
      <c r="I3125" t="s">
        <v>156</v>
      </c>
      <c r="J3125">
        <v>0</v>
      </c>
      <c r="K3125">
        <v>2</v>
      </c>
      <c r="L3125">
        <v>5</v>
      </c>
      <c r="M3125">
        <v>51</v>
      </c>
      <c r="N3125">
        <v>243</v>
      </c>
      <c r="O3125">
        <v>2</v>
      </c>
      <c r="P3125">
        <v>243</v>
      </c>
      <c r="Q3125">
        <v>5</v>
      </c>
      <c r="R3125">
        <v>10</v>
      </c>
      <c r="S3125">
        <v>173</v>
      </c>
      <c r="T3125">
        <v>0</v>
      </c>
      <c r="U3125">
        <v>0</v>
      </c>
      <c r="V3125">
        <v>4</v>
      </c>
      <c r="X3125">
        <v>0</v>
      </c>
      <c r="Y3125">
        <v>33</v>
      </c>
      <c r="Z3125">
        <v>0</v>
      </c>
      <c r="AA3125">
        <v>0</v>
      </c>
      <c r="AB3125">
        <v>0</v>
      </c>
      <c r="AC3125">
        <v>0</v>
      </c>
      <c r="AD3125">
        <v>0</v>
      </c>
      <c r="AE3125">
        <v>0</v>
      </c>
      <c r="AF3125">
        <v>2</v>
      </c>
      <c r="AK3125">
        <v>0</v>
      </c>
      <c r="AL3125">
        <v>0</v>
      </c>
      <c r="AM3125">
        <v>0</v>
      </c>
      <c r="AN3125">
        <v>0</v>
      </c>
      <c r="AU3125">
        <v>0</v>
      </c>
      <c r="AZ3125">
        <v>2</v>
      </c>
      <c r="BC3125">
        <v>0</v>
      </c>
      <c r="BD3125">
        <v>14</v>
      </c>
      <c r="BE3125">
        <v>243</v>
      </c>
      <c r="BF3125">
        <v>243</v>
      </c>
      <c r="BG3125">
        <v>271</v>
      </c>
      <c r="BJ3125">
        <v>1</v>
      </c>
      <c r="BL3125" t="s">
        <v>6482</v>
      </c>
      <c r="BM3125" s="4">
        <v>43283.453472222223</v>
      </c>
      <c r="BN3125" s="4">
        <v>43283.462314814817</v>
      </c>
      <c r="BO3125" s="4">
        <v>43283.462314814817</v>
      </c>
      <c r="BP3125" t="s">
        <v>92</v>
      </c>
      <c r="BQ3125" t="s">
        <v>93</v>
      </c>
      <c r="BR3125" t="s">
        <v>94</v>
      </c>
    </row>
    <row r="3126" spans="1:70" x14ac:dyDescent="0.3">
      <c r="A3126" t="str">
        <f>"202223B0100"</f>
        <v>202223B0100</v>
      </c>
      <c r="B3126" t="s">
        <v>6483</v>
      </c>
      <c r="C3126">
        <v>20</v>
      </c>
      <c r="D3126" t="s">
        <v>88</v>
      </c>
      <c r="E3126">
        <v>515</v>
      </c>
      <c r="F3126" t="s">
        <v>6347</v>
      </c>
      <c r="G3126">
        <v>2223</v>
      </c>
      <c r="H3126">
        <v>1</v>
      </c>
      <c r="I3126" t="s">
        <v>90</v>
      </c>
      <c r="J3126">
        <v>0</v>
      </c>
      <c r="K3126">
        <v>2</v>
      </c>
      <c r="L3126">
        <v>5</v>
      </c>
      <c r="M3126">
        <v>103</v>
      </c>
      <c r="N3126">
        <v>264</v>
      </c>
      <c r="O3126">
        <v>0</v>
      </c>
      <c r="P3126">
        <v>264</v>
      </c>
      <c r="Q3126">
        <v>4</v>
      </c>
      <c r="R3126">
        <v>48</v>
      </c>
      <c r="S3126">
        <v>48</v>
      </c>
      <c r="T3126">
        <v>18</v>
      </c>
      <c r="U3126">
        <v>7</v>
      </c>
      <c r="V3126">
        <v>0</v>
      </c>
      <c r="X3126">
        <v>1</v>
      </c>
      <c r="Y3126">
        <v>116</v>
      </c>
      <c r="Z3126">
        <v>5</v>
      </c>
      <c r="AA3126">
        <v>0</v>
      </c>
      <c r="AB3126">
        <v>0</v>
      </c>
      <c r="AC3126">
        <v>0</v>
      </c>
      <c r="AD3126">
        <v>0</v>
      </c>
      <c r="AE3126">
        <v>0</v>
      </c>
      <c r="AF3126">
        <v>0</v>
      </c>
      <c r="AK3126">
        <v>0</v>
      </c>
      <c r="AL3126">
        <v>0</v>
      </c>
      <c r="AM3126">
        <v>0</v>
      </c>
      <c r="AN3126">
        <v>0</v>
      </c>
      <c r="AU3126">
        <v>0</v>
      </c>
      <c r="AZ3126">
        <v>3</v>
      </c>
      <c r="BC3126">
        <v>0</v>
      </c>
      <c r="BD3126">
        <v>10</v>
      </c>
      <c r="BE3126">
        <v>260</v>
      </c>
      <c r="BF3126">
        <v>260</v>
      </c>
      <c r="BG3126">
        <v>344</v>
      </c>
      <c r="BJ3126">
        <v>1</v>
      </c>
      <c r="BL3126" t="s">
        <v>6484</v>
      </c>
      <c r="BM3126" s="4">
        <v>43283.45416666667</v>
      </c>
      <c r="BN3126" s="4">
        <v>43283.464375000003</v>
      </c>
      <c r="BO3126" s="4">
        <v>43283.464375000003</v>
      </c>
      <c r="BP3126" t="s">
        <v>92</v>
      </c>
      <c r="BQ3126" t="s">
        <v>93</v>
      </c>
      <c r="BR3126" t="s">
        <v>94</v>
      </c>
    </row>
    <row r="3127" spans="1:70" x14ac:dyDescent="0.3">
      <c r="A3127" t="str">
        <f>"202223E0100"</f>
        <v>202223E0100</v>
      </c>
      <c r="B3127" s="2" t="s">
        <v>6485</v>
      </c>
      <c r="C3127">
        <v>20</v>
      </c>
      <c r="D3127" t="s">
        <v>88</v>
      </c>
      <c r="E3127">
        <v>515</v>
      </c>
      <c r="F3127" t="s">
        <v>6347</v>
      </c>
      <c r="G3127">
        <v>2223</v>
      </c>
      <c r="H3127">
        <v>1</v>
      </c>
      <c r="I3127" t="s">
        <v>156</v>
      </c>
      <c r="J3127">
        <v>0</v>
      </c>
      <c r="K3127">
        <v>2</v>
      </c>
      <c r="L3127">
        <v>5</v>
      </c>
      <c r="BG3127">
        <v>340</v>
      </c>
      <c r="BI3127" t="s">
        <v>122</v>
      </c>
      <c r="BJ3127">
        <v>0</v>
      </c>
      <c r="BL3127" t="s">
        <v>6486</v>
      </c>
      <c r="BM3127" s="4">
        <v>43283.691666666666</v>
      </c>
      <c r="BN3127" s="4">
        <v>43283.698379629626</v>
      </c>
      <c r="BO3127" s="4">
        <v>43283.698379629626</v>
      </c>
      <c r="BP3127" t="s">
        <v>92</v>
      </c>
      <c r="BQ3127" t="s">
        <v>93</v>
      </c>
      <c r="BR3127" t="s">
        <v>94</v>
      </c>
    </row>
    <row r="3128" spans="1:70" x14ac:dyDescent="0.3">
      <c r="A3128" t="str">
        <f>"202224B0100"</f>
        <v>202224B0100</v>
      </c>
      <c r="B3128" t="s">
        <v>6487</v>
      </c>
      <c r="C3128">
        <v>20</v>
      </c>
      <c r="D3128" t="s">
        <v>88</v>
      </c>
      <c r="E3128">
        <v>515</v>
      </c>
      <c r="F3128" t="s">
        <v>6347</v>
      </c>
      <c r="G3128">
        <v>2224</v>
      </c>
      <c r="H3128">
        <v>1</v>
      </c>
      <c r="I3128" t="s">
        <v>90</v>
      </c>
      <c r="J3128">
        <v>0</v>
      </c>
      <c r="K3128">
        <v>2</v>
      </c>
      <c r="L3128">
        <v>5</v>
      </c>
      <c r="M3128">
        <v>106</v>
      </c>
      <c r="N3128">
        <v>328</v>
      </c>
      <c r="O3128">
        <v>1</v>
      </c>
      <c r="P3128">
        <v>326</v>
      </c>
      <c r="Q3128">
        <v>1</v>
      </c>
      <c r="R3128">
        <v>26</v>
      </c>
      <c r="S3128">
        <v>54</v>
      </c>
      <c r="T3128">
        <v>13</v>
      </c>
      <c r="U3128">
        <v>7</v>
      </c>
      <c r="V3128">
        <v>3</v>
      </c>
      <c r="X3128">
        <v>0</v>
      </c>
      <c r="Y3128">
        <v>169</v>
      </c>
      <c r="Z3128">
        <v>2</v>
      </c>
      <c r="AA3128">
        <v>2</v>
      </c>
      <c r="AB3128">
        <v>8</v>
      </c>
      <c r="AC3128" t="s">
        <v>105</v>
      </c>
      <c r="AD3128" t="s">
        <v>105</v>
      </c>
      <c r="AE3128" t="s">
        <v>105</v>
      </c>
      <c r="AF3128" t="s">
        <v>105</v>
      </c>
      <c r="AK3128">
        <v>5</v>
      </c>
      <c r="AL3128" t="s">
        <v>105</v>
      </c>
      <c r="AM3128" t="s">
        <v>105</v>
      </c>
      <c r="AN3128" t="s">
        <v>105</v>
      </c>
      <c r="AU3128" t="s">
        <v>105</v>
      </c>
      <c r="AZ3128">
        <v>21</v>
      </c>
      <c r="BC3128" t="s">
        <v>105</v>
      </c>
      <c r="BD3128">
        <v>17</v>
      </c>
      <c r="BE3128">
        <v>326</v>
      </c>
      <c r="BF3128">
        <v>328</v>
      </c>
      <c r="BG3128">
        <v>411</v>
      </c>
      <c r="BI3128" t="s">
        <v>106</v>
      </c>
      <c r="BJ3128">
        <v>1</v>
      </c>
      <c r="BL3128" t="s">
        <v>6488</v>
      </c>
      <c r="BM3128" s="4">
        <v>43283.271527777775</v>
      </c>
      <c r="BN3128" s="4">
        <v>43283.296817129631</v>
      </c>
      <c r="BO3128" s="4">
        <v>43283.296817129631</v>
      </c>
      <c r="BP3128" t="s">
        <v>92</v>
      </c>
      <c r="BQ3128" t="s">
        <v>93</v>
      </c>
      <c r="BR3128" t="s">
        <v>94</v>
      </c>
    </row>
    <row r="3129" spans="1:70" x14ac:dyDescent="0.3">
      <c r="A3129" t="str">
        <f>"202224C0100"</f>
        <v>202224C0100</v>
      </c>
      <c r="B3129" t="s">
        <v>6489</v>
      </c>
      <c r="C3129">
        <v>20</v>
      </c>
      <c r="D3129" t="s">
        <v>88</v>
      </c>
      <c r="E3129">
        <v>515</v>
      </c>
      <c r="F3129" t="s">
        <v>6347</v>
      </c>
      <c r="G3129">
        <v>2224</v>
      </c>
      <c r="H3129">
        <v>1</v>
      </c>
      <c r="I3129" t="s">
        <v>98</v>
      </c>
      <c r="J3129">
        <v>0</v>
      </c>
      <c r="K3129">
        <v>2</v>
      </c>
      <c r="L3129">
        <v>5</v>
      </c>
      <c r="M3129" t="s">
        <v>105</v>
      </c>
      <c r="N3129" t="s">
        <v>105</v>
      </c>
      <c r="O3129" t="s">
        <v>105</v>
      </c>
      <c r="P3129" t="s">
        <v>105</v>
      </c>
      <c r="Q3129" t="s">
        <v>105</v>
      </c>
      <c r="R3129" t="s">
        <v>105</v>
      </c>
      <c r="S3129" t="s">
        <v>105</v>
      </c>
      <c r="T3129" t="s">
        <v>105</v>
      </c>
      <c r="U3129" t="s">
        <v>105</v>
      </c>
      <c r="V3129" t="s">
        <v>105</v>
      </c>
      <c r="X3129" t="s">
        <v>105</v>
      </c>
      <c r="Y3129" t="s">
        <v>105</v>
      </c>
      <c r="Z3129" t="s">
        <v>105</v>
      </c>
      <c r="AA3129" t="s">
        <v>105</v>
      </c>
      <c r="AB3129" t="s">
        <v>105</v>
      </c>
      <c r="AC3129" t="s">
        <v>105</v>
      </c>
      <c r="AD3129" t="s">
        <v>105</v>
      </c>
      <c r="AE3129" t="s">
        <v>105</v>
      </c>
      <c r="AF3129" t="s">
        <v>105</v>
      </c>
      <c r="AK3129" t="s">
        <v>105</v>
      </c>
      <c r="AL3129" t="s">
        <v>105</v>
      </c>
      <c r="AM3129" t="s">
        <v>105</v>
      </c>
      <c r="AN3129" t="s">
        <v>105</v>
      </c>
      <c r="AU3129" t="s">
        <v>105</v>
      </c>
      <c r="AZ3129" t="s">
        <v>105</v>
      </c>
      <c r="BC3129" t="s">
        <v>105</v>
      </c>
      <c r="BD3129" t="s">
        <v>105</v>
      </c>
      <c r="BG3129">
        <v>411</v>
      </c>
      <c r="BI3129" t="s">
        <v>1244</v>
      </c>
      <c r="BJ3129">
        <v>0</v>
      </c>
      <c r="BL3129" t="s">
        <v>6490</v>
      </c>
      <c r="BM3129" s="4">
        <v>43283.274305555555</v>
      </c>
      <c r="BN3129" s="4">
        <v>43283.312245370369</v>
      </c>
      <c r="BO3129" s="4">
        <v>43283.312245370369</v>
      </c>
      <c r="BP3129" t="s">
        <v>92</v>
      </c>
      <c r="BQ3129" t="s">
        <v>93</v>
      </c>
      <c r="BR3129" t="s">
        <v>94</v>
      </c>
    </row>
    <row r="3130" spans="1:70" x14ac:dyDescent="0.3">
      <c r="A3130" t="str">
        <f>"202224E0100"</f>
        <v>202224E0100</v>
      </c>
      <c r="B3130" s="2" t="s">
        <v>6491</v>
      </c>
      <c r="C3130">
        <v>20</v>
      </c>
      <c r="D3130" t="s">
        <v>88</v>
      </c>
      <c r="E3130">
        <v>515</v>
      </c>
      <c r="F3130" t="s">
        <v>6347</v>
      </c>
      <c r="G3130">
        <v>2224</v>
      </c>
      <c r="H3130">
        <v>1</v>
      </c>
      <c r="I3130" t="s">
        <v>156</v>
      </c>
      <c r="J3130">
        <v>0</v>
      </c>
      <c r="K3130">
        <v>2</v>
      </c>
      <c r="L3130">
        <v>5</v>
      </c>
      <c r="M3130">
        <v>88</v>
      </c>
      <c r="N3130">
        <v>362</v>
      </c>
      <c r="O3130">
        <v>362</v>
      </c>
      <c r="P3130">
        <v>362</v>
      </c>
      <c r="Q3130">
        <v>9</v>
      </c>
      <c r="R3130">
        <v>12</v>
      </c>
      <c r="S3130">
        <v>150</v>
      </c>
      <c r="T3130">
        <v>3</v>
      </c>
      <c r="U3130">
        <v>5</v>
      </c>
      <c r="V3130">
        <v>10</v>
      </c>
      <c r="X3130">
        <v>3</v>
      </c>
      <c r="Y3130">
        <v>160</v>
      </c>
      <c r="Z3130">
        <v>3</v>
      </c>
      <c r="AA3130">
        <v>1</v>
      </c>
      <c r="AB3130">
        <v>0</v>
      </c>
      <c r="AC3130" t="s">
        <v>105</v>
      </c>
      <c r="AD3130">
        <v>2</v>
      </c>
      <c r="AE3130" t="s">
        <v>105</v>
      </c>
      <c r="AF3130" t="s">
        <v>105</v>
      </c>
      <c r="AK3130" t="s">
        <v>105</v>
      </c>
      <c r="AL3130" t="s">
        <v>105</v>
      </c>
      <c r="AM3130" t="s">
        <v>105</v>
      </c>
      <c r="AN3130" t="s">
        <v>105</v>
      </c>
      <c r="AU3130" t="s">
        <v>105</v>
      </c>
      <c r="AZ3130" t="s">
        <v>105</v>
      </c>
      <c r="BC3130" t="s">
        <v>105</v>
      </c>
      <c r="BD3130">
        <v>3</v>
      </c>
      <c r="BE3130">
        <v>361</v>
      </c>
      <c r="BF3130">
        <v>361</v>
      </c>
      <c r="BG3130">
        <v>427</v>
      </c>
      <c r="BI3130" t="s">
        <v>106</v>
      </c>
      <c r="BJ3130">
        <v>1</v>
      </c>
      <c r="BL3130" t="s">
        <v>6492</v>
      </c>
      <c r="BM3130" s="4">
        <v>43283.277083333334</v>
      </c>
      <c r="BN3130" s="4">
        <v>43283.306817129633</v>
      </c>
      <c r="BO3130" s="4">
        <v>43283.306817129633</v>
      </c>
      <c r="BP3130" t="s">
        <v>92</v>
      </c>
      <c r="BQ3130" t="s">
        <v>93</v>
      </c>
      <c r="BR3130" t="s">
        <v>94</v>
      </c>
    </row>
    <row r="3131" spans="1:70" x14ac:dyDescent="0.3">
      <c r="A3131" t="str">
        <f>"202224E0200"</f>
        <v>202224E0200</v>
      </c>
      <c r="B3131" s="2" t="s">
        <v>6493</v>
      </c>
      <c r="C3131">
        <v>20</v>
      </c>
      <c r="D3131" t="s">
        <v>88</v>
      </c>
      <c r="E3131">
        <v>515</v>
      </c>
      <c r="F3131" t="s">
        <v>6347</v>
      </c>
      <c r="G3131">
        <v>2224</v>
      </c>
      <c r="H3131">
        <v>2</v>
      </c>
      <c r="I3131" t="s">
        <v>156</v>
      </c>
      <c r="J3131">
        <v>0</v>
      </c>
      <c r="K3131">
        <v>2</v>
      </c>
      <c r="L3131">
        <v>5</v>
      </c>
      <c r="BG3131">
        <v>387</v>
      </c>
      <c r="BI3131" t="s">
        <v>122</v>
      </c>
      <c r="BJ3131">
        <v>0</v>
      </c>
      <c r="BL3131" t="s">
        <v>6494</v>
      </c>
      <c r="BM3131" s="4">
        <v>43283.691666666666</v>
      </c>
      <c r="BN3131" s="4">
        <v>43283.698437500003</v>
      </c>
      <c r="BO3131" s="4">
        <v>43283.698437500003</v>
      </c>
      <c r="BP3131" t="s">
        <v>92</v>
      </c>
      <c r="BQ3131" t="s">
        <v>93</v>
      </c>
      <c r="BR3131" t="s">
        <v>94</v>
      </c>
    </row>
    <row r="3132" spans="1:70" x14ac:dyDescent="0.3">
      <c r="A3132" t="str">
        <f>"202224E0201"</f>
        <v>202224E0201</v>
      </c>
      <c r="B3132" s="2" t="s">
        <v>6495</v>
      </c>
      <c r="C3132">
        <v>20</v>
      </c>
      <c r="D3132" t="s">
        <v>88</v>
      </c>
      <c r="E3132">
        <v>515</v>
      </c>
      <c r="F3132" t="s">
        <v>6347</v>
      </c>
      <c r="G3132">
        <v>2224</v>
      </c>
      <c r="H3132">
        <v>2</v>
      </c>
      <c r="I3132" t="s">
        <v>156</v>
      </c>
      <c r="J3132">
        <v>1</v>
      </c>
      <c r="K3132">
        <v>2</v>
      </c>
      <c r="L3132">
        <v>5</v>
      </c>
      <c r="M3132">
        <v>113</v>
      </c>
      <c r="N3132">
        <v>296</v>
      </c>
      <c r="O3132">
        <v>5</v>
      </c>
      <c r="P3132">
        <v>296</v>
      </c>
      <c r="Q3132">
        <v>24</v>
      </c>
      <c r="R3132">
        <v>34</v>
      </c>
      <c r="S3132">
        <v>38</v>
      </c>
      <c r="T3132">
        <v>4</v>
      </c>
      <c r="U3132">
        <v>11</v>
      </c>
      <c r="V3132">
        <v>12</v>
      </c>
      <c r="X3132">
        <v>2</v>
      </c>
      <c r="Y3132">
        <v>157</v>
      </c>
      <c r="Z3132">
        <v>2</v>
      </c>
      <c r="AA3132">
        <v>1</v>
      </c>
      <c r="AB3132">
        <v>3</v>
      </c>
      <c r="AC3132">
        <v>0</v>
      </c>
      <c r="AD3132">
        <v>0</v>
      </c>
      <c r="AE3132">
        <v>0</v>
      </c>
      <c r="AF3132">
        <v>0</v>
      </c>
      <c r="AK3132">
        <v>0</v>
      </c>
      <c r="AL3132">
        <v>0</v>
      </c>
      <c r="AM3132">
        <v>0</v>
      </c>
      <c r="AN3132">
        <v>0</v>
      </c>
      <c r="AU3132">
        <v>0</v>
      </c>
      <c r="AZ3132">
        <v>4</v>
      </c>
      <c r="BC3132">
        <v>0</v>
      </c>
      <c r="BD3132">
        <v>2</v>
      </c>
      <c r="BE3132">
        <v>294</v>
      </c>
      <c r="BF3132">
        <v>294</v>
      </c>
      <c r="BG3132">
        <v>387</v>
      </c>
      <c r="BJ3132">
        <v>1</v>
      </c>
      <c r="BL3132" t="s">
        <v>6496</v>
      </c>
      <c r="BM3132" s="4">
        <v>43283.26666666667</v>
      </c>
      <c r="BN3132" s="4">
        <v>43283.304467592592</v>
      </c>
      <c r="BO3132" s="4">
        <v>43283.304467592592</v>
      </c>
      <c r="BP3132" t="s">
        <v>92</v>
      </c>
      <c r="BQ3132" t="s">
        <v>93</v>
      </c>
      <c r="BR3132" t="s">
        <v>94</v>
      </c>
    </row>
    <row r="3133" spans="1:70" x14ac:dyDescent="0.3">
      <c r="A3133" t="str">
        <f>"202224E0300"</f>
        <v>202224E0300</v>
      </c>
      <c r="B3133" s="2" t="s">
        <v>6497</v>
      </c>
      <c r="C3133">
        <v>20</v>
      </c>
      <c r="D3133" t="s">
        <v>88</v>
      </c>
      <c r="E3133">
        <v>515</v>
      </c>
      <c r="F3133" t="s">
        <v>6347</v>
      </c>
      <c r="G3133">
        <v>2224</v>
      </c>
      <c r="H3133">
        <v>3</v>
      </c>
      <c r="I3133" t="s">
        <v>156</v>
      </c>
      <c r="J3133">
        <v>0</v>
      </c>
      <c r="K3133">
        <v>2</v>
      </c>
      <c r="L3133">
        <v>5</v>
      </c>
      <c r="M3133">
        <v>229</v>
      </c>
      <c r="N3133">
        <v>431</v>
      </c>
      <c r="O3133">
        <v>2</v>
      </c>
      <c r="P3133">
        <v>431</v>
      </c>
      <c r="Q3133">
        <v>11</v>
      </c>
      <c r="R3133">
        <v>44</v>
      </c>
      <c r="S3133">
        <v>87</v>
      </c>
      <c r="T3133">
        <v>12</v>
      </c>
      <c r="U3133">
        <v>9</v>
      </c>
      <c r="V3133">
        <v>6</v>
      </c>
      <c r="X3133">
        <v>1</v>
      </c>
      <c r="Y3133">
        <v>224</v>
      </c>
      <c r="Z3133">
        <v>8</v>
      </c>
      <c r="AA3133">
        <v>0</v>
      </c>
      <c r="AB3133">
        <v>2</v>
      </c>
      <c r="AC3133">
        <v>0</v>
      </c>
      <c r="AD3133">
        <v>1</v>
      </c>
      <c r="AE3133">
        <v>0</v>
      </c>
      <c r="AF3133">
        <v>0</v>
      </c>
      <c r="AK3133">
        <v>4</v>
      </c>
      <c r="AL3133">
        <v>0</v>
      </c>
      <c r="AM3133">
        <v>1</v>
      </c>
      <c r="AN3133">
        <v>1</v>
      </c>
      <c r="AU3133">
        <v>0</v>
      </c>
      <c r="AZ3133">
        <v>3</v>
      </c>
      <c r="BC3133">
        <v>1</v>
      </c>
      <c r="BD3133">
        <v>16</v>
      </c>
      <c r="BE3133">
        <v>431</v>
      </c>
      <c r="BF3133">
        <v>431</v>
      </c>
      <c r="BG3133">
        <v>636</v>
      </c>
      <c r="BJ3133">
        <v>1</v>
      </c>
      <c r="BL3133" t="s">
        <v>6498</v>
      </c>
      <c r="BM3133" s="4">
        <v>43283.288194444445</v>
      </c>
      <c r="BN3133" s="4">
        <v>43283.322847222225</v>
      </c>
      <c r="BO3133" s="4">
        <v>43283.322847222225</v>
      </c>
      <c r="BP3133" t="s">
        <v>92</v>
      </c>
      <c r="BQ3133" t="s">
        <v>93</v>
      </c>
      <c r="BR3133" t="s">
        <v>94</v>
      </c>
    </row>
    <row r="3134" spans="1:70" x14ac:dyDescent="0.3">
      <c r="A3134" t="str">
        <f>"202225B0100"</f>
        <v>202225B0100</v>
      </c>
      <c r="B3134" t="s">
        <v>6499</v>
      </c>
      <c r="C3134">
        <v>20</v>
      </c>
      <c r="D3134" t="s">
        <v>88</v>
      </c>
      <c r="E3134">
        <v>515</v>
      </c>
      <c r="F3134" t="s">
        <v>6347</v>
      </c>
      <c r="G3134">
        <v>2225</v>
      </c>
      <c r="H3134">
        <v>1</v>
      </c>
      <c r="I3134" t="s">
        <v>90</v>
      </c>
      <c r="J3134">
        <v>0</v>
      </c>
      <c r="K3134">
        <v>2</v>
      </c>
      <c r="L3134">
        <v>5</v>
      </c>
      <c r="M3134">
        <v>106</v>
      </c>
      <c r="N3134">
        <v>377</v>
      </c>
      <c r="O3134">
        <v>1</v>
      </c>
      <c r="P3134" t="s">
        <v>105</v>
      </c>
      <c r="Q3134">
        <v>2</v>
      </c>
      <c r="R3134">
        <v>52</v>
      </c>
      <c r="S3134">
        <v>100</v>
      </c>
      <c r="T3134">
        <v>16</v>
      </c>
      <c r="U3134">
        <v>26</v>
      </c>
      <c r="V3134">
        <v>5</v>
      </c>
      <c r="X3134">
        <v>2</v>
      </c>
      <c r="Y3134">
        <v>141</v>
      </c>
      <c r="Z3134">
        <v>4</v>
      </c>
      <c r="AA3134">
        <v>1</v>
      </c>
      <c r="AB3134">
        <v>1</v>
      </c>
      <c r="AC3134">
        <v>0</v>
      </c>
      <c r="AD3134">
        <v>0</v>
      </c>
      <c r="AE3134">
        <v>0</v>
      </c>
      <c r="AF3134">
        <v>1</v>
      </c>
      <c r="AK3134">
        <v>3</v>
      </c>
      <c r="AL3134">
        <v>1</v>
      </c>
      <c r="AM3134">
        <v>0</v>
      </c>
      <c r="AN3134">
        <v>1</v>
      </c>
      <c r="AU3134">
        <v>1</v>
      </c>
      <c r="AZ3134">
        <v>7</v>
      </c>
      <c r="BC3134">
        <v>0</v>
      </c>
      <c r="BD3134">
        <v>18</v>
      </c>
      <c r="BE3134">
        <v>382</v>
      </c>
      <c r="BF3134">
        <v>382</v>
      </c>
      <c r="BG3134">
        <v>463</v>
      </c>
      <c r="BJ3134">
        <v>1</v>
      </c>
      <c r="BL3134" t="s">
        <v>6500</v>
      </c>
      <c r="BM3134" s="4">
        <v>43283.3125</v>
      </c>
      <c r="BN3134" s="4">
        <v>43283.33997685185</v>
      </c>
      <c r="BO3134" s="4">
        <v>43283.33997685185</v>
      </c>
      <c r="BP3134" t="s">
        <v>92</v>
      </c>
      <c r="BQ3134" t="s">
        <v>93</v>
      </c>
      <c r="BR3134" t="s">
        <v>94</v>
      </c>
    </row>
    <row r="3135" spans="1:70" x14ac:dyDescent="0.3">
      <c r="A3135" t="str">
        <f>"202226B0100"</f>
        <v>202226B0100</v>
      </c>
      <c r="B3135" t="s">
        <v>6501</v>
      </c>
      <c r="C3135">
        <v>20</v>
      </c>
      <c r="D3135" t="s">
        <v>88</v>
      </c>
      <c r="E3135">
        <v>515</v>
      </c>
      <c r="F3135" t="s">
        <v>6347</v>
      </c>
      <c r="G3135">
        <v>2226</v>
      </c>
      <c r="H3135">
        <v>1</v>
      </c>
      <c r="I3135" t="s">
        <v>90</v>
      </c>
      <c r="J3135">
        <v>0</v>
      </c>
      <c r="K3135">
        <v>2</v>
      </c>
      <c r="L3135">
        <v>5</v>
      </c>
      <c r="BG3135">
        <v>380</v>
      </c>
      <c r="BI3135" t="s">
        <v>122</v>
      </c>
      <c r="BJ3135">
        <v>0</v>
      </c>
      <c r="BL3135" t="s">
        <v>6502</v>
      </c>
      <c r="BM3135" s="4">
        <v>43283.691666666666</v>
      </c>
      <c r="BN3135" s="4">
        <v>43283.698217592595</v>
      </c>
      <c r="BO3135" s="4">
        <v>43283.698217592595</v>
      </c>
      <c r="BP3135" t="s">
        <v>92</v>
      </c>
      <c r="BQ3135" t="s">
        <v>93</v>
      </c>
      <c r="BR3135" t="s">
        <v>94</v>
      </c>
    </row>
    <row r="3136" spans="1:70" x14ac:dyDescent="0.3">
      <c r="A3136" t="str">
        <f>"202226C0100"</f>
        <v>202226C0100</v>
      </c>
      <c r="B3136" t="s">
        <v>6503</v>
      </c>
      <c r="C3136">
        <v>20</v>
      </c>
      <c r="D3136" t="s">
        <v>88</v>
      </c>
      <c r="E3136">
        <v>515</v>
      </c>
      <c r="F3136" t="s">
        <v>6347</v>
      </c>
      <c r="G3136">
        <v>2226</v>
      </c>
      <c r="H3136">
        <v>1</v>
      </c>
      <c r="I3136" t="s">
        <v>98</v>
      </c>
      <c r="J3136">
        <v>0</v>
      </c>
      <c r="K3136">
        <v>2</v>
      </c>
      <c r="L3136">
        <v>5</v>
      </c>
      <c r="BG3136">
        <v>379</v>
      </c>
      <c r="BI3136" t="s">
        <v>122</v>
      </c>
      <c r="BJ3136">
        <v>0</v>
      </c>
      <c r="BL3136" t="s">
        <v>6504</v>
      </c>
      <c r="BM3136" s="4">
        <v>43283.691666666666</v>
      </c>
      <c r="BN3136" s="4">
        <v>43283.698518518519</v>
      </c>
      <c r="BO3136" s="4">
        <v>43283.698518518519</v>
      </c>
      <c r="BP3136" t="s">
        <v>92</v>
      </c>
      <c r="BQ3136" t="s">
        <v>93</v>
      </c>
      <c r="BR3136" t="s">
        <v>94</v>
      </c>
    </row>
    <row r="3137" spans="1:70" x14ac:dyDescent="0.3">
      <c r="A3137" t="str">
        <f>"202226E0100"</f>
        <v>202226E0100</v>
      </c>
      <c r="B3137" s="2" t="s">
        <v>6505</v>
      </c>
      <c r="C3137">
        <v>20</v>
      </c>
      <c r="D3137" t="s">
        <v>88</v>
      </c>
      <c r="E3137">
        <v>515</v>
      </c>
      <c r="F3137" t="s">
        <v>6347</v>
      </c>
      <c r="G3137">
        <v>2226</v>
      </c>
      <c r="H3137">
        <v>1</v>
      </c>
      <c r="I3137" t="s">
        <v>156</v>
      </c>
      <c r="J3137">
        <v>0</v>
      </c>
      <c r="K3137">
        <v>2</v>
      </c>
      <c r="L3137">
        <v>5</v>
      </c>
      <c r="BG3137">
        <v>559</v>
      </c>
      <c r="BI3137" t="s">
        <v>122</v>
      </c>
      <c r="BJ3137">
        <v>0</v>
      </c>
      <c r="BL3137" t="s">
        <v>6506</v>
      </c>
      <c r="BM3137" s="4">
        <v>43283.692361111112</v>
      </c>
      <c r="BN3137" s="4">
        <v>43283.698645833334</v>
      </c>
      <c r="BO3137" s="4">
        <v>43283.698645833334</v>
      </c>
      <c r="BP3137" t="s">
        <v>92</v>
      </c>
      <c r="BQ3137" t="s">
        <v>93</v>
      </c>
      <c r="BR3137" t="s">
        <v>94</v>
      </c>
    </row>
    <row r="3138" spans="1:70" x14ac:dyDescent="0.3">
      <c r="A3138" t="str">
        <f>"202226E0101"</f>
        <v>202226E0101</v>
      </c>
      <c r="B3138" s="2" t="s">
        <v>6507</v>
      </c>
      <c r="C3138">
        <v>20</v>
      </c>
      <c r="D3138" t="s">
        <v>88</v>
      </c>
      <c r="E3138">
        <v>515</v>
      </c>
      <c r="F3138" t="s">
        <v>6347</v>
      </c>
      <c r="G3138">
        <v>2226</v>
      </c>
      <c r="H3138">
        <v>1</v>
      </c>
      <c r="I3138" t="s">
        <v>156</v>
      </c>
      <c r="J3138">
        <v>1</v>
      </c>
      <c r="K3138">
        <v>2</v>
      </c>
      <c r="L3138">
        <v>5</v>
      </c>
      <c r="M3138">
        <v>139</v>
      </c>
      <c r="N3138">
        <v>442</v>
      </c>
      <c r="O3138">
        <v>1</v>
      </c>
      <c r="P3138">
        <v>446</v>
      </c>
      <c r="Q3138">
        <v>4</v>
      </c>
      <c r="R3138">
        <v>79</v>
      </c>
      <c r="S3138">
        <v>162</v>
      </c>
      <c r="T3138">
        <v>1</v>
      </c>
      <c r="U3138">
        <v>9</v>
      </c>
      <c r="V3138">
        <v>3</v>
      </c>
      <c r="X3138">
        <v>0</v>
      </c>
      <c r="Y3138">
        <v>164</v>
      </c>
      <c r="Z3138">
        <v>3</v>
      </c>
      <c r="AA3138">
        <v>0</v>
      </c>
      <c r="AB3138">
        <v>0</v>
      </c>
      <c r="AC3138">
        <v>0</v>
      </c>
      <c r="AD3138">
        <v>0</v>
      </c>
      <c r="AE3138">
        <v>0</v>
      </c>
      <c r="AF3138">
        <v>0</v>
      </c>
      <c r="AK3138">
        <v>2</v>
      </c>
      <c r="AL3138">
        <v>0</v>
      </c>
      <c r="AM3138">
        <v>0</v>
      </c>
      <c r="AN3138">
        <v>2</v>
      </c>
      <c r="AU3138">
        <v>0</v>
      </c>
      <c r="AZ3138">
        <v>2</v>
      </c>
      <c r="BC3138">
        <v>0</v>
      </c>
      <c r="BD3138">
        <v>14</v>
      </c>
      <c r="BE3138">
        <v>445</v>
      </c>
      <c r="BF3138">
        <v>445</v>
      </c>
      <c r="BG3138">
        <v>558</v>
      </c>
      <c r="BJ3138">
        <v>1</v>
      </c>
      <c r="BL3138" t="s">
        <v>6508</v>
      </c>
      <c r="BM3138" s="4">
        <v>43283.288194444445</v>
      </c>
      <c r="BN3138" s="4">
        <v>43283.322604166664</v>
      </c>
      <c r="BO3138" s="4">
        <v>43283.322604166664</v>
      </c>
      <c r="BP3138" t="s">
        <v>92</v>
      </c>
      <c r="BQ3138" t="s">
        <v>93</v>
      </c>
      <c r="BR3138" t="s">
        <v>94</v>
      </c>
    </row>
    <row r="3139" spans="1:70" x14ac:dyDescent="0.3">
      <c r="A3139" t="str">
        <f>"202227B0100"</f>
        <v>202227B0100</v>
      </c>
      <c r="B3139" t="s">
        <v>6509</v>
      </c>
      <c r="C3139">
        <v>20</v>
      </c>
      <c r="D3139" t="s">
        <v>88</v>
      </c>
      <c r="E3139">
        <v>515</v>
      </c>
      <c r="F3139" t="s">
        <v>6347</v>
      </c>
      <c r="G3139">
        <v>2227</v>
      </c>
      <c r="H3139">
        <v>1</v>
      </c>
      <c r="I3139" t="s">
        <v>90</v>
      </c>
      <c r="J3139">
        <v>0</v>
      </c>
      <c r="K3139">
        <v>2</v>
      </c>
      <c r="L3139">
        <v>5</v>
      </c>
      <c r="M3139">
        <v>149</v>
      </c>
      <c r="N3139">
        <v>521</v>
      </c>
      <c r="O3139">
        <v>0</v>
      </c>
      <c r="P3139">
        <v>518</v>
      </c>
      <c r="Q3139">
        <v>4</v>
      </c>
      <c r="R3139">
        <v>74</v>
      </c>
      <c r="S3139">
        <v>180</v>
      </c>
      <c r="T3139">
        <v>1</v>
      </c>
      <c r="U3139">
        <v>24</v>
      </c>
      <c r="V3139">
        <v>6</v>
      </c>
      <c r="X3139">
        <v>3</v>
      </c>
      <c r="Y3139">
        <v>188</v>
      </c>
      <c r="Z3139">
        <v>4</v>
      </c>
      <c r="AA3139">
        <v>1</v>
      </c>
      <c r="AB3139">
        <v>2</v>
      </c>
      <c r="AC3139">
        <v>1</v>
      </c>
      <c r="AD3139">
        <v>0</v>
      </c>
      <c r="AE3139">
        <v>1</v>
      </c>
      <c r="AF3139">
        <v>0</v>
      </c>
      <c r="AK3139">
        <v>2</v>
      </c>
      <c r="AL3139">
        <v>0</v>
      </c>
      <c r="AM3139">
        <v>0</v>
      </c>
      <c r="AN3139">
        <v>0</v>
      </c>
      <c r="AU3139">
        <v>2</v>
      </c>
      <c r="AZ3139">
        <v>3</v>
      </c>
      <c r="BC3139">
        <v>0</v>
      </c>
      <c r="BD3139">
        <v>23</v>
      </c>
      <c r="BE3139">
        <v>519</v>
      </c>
      <c r="BF3139">
        <v>519</v>
      </c>
      <c r="BG3139">
        <v>647</v>
      </c>
      <c r="BJ3139">
        <v>1</v>
      </c>
      <c r="BL3139" t="s">
        <v>6510</v>
      </c>
      <c r="BM3139" s="4">
        <v>43283.292361111111</v>
      </c>
      <c r="BN3139" s="4">
        <v>43283.328611111108</v>
      </c>
      <c r="BO3139" s="4">
        <v>43283.328611111108</v>
      </c>
      <c r="BP3139" t="s">
        <v>92</v>
      </c>
      <c r="BQ3139" t="s">
        <v>93</v>
      </c>
      <c r="BR3139" t="s">
        <v>94</v>
      </c>
    </row>
    <row r="3140" spans="1:70" x14ac:dyDescent="0.3">
      <c r="A3140" t="str">
        <f>"202227C0100"</f>
        <v>202227C0100</v>
      </c>
      <c r="B3140" t="s">
        <v>6511</v>
      </c>
      <c r="C3140">
        <v>20</v>
      </c>
      <c r="D3140" t="s">
        <v>88</v>
      </c>
      <c r="E3140">
        <v>515</v>
      </c>
      <c r="F3140" t="s">
        <v>6347</v>
      </c>
      <c r="G3140">
        <v>2227</v>
      </c>
      <c r="H3140">
        <v>1</v>
      </c>
      <c r="I3140" t="s">
        <v>98</v>
      </c>
      <c r="J3140">
        <v>0</v>
      </c>
      <c r="K3140">
        <v>2</v>
      </c>
      <c r="L3140">
        <v>5</v>
      </c>
      <c r="BG3140">
        <v>647</v>
      </c>
      <c r="BI3140" t="s">
        <v>122</v>
      </c>
      <c r="BJ3140">
        <v>0</v>
      </c>
      <c r="BL3140" t="s">
        <v>6512</v>
      </c>
      <c r="BM3140" s="4">
        <v>43283.692361111112</v>
      </c>
      <c r="BN3140" s="4">
        <v>43283.698611111111</v>
      </c>
      <c r="BO3140" s="4">
        <v>43283.698611111111</v>
      </c>
      <c r="BP3140" t="s">
        <v>92</v>
      </c>
      <c r="BQ3140" t="s">
        <v>93</v>
      </c>
      <c r="BR3140" t="s">
        <v>94</v>
      </c>
    </row>
    <row r="3141" spans="1:70" x14ac:dyDescent="0.3">
      <c r="A3141" t="str">
        <f>"202227E0100"</f>
        <v>202227E0100</v>
      </c>
      <c r="B3141" s="2" t="s">
        <v>6513</v>
      </c>
      <c r="C3141">
        <v>20</v>
      </c>
      <c r="D3141" t="s">
        <v>88</v>
      </c>
      <c r="E3141">
        <v>515</v>
      </c>
      <c r="F3141" t="s">
        <v>6347</v>
      </c>
      <c r="G3141">
        <v>2227</v>
      </c>
      <c r="H3141">
        <v>1</v>
      </c>
      <c r="I3141" t="s">
        <v>156</v>
      </c>
      <c r="J3141">
        <v>0</v>
      </c>
      <c r="K3141">
        <v>2</v>
      </c>
      <c r="L3141">
        <v>5</v>
      </c>
      <c r="BG3141">
        <v>273</v>
      </c>
      <c r="BI3141" t="s">
        <v>122</v>
      </c>
      <c r="BJ3141">
        <v>0</v>
      </c>
      <c r="BL3141" t="s">
        <v>6514</v>
      </c>
      <c r="BM3141" s="4">
        <v>43283.692361111112</v>
      </c>
      <c r="BN3141" s="4">
        <v>43283.698946759258</v>
      </c>
      <c r="BO3141" s="4">
        <v>43283.698946759258</v>
      </c>
      <c r="BP3141" t="s">
        <v>92</v>
      </c>
      <c r="BQ3141" t="s">
        <v>93</v>
      </c>
      <c r="BR3141" t="s">
        <v>94</v>
      </c>
    </row>
    <row r="3142" spans="1:70" x14ac:dyDescent="0.3">
      <c r="A3142" t="str">
        <f>"202228B0100"</f>
        <v>202228B0100</v>
      </c>
      <c r="B3142" t="s">
        <v>6515</v>
      </c>
      <c r="C3142">
        <v>20</v>
      </c>
      <c r="D3142" t="s">
        <v>88</v>
      </c>
      <c r="E3142">
        <v>515</v>
      </c>
      <c r="F3142" t="s">
        <v>6347</v>
      </c>
      <c r="G3142">
        <v>2228</v>
      </c>
      <c r="H3142">
        <v>1</v>
      </c>
      <c r="I3142" t="s">
        <v>90</v>
      </c>
      <c r="J3142">
        <v>0</v>
      </c>
      <c r="K3142">
        <v>2</v>
      </c>
      <c r="L3142">
        <v>5</v>
      </c>
      <c r="BG3142">
        <v>586</v>
      </c>
      <c r="BI3142" t="s">
        <v>122</v>
      </c>
      <c r="BJ3142">
        <v>0</v>
      </c>
      <c r="BL3142" s="2" t="s">
        <v>6516</v>
      </c>
      <c r="BM3142" s="4">
        <v>43283.692361111112</v>
      </c>
      <c r="BN3142" s="4">
        <v>43283.699502314812</v>
      </c>
      <c r="BO3142" s="4">
        <v>43283.699502314812</v>
      </c>
      <c r="BP3142" t="s">
        <v>92</v>
      </c>
      <c r="BQ3142" t="s">
        <v>93</v>
      </c>
      <c r="BR3142" t="s">
        <v>94</v>
      </c>
    </row>
    <row r="3143" spans="1:70" x14ac:dyDescent="0.3">
      <c r="A3143" t="str">
        <f>"202228C0100"</f>
        <v>202228C0100</v>
      </c>
      <c r="B3143" t="s">
        <v>6517</v>
      </c>
      <c r="C3143">
        <v>20</v>
      </c>
      <c r="D3143" t="s">
        <v>88</v>
      </c>
      <c r="E3143">
        <v>515</v>
      </c>
      <c r="F3143" t="s">
        <v>6347</v>
      </c>
      <c r="G3143">
        <v>2228</v>
      </c>
      <c r="H3143">
        <v>1</v>
      </c>
      <c r="I3143" t="s">
        <v>98</v>
      </c>
      <c r="J3143">
        <v>0</v>
      </c>
      <c r="K3143">
        <v>2</v>
      </c>
      <c r="L3143">
        <v>5</v>
      </c>
      <c r="BG3143">
        <v>586</v>
      </c>
      <c r="BI3143" t="s">
        <v>122</v>
      </c>
      <c r="BJ3143">
        <v>0</v>
      </c>
      <c r="BL3143" t="s">
        <v>6518</v>
      </c>
      <c r="BM3143" s="4">
        <v>43283.693055555559</v>
      </c>
      <c r="BN3143" s="4">
        <v>43283.698981481481</v>
      </c>
      <c r="BO3143" s="4">
        <v>43283.698981481481</v>
      </c>
      <c r="BP3143" t="s">
        <v>92</v>
      </c>
      <c r="BQ3143" t="s">
        <v>93</v>
      </c>
      <c r="BR3143" t="s">
        <v>94</v>
      </c>
    </row>
    <row r="3144" spans="1:70" x14ac:dyDescent="0.3">
      <c r="A3144" t="str">
        <f>"202228C0200"</f>
        <v>202228C0200</v>
      </c>
      <c r="B3144" t="s">
        <v>6519</v>
      </c>
      <c r="C3144">
        <v>20</v>
      </c>
      <c r="D3144" t="s">
        <v>88</v>
      </c>
      <c r="E3144">
        <v>515</v>
      </c>
      <c r="F3144" t="s">
        <v>6347</v>
      </c>
      <c r="G3144">
        <v>2228</v>
      </c>
      <c r="H3144">
        <v>2</v>
      </c>
      <c r="I3144" t="s">
        <v>98</v>
      </c>
      <c r="J3144">
        <v>0</v>
      </c>
      <c r="K3144">
        <v>2</v>
      </c>
      <c r="L3144">
        <v>5</v>
      </c>
      <c r="BG3144">
        <v>585</v>
      </c>
      <c r="BI3144" t="s">
        <v>122</v>
      </c>
      <c r="BJ3144">
        <v>0</v>
      </c>
      <c r="BL3144" t="s">
        <v>6520</v>
      </c>
      <c r="BM3144" s="4">
        <v>43283.693055555559</v>
      </c>
      <c r="BN3144" s="4">
        <v>43283.699166666665</v>
      </c>
      <c r="BO3144" s="4">
        <v>43283.699166666665</v>
      </c>
      <c r="BP3144" t="s">
        <v>92</v>
      </c>
      <c r="BQ3144" t="s">
        <v>93</v>
      </c>
      <c r="BR3144" t="s">
        <v>94</v>
      </c>
    </row>
    <row r="3145" spans="1:70" x14ac:dyDescent="0.3">
      <c r="A3145" t="str">
        <f>"202237B0100"</f>
        <v>202237B0100</v>
      </c>
      <c r="B3145" t="s">
        <v>6521</v>
      </c>
      <c r="C3145">
        <v>20</v>
      </c>
      <c r="D3145" t="s">
        <v>88</v>
      </c>
      <c r="E3145">
        <v>520</v>
      </c>
      <c r="F3145" t="s">
        <v>6522</v>
      </c>
      <c r="G3145">
        <v>2237</v>
      </c>
      <c r="H3145">
        <v>1</v>
      </c>
      <c r="I3145" t="s">
        <v>90</v>
      </c>
      <c r="J3145">
        <v>0</v>
      </c>
      <c r="K3145">
        <v>1</v>
      </c>
      <c r="L3145">
        <v>5</v>
      </c>
      <c r="M3145">
        <v>269</v>
      </c>
      <c r="N3145">
        <v>384</v>
      </c>
      <c r="O3145">
        <v>2</v>
      </c>
      <c r="P3145" t="s">
        <v>127</v>
      </c>
      <c r="Q3145">
        <v>7</v>
      </c>
      <c r="R3145">
        <v>122</v>
      </c>
      <c r="S3145">
        <v>107</v>
      </c>
      <c r="T3145">
        <v>0</v>
      </c>
      <c r="U3145">
        <v>10</v>
      </c>
      <c r="V3145">
        <v>0</v>
      </c>
      <c r="X3145">
        <v>3</v>
      </c>
      <c r="Y3145">
        <v>102</v>
      </c>
      <c r="Z3145">
        <v>1</v>
      </c>
      <c r="AC3145">
        <v>2</v>
      </c>
      <c r="AD3145">
        <v>0</v>
      </c>
      <c r="AE3145">
        <v>0</v>
      </c>
      <c r="AF3145">
        <v>1</v>
      </c>
      <c r="AG3145">
        <v>5</v>
      </c>
      <c r="AH3145">
        <v>3</v>
      </c>
      <c r="AI3145">
        <v>0</v>
      </c>
      <c r="AJ3145">
        <v>0</v>
      </c>
      <c r="AK3145">
        <v>1</v>
      </c>
      <c r="AL3145">
        <v>2</v>
      </c>
      <c r="AM3145">
        <v>0</v>
      </c>
      <c r="AN3145">
        <v>0</v>
      </c>
      <c r="BC3145">
        <v>0</v>
      </c>
      <c r="BD3145">
        <v>18</v>
      </c>
      <c r="BE3145">
        <v>384</v>
      </c>
      <c r="BF3145">
        <v>384</v>
      </c>
      <c r="BG3145">
        <v>631</v>
      </c>
      <c r="BJ3145">
        <v>1</v>
      </c>
      <c r="BL3145" t="s">
        <v>6523</v>
      </c>
      <c r="BM3145" s="4">
        <v>43283.260416666664</v>
      </c>
      <c r="BN3145" s="4">
        <v>43283.285821759258</v>
      </c>
      <c r="BO3145" s="4">
        <v>43283.285821759258</v>
      </c>
      <c r="BP3145" t="s">
        <v>92</v>
      </c>
      <c r="BQ3145" t="s">
        <v>93</v>
      </c>
      <c r="BR3145" t="s">
        <v>94</v>
      </c>
    </row>
    <row r="3146" spans="1:70" x14ac:dyDescent="0.3">
      <c r="A3146" t="str">
        <f>"202238B0100"</f>
        <v>202238B0100</v>
      </c>
      <c r="B3146" t="s">
        <v>6524</v>
      </c>
      <c r="C3146">
        <v>20</v>
      </c>
      <c r="D3146" t="s">
        <v>88</v>
      </c>
      <c r="E3146">
        <v>520</v>
      </c>
      <c r="F3146" t="s">
        <v>6522</v>
      </c>
      <c r="G3146">
        <v>2238</v>
      </c>
      <c r="H3146">
        <v>1</v>
      </c>
      <c r="I3146" t="s">
        <v>90</v>
      </c>
      <c r="J3146">
        <v>0</v>
      </c>
      <c r="K3146">
        <v>1</v>
      </c>
      <c r="L3146">
        <v>5</v>
      </c>
      <c r="M3146">
        <v>221</v>
      </c>
      <c r="N3146">
        <v>532</v>
      </c>
      <c r="O3146">
        <v>2</v>
      </c>
      <c r="P3146">
        <v>532</v>
      </c>
      <c r="Q3146">
        <v>7</v>
      </c>
      <c r="R3146">
        <v>148</v>
      </c>
      <c r="S3146">
        <v>267</v>
      </c>
      <c r="T3146">
        <v>1</v>
      </c>
      <c r="U3146">
        <v>6</v>
      </c>
      <c r="V3146">
        <v>2</v>
      </c>
      <c r="X3146">
        <v>6</v>
      </c>
      <c r="Y3146">
        <v>38</v>
      </c>
      <c r="Z3146">
        <v>0</v>
      </c>
      <c r="AC3146">
        <v>0</v>
      </c>
      <c r="AD3146">
        <v>3</v>
      </c>
      <c r="AE3146">
        <v>0</v>
      </c>
      <c r="AF3146">
        <v>2</v>
      </c>
      <c r="AG3146">
        <v>5</v>
      </c>
      <c r="AH3146">
        <v>0</v>
      </c>
      <c r="AI3146">
        <v>0</v>
      </c>
      <c r="AJ3146">
        <v>0</v>
      </c>
      <c r="AK3146">
        <v>3</v>
      </c>
      <c r="AL3146">
        <v>0</v>
      </c>
      <c r="AM3146">
        <v>0</v>
      </c>
      <c r="AN3146">
        <v>0</v>
      </c>
      <c r="BC3146">
        <v>0</v>
      </c>
      <c r="BD3146">
        <v>44</v>
      </c>
      <c r="BE3146">
        <v>532</v>
      </c>
      <c r="BF3146">
        <v>532</v>
      </c>
      <c r="BG3146">
        <v>731</v>
      </c>
      <c r="BJ3146">
        <v>1</v>
      </c>
      <c r="BL3146" t="s">
        <v>6525</v>
      </c>
      <c r="BM3146" s="4">
        <v>43282.265972222223</v>
      </c>
      <c r="BN3146" s="4">
        <v>43283.290358796294</v>
      </c>
      <c r="BO3146" s="4">
        <v>43283.290358796294</v>
      </c>
      <c r="BP3146" t="s">
        <v>92</v>
      </c>
      <c r="BQ3146" t="s">
        <v>93</v>
      </c>
      <c r="BR3146" t="s">
        <v>94</v>
      </c>
    </row>
    <row r="3147" spans="1:70" x14ac:dyDescent="0.3">
      <c r="A3147" t="str">
        <f>"202239B0100"</f>
        <v>202239B0100</v>
      </c>
      <c r="B3147" t="s">
        <v>6526</v>
      </c>
      <c r="C3147">
        <v>20</v>
      </c>
      <c r="D3147" t="s">
        <v>88</v>
      </c>
      <c r="E3147">
        <v>520</v>
      </c>
      <c r="F3147" t="s">
        <v>6522</v>
      </c>
      <c r="G3147">
        <v>2239</v>
      </c>
      <c r="H3147">
        <v>1</v>
      </c>
      <c r="I3147" t="s">
        <v>90</v>
      </c>
      <c r="J3147">
        <v>0</v>
      </c>
      <c r="K3147">
        <v>1</v>
      </c>
      <c r="L3147">
        <v>5</v>
      </c>
      <c r="M3147">
        <v>116</v>
      </c>
      <c r="N3147">
        <v>278</v>
      </c>
      <c r="O3147">
        <v>1</v>
      </c>
      <c r="P3147">
        <v>278</v>
      </c>
      <c r="Q3147">
        <v>1</v>
      </c>
      <c r="R3147">
        <v>103</v>
      </c>
      <c r="S3147">
        <v>127</v>
      </c>
      <c r="T3147">
        <v>2</v>
      </c>
      <c r="U3147">
        <v>4</v>
      </c>
      <c r="V3147">
        <v>1</v>
      </c>
      <c r="X3147">
        <v>1</v>
      </c>
      <c r="Y3147">
        <v>19</v>
      </c>
      <c r="Z3147">
        <v>4</v>
      </c>
      <c r="AC3147">
        <v>1</v>
      </c>
      <c r="AD3147">
        <v>3</v>
      </c>
      <c r="AE3147">
        <v>0</v>
      </c>
      <c r="AF3147">
        <v>0</v>
      </c>
      <c r="AG3147">
        <v>0</v>
      </c>
      <c r="AH3147">
        <v>1</v>
      </c>
      <c r="AI3147">
        <v>1</v>
      </c>
      <c r="AJ3147">
        <v>0</v>
      </c>
      <c r="AK3147">
        <v>2</v>
      </c>
      <c r="AL3147">
        <v>0</v>
      </c>
      <c r="AM3147">
        <v>0</v>
      </c>
      <c r="AN3147">
        <v>0</v>
      </c>
      <c r="BC3147">
        <v>0</v>
      </c>
      <c r="BD3147">
        <v>8</v>
      </c>
      <c r="BE3147">
        <v>278</v>
      </c>
      <c r="BF3147">
        <v>278</v>
      </c>
      <c r="BG3147">
        <v>420</v>
      </c>
      <c r="BJ3147">
        <v>1</v>
      </c>
      <c r="BL3147" t="s">
        <v>6527</v>
      </c>
      <c r="BM3147" s="4">
        <v>43283.054861111108</v>
      </c>
      <c r="BN3147" s="4">
        <v>43283.060057870367</v>
      </c>
      <c r="BO3147" s="4">
        <v>43283.060057870367</v>
      </c>
      <c r="BP3147" t="s">
        <v>92</v>
      </c>
      <c r="BQ3147" t="s">
        <v>93</v>
      </c>
      <c r="BR3147" t="s">
        <v>94</v>
      </c>
    </row>
    <row r="3148" spans="1:70" x14ac:dyDescent="0.3">
      <c r="A3148" t="str">
        <f>"202239C0100"</f>
        <v>202239C0100</v>
      </c>
      <c r="B3148" t="s">
        <v>6528</v>
      </c>
      <c r="C3148">
        <v>20</v>
      </c>
      <c r="D3148" t="s">
        <v>88</v>
      </c>
      <c r="E3148">
        <v>520</v>
      </c>
      <c r="F3148" t="s">
        <v>6522</v>
      </c>
      <c r="G3148">
        <v>2239</v>
      </c>
      <c r="H3148">
        <v>1</v>
      </c>
      <c r="I3148" t="s">
        <v>98</v>
      </c>
      <c r="J3148">
        <v>0</v>
      </c>
      <c r="K3148">
        <v>1</v>
      </c>
      <c r="L3148">
        <v>5</v>
      </c>
      <c r="M3148">
        <v>127</v>
      </c>
      <c r="N3148">
        <v>309</v>
      </c>
      <c r="O3148">
        <v>6</v>
      </c>
      <c r="P3148">
        <v>309</v>
      </c>
      <c r="Q3148">
        <v>7</v>
      </c>
      <c r="R3148">
        <v>85</v>
      </c>
      <c r="S3148">
        <v>161</v>
      </c>
      <c r="T3148">
        <v>3</v>
      </c>
      <c r="U3148">
        <v>1</v>
      </c>
      <c r="V3148">
        <v>2</v>
      </c>
      <c r="X3148">
        <v>4</v>
      </c>
      <c r="Y3148">
        <v>29</v>
      </c>
      <c r="Z3148">
        <v>0</v>
      </c>
      <c r="AC3148">
        <v>0</v>
      </c>
      <c r="AD3148">
        <v>0</v>
      </c>
      <c r="AE3148">
        <v>0</v>
      </c>
      <c r="AF3148">
        <v>0</v>
      </c>
      <c r="AG3148">
        <v>1</v>
      </c>
      <c r="AH3148">
        <v>2</v>
      </c>
      <c r="AI3148">
        <v>1</v>
      </c>
      <c r="AJ3148">
        <v>0</v>
      </c>
      <c r="AK3148">
        <v>1</v>
      </c>
      <c r="AL3148">
        <v>2</v>
      </c>
      <c r="AM3148">
        <v>1</v>
      </c>
      <c r="AN3148">
        <v>1</v>
      </c>
      <c r="BC3148">
        <v>0</v>
      </c>
      <c r="BD3148">
        <v>8</v>
      </c>
      <c r="BE3148">
        <v>309</v>
      </c>
      <c r="BF3148">
        <v>309</v>
      </c>
      <c r="BG3148">
        <v>420</v>
      </c>
      <c r="BJ3148">
        <v>1</v>
      </c>
      <c r="BL3148" t="s">
        <v>6529</v>
      </c>
      <c r="BM3148" s="4">
        <v>43282.063194444447</v>
      </c>
      <c r="BN3148" s="4">
        <v>43283.066724537035</v>
      </c>
      <c r="BO3148" s="4">
        <v>43283.066724537035</v>
      </c>
      <c r="BP3148" t="s">
        <v>92</v>
      </c>
      <c r="BQ3148" t="s">
        <v>93</v>
      </c>
      <c r="BR3148" t="s">
        <v>94</v>
      </c>
    </row>
    <row r="3149" spans="1:70" x14ac:dyDescent="0.3">
      <c r="A3149" t="str">
        <f>"202240B0100"</f>
        <v>202240B0100</v>
      </c>
      <c r="B3149" t="s">
        <v>6530</v>
      </c>
      <c r="C3149">
        <v>20</v>
      </c>
      <c r="D3149" t="s">
        <v>88</v>
      </c>
      <c r="E3149">
        <v>520</v>
      </c>
      <c r="F3149" t="s">
        <v>6522</v>
      </c>
      <c r="G3149">
        <v>2240</v>
      </c>
      <c r="H3149">
        <v>1</v>
      </c>
      <c r="I3149" t="s">
        <v>90</v>
      </c>
      <c r="J3149">
        <v>0</v>
      </c>
      <c r="K3149">
        <v>2</v>
      </c>
      <c r="L3149">
        <v>5</v>
      </c>
      <c r="M3149">
        <v>346</v>
      </c>
      <c r="N3149">
        <v>365</v>
      </c>
      <c r="O3149">
        <v>2</v>
      </c>
      <c r="P3149">
        <v>365</v>
      </c>
      <c r="Q3149">
        <v>1</v>
      </c>
      <c r="R3149">
        <v>166</v>
      </c>
      <c r="S3149">
        <v>90</v>
      </c>
      <c r="T3149">
        <v>1</v>
      </c>
      <c r="U3149">
        <v>5</v>
      </c>
      <c r="V3149">
        <v>1</v>
      </c>
      <c r="X3149">
        <v>2</v>
      </c>
      <c r="Y3149">
        <v>69</v>
      </c>
      <c r="Z3149">
        <v>0</v>
      </c>
      <c r="AC3149">
        <v>0</v>
      </c>
      <c r="AD3149">
        <v>1</v>
      </c>
      <c r="AE3149">
        <v>0</v>
      </c>
      <c r="AF3149">
        <v>1</v>
      </c>
      <c r="AG3149">
        <v>0</v>
      </c>
      <c r="AH3149">
        <v>0</v>
      </c>
      <c r="AI3149">
        <v>0</v>
      </c>
      <c r="AJ3149">
        <v>0</v>
      </c>
      <c r="AK3149">
        <v>0</v>
      </c>
      <c r="AL3149">
        <v>1</v>
      </c>
      <c r="AM3149">
        <v>0</v>
      </c>
      <c r="AN3149">
        <v>0</v>
      </c>
      <c r="BC3149">
        <v>0</v>
      </c>
      <c r="BD3149">
        <v>27</v>
      </c>
      <c r="BE3149">
        <v>365</v>
      </c>
      <c r="BF3149">
        <v>365</v>
      </c>
      <c r="BG3149">
        <v>689</v>
      </c>
      <c r="BJ3149">
        <v>1</v>
      </c>
      <c r="BL3149" t="s">
        <v>6531</v>
      </c>
      <c r="BM3149" s="4">
        <v>43282.268055555556</v>
      </c>
      <c r="BN3149" s="4">
        <v>43283.291134259256</v>
      </c>
      <c r="BO3149" s="4">
        <v>43283.291134259256</v>
      </c>
      <c r="BP3149" t="s">
        <v>92</v>
      </c>
      <c r="BQ3149" t="s">
        <v>93</v>
      </c>
      <c r="BR3149" t="s">
        <v>94</v>
      </c>
    </row>
    <row r="3150" spans="1:70" x14ac:dyDescent="0.3">
      <c r="A3150" t="str">
        <f>"202241B0100"</f>
        <v>202241B0100</v>
      </c>
      <c r="B3150" t="s">
        <v>6532</v>
      </c>
      <c r="C3150">
        <v>20</v>
      </c>
      <c r="D3150" t="s">
        <v>88</v>
      </c>
      <c r="E3150">
        <v>520</v>
      </c>
      <c r="F3150" t="s">
        <v>6522</v>
      </c>
      <c r="G3150">
        <v>2241</v>
      </c>
      <c r="H3150">
        <v>1</v>
      </c>
      <c r="I3150" t="s">
        <v>90</v>
      </c>
      <c r="J3150">
        <v>0</v>
      </c>
      <c r="K3150">
        <v>2</v>
      </c>
      <c r="L3150">
        <v>5</v>
      </c>
      <c r="M3150">
        <v>79</v>
      </c>
      <c r="N3150" t="s">
        <v>127</v>
      </c>
      <c r="O3150">
        <v>4</v>
      </c>
      <c r="P3150">
        <v>79</v>
      </c>
      <c r="Q3150">
        <v>0</v>
      </c>
      <c r="R3150">
        <v>31</v>
      </c>
      <c r="S3150">
        <v>24</v>
      </c>
      <c r="T3150">
        <v>0</v>
      </c>
      <c r="U3150">
        <v>0</v>
      </c>
      <c r="V3150">
        <v>2</v>
      </c>
      <c r="X3150">
        <v>3</v>
      </c>
      <c r="Y3150">
        <v>11</v>
      </c>
      <c r="Z3150">
        <v>0</v>
      </c>
      <c r="AC3150">
        <v>0</v>
      </c>
      <c r="AD3150">
        <v>0</v>
      </c>
      <c r="AE3150">
        <v>0</v>
      </c>
      <c r="AF3150">
        <v>0</v>
      </c>
      <c r="AG3150">
        <v>0</v>
      </c>
      <c r="AH3150">
        <v>0</v>
      </c>
      <c r="AI3150">
        <v>0</v>
      </c>
      <c r="AJ3150">
        <v>0</v>
      </c>
      <c r="AK3150">
        <v>1</v>
      </c>
      <c r="AL3150">
        <v>0</v>
      </c>
      <c r="AM3150">
        <v>0</v>
      </c>
      <c r="AN3150">
        <v>0</v>
      </c>
      <c r="BC3150">
        <v>0</v>
      </c>
      <c r="BD3150">
        <v>7</v>
      </c>
      <c r="BE3150">
        <v>79</v>
      </c>
      <c r="BF3150">
        <v>79</v>
      </c>
      <c r="BG3150">
        <v>136</v>
      </c>
      <c r="BJ3150">
        <v>1</v>
      </c>
      <c r="BL3150" t="s">
        <v>6533</v>
      </c>
      <c r="BM3150" s="4">
        <v>43282.362500000003</v>
      </c>
      <c r="BN3150" s="4">
        <v>43283.391261574077</v>
      </c>
      <c r="BO3150" s="4">
        <v>43283.391261574077</v>
      </c>
      <c r="BP3150" t="s">
        <v>92</v>
      </c>
      <c r="BQ3150" t="s">
        <v>93</v>
      </c>
      <c r="BR3150" t="s">
        <v>94</v>
      </c>
    </row>
    <row r="3151" spans="1:70" x14ac:dyDescent="0.3">
      <c r="A3151" t="str">
        <f>"202242B0100"</f>
        <v>202242B0100</v>
      </c>
      <c r="B3151" t="s">
        <v>6534</v>
      </c>
      <c r="C3151">
        <v>20</v>
      </c>
      <c r="D3151" t="s">
        <v>88</v>
      </c>
      <c r="E3151">
        <v>520</v>
      </c>
      <c r="F3151" t="s">
        <v>6522</v>
      </c>
      <c r="G3151">
        <v>2242</v>
      </c>
      <c r="H3151">
        <v>1</v>
      </c>
      <c r="I3151" t="s">
        <v>90</v>
      </c>
      <c r="J3151">
        <v>0</v>
      </c>
      <c r="K3151">
        <v>2</v>
      </c>
      <c r="L3151">
        <v>5</v>
      </c>
      <c r="M3151" t="s">
        <v>127</v>
      </c>
      <c r="N3151" t="s">
        <v>127</v>
      </c>
      <c r="O3151" t="s">
        <v>127</v>
      </c>
      <c r="P3151" t="s">
        <v>127</v>
      </c>
      <c r="Q3151">
        <v>1</v>
      </c>
      <c r="R3151">
        <v>21</v>
      </c>
      <c r="S3151">
        <v>86</v>
      </c>
      <c r="T3151">
        <v>4</v>
      </c>
      <c r="U3151">
        <v>14</v>
      </c>
      <c r="V3151">
        <v>5</v>
      </c>
      <c r="X3151">
        <v>3</v>
      </c>
      <c r="Y3151">
        <v>123</v>
      </c>
      <c r="Z3151">
        <v>2</v>
      </c>
      <c r="AC3151" t="s">
        <v>105</v>
      </c>
      <c r="AD3151" t="s">
        <v>105</v>
      </c>
      <c r="AE3151" t="s">
        <v>105</v>
      </c>
      <c r="AF3151" t="s">
        <v>105</v>
      </c>
      <c r="AG3151" t="s">
        <v>105</v>
      </c>
      <c r="AH3151" t="s">
        <v>105</v>
      </c>
      <c r="AI3151" t="s">
        <v>105</v>
      </c>
      <c r="AJ3151" t="s">
        <v>105</v>
      </c>
      <c r="AK3151" t="s">
        <v>105</v>
      </c>
      <c r="AL3151" t="s">
        <v>105</v>
      </c>
      <c r="AM3151" t="s">
        <v>105</v>
      </c>
      <c r="AN3151" t="s">
        <v>105</v>
      </c>
      <c r="BC3151" t="s">
        <v>105</v>
      </c>
      <c r="BD3151" t="s">
        <v>105</v>
      </c>
      <c r="BE3151" t="s">
        <v>105</v>
      </c>
      <c r="BF3151">
        <v>259</v>
      </c>
      <c r="BG3151">
        <v>611</v>
      </c>
      <c r="BI3151" t="s">
        <v>106</v>
      </c>
      <c r="BJ3151">
        <v>1</v>
      </c>
      <c r="BL3151" t="s">
        <v>6535</v>
      </c>
      <c r="BM3151" s="4">
        <v>43282.353472222225</v>
      </c>
      <c r="BN3151" s="4">
        <v>43283.386064814818</v>
      </c>
      <c r="BO3151" s="4">
        <v>43283.386064814818</v>
      </c>
      <c r="BP3151" t="s">
        <v>92</v>
      </c>
      <c r="BQ3151" t="s">
        <v>93</v>
      </c>
      <c r="BR3151" t="s">
        <v>94</v>
      </c>
    </row>
    <row r="3152" spans="1:70" x14ac:dyDescent="0.3">
      <c r="A3152" t="str">
        <f>"202242C0100"</f>
        <v>202242C0100</v>
      </c>
      <c r="B3152" t="s">
        <v>6536</v>
      </c>
      <c r="C3152">
        <v>20</v>
      </c>
      <c r="D3152" t="s">
        <v>88</v>
      </c>
      <c r="E3152">
        <v>520</v>
      </c>
      <c r="F3152" t="s">
        <v>6522</v>
      </c>
      <c r="G3152">
        <v>2242</v>
      </c>
      <c r="H3152">
        <v>1</v>
      </c>
      <c r="I3152" t="s">
        <v>98</v>
      </c>
      <c r="J3152">
        <v>0</v>
      </c>
      <c r="K3152">
        <v>2</v>
      </c>
      <c r="L3152">
        <v>5</v>
      </c>
      <c r="M3152">
        <v>351</v>
      </c>
      <c r="N3152">
        <v>282</v>
      </c>
      <c r="O3152">
        <v>4</v>
      </c>
      <c r="P3152">
        <v>282</v>
      </c>
      <c r="Q3152">
        <v>4</v>
      </c>
      <c r="R3152">
        <v>34</v>
      </c>
      <c r="S3152">
        <v>86</v>
      </c>
      <c r="T3152">
        <v>3</v>
      </c>
      <c r="U3152">
        <v>23</v>
      </c>
      <c r="V3152">
        <v>3</v>
      </c>
      <c r="X3152">
        <v>6</v>
      </c>
      <c r="Y3152">
        <v>93</v>
      </c>
      <c r="Z3152">
        <v>4</v>
      </c>
      <c r="AC3152">
        <v>0</v>
      </c>
      <c r="AD3152">
        <v>1</v>
      </c>
      <c r="AE3152">
        <v>0</v>
      </c>
      <c r="AF3152">
        <v>1</v>
      </c>
      <c r="AG3152">
        <v>0</v>
      </c>
      <c r="AH3152">
        <v>0</v>
      </c>
      <c r="AI3152">
        <v>0</v>
      </c>
      <c r="AJ3152">
        <v>0</v>
      </c>
      <c r="AK3152">
        <v>0</v>
      </c>
      <c r="AL3152">
        <v>1</v>
      </c>
      <c r="AM3152">
        <v>0</v>
      </c>
      <c r="AN3152">
        <v>2</v>
      </c>
      <c r="BC3152">
        <v>0</v>
      </c>
      <c r="BD3152">
        <v>21</v>
      </c>
      <c r="BE3152">
        <v>282</v>
      </c>
      <c r="BF3152">
        <v>282</v>
      </c>
      <c r="BG3152">
        <v>610</v>
      </c>
      <c r="BJ3152">
        <v>1</v>
      </c>
      <c r="BL3152" t="s">
        <v>6537</v>
      </c>
      <c r="BM3152" s="4">
        <v>43282.348611111112</v>
      </c>
      <c r="BN3152" s="4">
        <v>43283.359409722223</v>
      </c>
      <c r="BO3152" s="4">
        <v>43283.359409722223</v>
      </c>
      <c r="BP3152" t="s">
        <v>92</v>
      </c>
      <c r="BQ3152" t="s">
        <v>93</v>
      </c>
      <c r="BR3152" t="s">
        <v>94</v>
      </c>
    </row>
    <row r="3153" spans="1:70" x14ac:dyDescent="0.3">
      <c r="A3153" t="str">
        <f>"202242C0200"</f>
        <v>202242C0200</v>
      </c>
      <c r="B3153" t="s">
        <v>6538</v>
      </c>
      <c r="C3153">
        <v>20</v>
      </c>
      <c r="D3153" t="s">
        <v>88</v>
      </c>
      <c r="E3153">
        <v>520</v>
      </c>
      <c r="F3153" t="s">
        <v>6522</v>
      </c>
      <c r="G3153">
        <v>2242</v>
      </c>
      <c r="H3153">
        <v>2</v>
      </c>
      <c r="I3153" t="s">
        <v>98</v>
      </c>
      <c r="J3153">
        <v>0</v>
      </c>
      <c r="K3153">
        <v>2</v>
      </c>
      <c r="L3153">
        <v>5</v>
      </c>
      <c r="M3153">
        <v>383</v>
      </c>
      <c r="N3153">
        <v>250</v>
      </c>
      <c r="O3153">
        <v>4</v>
      </c>
      <c r="P3153">
        <v>250</v>
      </c>
      <c r="Q3153">
        <v>6</v>
      </c>
      <c r="R3153">
        <v>25</v>
      </c>
      <c r="S3153">
        <v>78</v>
      </c>
      <c r="T3153">
        <v>0</v>
      </c>
      <c r="U3153">
        <v>13</v>
      </c>
      <c r="V3153">
        <v>5</v>
      </c>
      <c r="X3153">
        <v>3</v>
      </c>
      <c r="Y3153">
        <v>98</v>
      </c>
      <c r="Z3153">
        <v>1</v>
      </c>
      <c r="AC3153">
        <v>0</v>
      </c>
      <c r="AD3153">
        <v>1</v>
      </c>
      <c r="AE3153">
        <v>0</v>
      </c>
      <c r="AF3153">
        <v>0</v>
      </c>
      <c r="AG3153">
        <v>0</v>
      </c>
      <c r="AH3153">
        <v>0</v>
      </c>
      <c r="AI3153">
        <v>0</v>
      </c>
      <c r="AJ3153">
        <v>0</v>
      </c>
      <c r="AK3153">
        <v>0</v>
      </c>
      <c r="AL3153">
        <v>2</v>
      </c>
      <c r="AM3153">
        <v>0</v>
      </c>
      <c r="AN3153">
        <v>0</v>
      </c>
      <c r="BC3153">
        <v>0</v>
      </c>
      <c r="BD3153">
        <v>18</v>
      </c>
      <c r="BE3153">
        <v>250</v>
      </c>
      <c r="BF3153">
        <v>250</v>
      </c>
      <c r="BG3153">
        <v>610</v>
      </c>
      <c r="BJ3153">
        <v>1</v>
      </c>
      <c r="BL3153" t="s">
        <v>6539</v>
      </c>
      <c r="BM3153" s="4">
        <v>43282.355555555558</v>
      </c>
      <c r="BN3153" s="4">
        <v>43283.368796296294</v>
      </c>
      <c r="BO3153" s="4">
        <v>43283.368796296294</v>
      </c>
      <c r="BP3153" t="s">
        <v>92</v>
      </c>
      <c r="BQ3153" t="s">
        <v>93</v>
      </c>
      <c r="BR3153" t="s">
        <v>94</v>
      </c>
    </row>
    <row r="3154" spans="1:70" x14ac:dyDescent="0.3">
      <c r="A3154" t="str">
        <f>"202243B0100"</f>
        <v>202243B0100</v>
      </c>
      <c r="B3154" t="s">
        <v>6540</v>
      </c>
      <c r="C3154">
        <v>20</v>
      </c>
      <c r="D3154" t="s">
        <v>88</v>
      </c>
      <c r="E3154">
        <v>520</v>
      </c>
      <c r="F3154" t="s">
        <v>6522</v>
      </c>
      <c r="G3154">
        <v>2243</v>
      </c>
      <c r="H3154">
        <v>1</v>
      </c>
      <c r="I3154" t="s">
        <v>90</v>
      </c>
      <c r="J3154">
        <v>0</v>
      </c>
      <c r="K3154">
        <v>2</v>
      </c>
      <c r="L3154">
        <v>5</v>
      </c>
      <c r="M3154">
        <v>228</v>
      </c>
      <c r="N3154">
        <v>265</v>
      </c>
      <c r="O3154">
        <v>0</v>
      </c>
      <c r="P3154">
        <v>265</v>
      </c>
      <c r="Q3154">
        <v>2</v>
      </c>
      <c r="R3154">
        <v>58</v>
      </c>
      <c r="S3154">
        <v>41</v>
      </c>
      <c r="T3154">
        <v>1</v>
      </c>
      <c r="U3154">
        <v>8</v>
      </c>
      <c r="V3154">
        <v>0</v>
      </c>
      <c r="X3154">
        <v>1</v>
      </c>
      <c r="Y3154">
        <v>127</v>
      </c>
      <c r="Z3154">
        <v>2</v>
      </c>
      <c r="AC3154">
        <v>0</v>
      </c>
      <c r="AD3154">
        <v>0</v>
      </c>
      <c r="AE3154">
        <v>0</v>
      </c>
      <c r="AF3154">
        <v>0</v>
      </c>
      <c r="AG3154">
        <v>0</v>
      </c>
      <c r="AH3154">
        <v>0</v>
      </c>
      <c r="AI3154">
        <v>0</v>
      </c>
      <c r="AJ3154">
        <v>0</v>
      </c>
      <c r="AK3154">
        <v>4</v>
      </c>
      <c r="AL3154">
        <v>0</v>
      </c>
      <c r="AM3154">
        <v>0</v>
      </c>
      <c r="AN3154">
        <v>0</v>
      </c>
      <c r="BC3154">
        <v>0</v>
      </c>
      <c r="BD3154">
        <v>21</v>
      </c>
      <c r="BE3154">
        <v>265</v>
      </c>
      <c r="BF3154">
        <v>265</v>
      </c>
      <c r="BG3154">
        <v>472</v>
      </c>
      <c r="BJ3154">
        <v>1</v>
      </c>
      <c r="BL3154" t="s">
        <v>6541</v>
      </c>
      <c r="BM3154" s="4">
        <v>43282.175000000003</v>
      </c>
      <c r="BN3154" s="4">
        <v>43283.191238425927</v>
      </c>
      <c r="BO3154" s="4">
        <v>43283.191238425927</v>
      </c>
      <c r="BP3154" t="s">
        <v>92</v>
      </c>
      <c r="BQ3154" t="s">
        <v>93</v>
      </c>
      <c r="BR3154" t="s">
        <v>94</v>
      </c>
    </row>
    <row r="3155" spans="1:70" x14ac:dyDescent="0.3">
      <c r="A3155" t="str">
        <f>"202243C0100"</f>
        <v>202243C0100</v>
      </c>
      <c r="B3155" t="s">
        <v>6542</v>
      </c>
      <c r="C3155">
        <v>20</v>
      </c>
      <c r="D3155" t="s">
        <v>88</v>
      </c>
      <c r="E3155">
        <v>520</v>
      </c>
      <c r="F3155" t="s">
        <v>6522</v>
      </c>
      <c r="G3155">
        <v>2243</v>
      </c>
      <c r="H3155">
        <v>1</v>
      </c>
      <c r="I3155" t="s">
        <v>98</v>
      </c>
      <c r="J3155">
        <v>0</v>
      </c>
      <c r="K3155">
        <v>2</v>
      </c>
      <c r="L3155">
        <v>5</v>
      </c>
      <c r="BG3155">
        <v>472</v>
      </c>
      <c r="BI3155" t="s">
        <v>122</v>
      </c>
      <c r="BJ3155">
        <v>0</v>
      </c>
      <c r="BL3155" t="s">
        <v>6543</v>
      </c>
      <c r="BM3155" s="4">
        <v>43282.402083333334</v>
      </c>
      <c r="BN3155" s="4">
        <v>43283.408379629633</v>
      </c>
      <c r="BO3155" s="4">
        <v>43283.408379629633</v>
      </c>
      <c r="BP3155" t="s">
        <v>92</v>
      </c>
      <c r="BQ3155" t="s">
        <v>93</v>
      </c>
      <c r="BR3155" t="s">
        <v>94</v>
      </c>
    </row>
    <row r="3156" spans="1:70" x14ac:dyDescent="0.3">
      <c r="A3156" t="str">
        <f>"202249B0100"</f>
        <v>202249B0100</v>
      </c>
      <c r="B3156" t="s">
        <v>6544</v>
      </c>
      <c r="C3156">
        <v>20</v>
      </c>
      <c r="D3156" t="s">
        <v>88</v>
      </c>
      <c r="E3156">
        <v>525</v>
      </c>
      <c r="F3156" t="s">
        <v>6545</v>
      </c>
      <c r="G3156">
        <v>2249</v>
      </c>
      <c r="H3156">
        <v>1</v>
      </c>
      <c r="I3156" t="s">
        <v>90</v>
      </c>
      <c r="J3156">
        <v>0</v>
      </c>
      <c r="K3156">
        <v>1</v>
      </c>
      <c r="L3156">
        <v>5</v>
      </c>
      <c r="M3156">
        <v>148</v>
      </c>
      <c r="N3156">
        <v>408</v>
      </c>
      <c r="O3156">
        <v>0</v>
      </c>
      <c r="P3156">
        <v>406</v>
      </c>
      <c r="Q3156">
        <v>20</v>
      </c>
      <c r="R3156">
        <v>111</v>
      </c>
      <c r="S3156">
        <v>26</v>
      </c>
      <c r="T3156">
        <v>18</v>
      </c>
      <c r="U3156">
        <v>3</v>
      </c>
      <c r="V3156">
        <v>37</v>
      </c>
      <c r="W3156">
        <v>0</v>
      </c>
      <c r="X3156">
        <v>43</v>
      </c>
      <c r="Y3156">
        <v>106</v>
      </c>
      <c r="Z3156">
        <v>3</v>
      </c>
      <c r="AC3156">
        <v>5</v>
      </c>
      <c r="AD3156">
        <v>1</v>
      </c>
      <c r="AE3156">
        <v>0</v>
      </c>
      <c r="AF3156">
        <v>2</v>
      </c>
      <c r="AK3156">
        <v>2</v>
      </c>
      <c r="AL3156">
        <v>1</v>
      </c>
      <c r="AM3156">
        <v>0</v>
      </c>
      <c r="AN3156">
        <v>0</v>
      </c>
      <c r="AS3156">
        <v>7</v>
      </c>
      <c r="AT3156">
        <v>4</v>
      </c>
      <c r="AU3156">
        <v>0</v>
      </c>
      <c r="AV3156">
        <v>1</v>
      </c>
      <c r="BC3156">
        <v>0</v>
      </c>
      <c r="BD3156">
        <v>16</v>
      </c>
      <c r="BE3156">
        <v>406</v>
      </c>
      <c r="BF3156">
        <v>406</v>
      </c>
      <c r="BG3156">
        <v>534</v>
      </c>
      <c r="BJ3156">
        <v>1</v>
      </c>
      <c r="BL3156" t="s">
        <v>6546</v>
      </c>
      <c r="BM3156" s="4">
        <v>43283.051388888889</v>
      </c>
      <c r="BN3156" s="4">
        <v>43283.056064814817</v>
      </c>
      <c r="BO3156" s="4">
        <v>43283.056064814817</v>
      </c>
      <c r="BP3156" t="s">
        <v>92</v>
      </c>
      <c r="BQ3156" t="s">
        <v>93</v>
      </c>
      <c r="BR3156" t="s">
        <v>94</v>
      </c>
    </row>
    <row r="3157" spans="1:70" x14ac:dyDescent="0.3">
      <c r="A3157" t="str">
        <f>"202249C0100"</f>
        <v>202249C0100</v>
      </c>
      <c r="B3157" t="s">
        <v>6547</v>
      </c>
      <c r="C3157">
        <v>20</v>
      </c>
      <c r="D3157" t="s">
        <v>88</v>
      </c>
      <c r="E3157">
        <v>525</v>
      </c>
      <c r="F3157" t="s">
        <v>6545</v>
      </c>
      <c r="G3157">
        <v>2249</v>
      </c>
      <c r="H3157">
        <v>1</v>
      </c>
      <c r="I3157" t="s">
        <v>98</v>
      </c>
      <c r="J3157">
        <v>0</v>
      </c>
      <c r="K3157">
        <v>1</v>
      </c>
      <c r="L3157">
        <v>5</v>
      </c>
      <c r="M3157">
        <v>135</v>
      </c>
      <c r="N3157">
        <v>420</v>
      </c>
      <c r="O3157">
        <v>1</v>
      </c>
      <c r="P3157">
        <v>420</v>
      </c>
      <c r="Q3157">
        <v>20</v>
      </c>
      <c r="R3157">
        <v>30</v>
      </c>
      <c r="S3157">
        <v>16</v>
      </c>
      <c r="T3157">
        <v>11</v>
      </c>
      <c r="U3157">
        <v>3</v>
      </c>
      <c r="V3157">
        <v>36</v>
      </c>
      <c r="W3157">
        <v>0</v>
      </c>
      <c r="X3157">
        <v>46</v>
      </c>
      <c r="Y3157">
        <v>128</v>
      </c>
      <c r="Z3157">
        <v>2</v>
      </c>
      <c r="AC3157">
        <v>4</v>
      </c>
      <c r="AD3157">
        <v>0</v>
      </c>
      <c r="AE3157">
        <v>0</v>
      </c>
      <c r="AF3157">
        <v>2</v>
      </c>
      <c r="AK3157">
        <v>1</v>
      </c>
      <c r="AL3157">
        <v>1</v>
      </c>
      <c r="AM3157">
        <v>0</v>
      </c>
      <c r="AN3157">
        <v>0</v>
      </c>
      <c r="AS3157">
        <v>9</v>
      </c>
      <c r="AT3157">
        <v>0</v>
      </c>
      <c r="AU3157">
        <v>0</v>
      </c>
      <c r="AV3157">
        <v>0</v>
      </c>
      <c r="BC3157">
        <v>0</v>
      </c>
      <c r="BD3157">
        <v>11</v>
      </c>
      <c r="BE3157">
        <v>417</v>
      </c>
      <c r="BF3157">
        <v>320</v>
      </c>
      <c r="BG3157">
        <v>533</v>
      </c>
      <c r="BJ3157">
        <v>1</v>
      </c>
      <c r="BL3157" t="s">
        <v>6548</v>
      </c>
      <c r="BM3157" s="4">
        <v>43283.047222222223</v>
      </c>
      <c r="BN3157" s="4">
        <v>43283.050428240742</v>
      </c>
      <c r="BO3157" s="4">
        <v>43283.050428240742</v>
      </c>
      <c r="BP3157" t="s">
        <v>92</v>
      </c>
      <c r="BQ3157" t="s">
        <v>93</v>
      </c>
      <c r="BR3157" t="s">
        <v>94</v>
      </c>
    </row>
    <row r="3158" spans="1:70" x14ac:dyDescent="0.3">
      <c r="A3158" t="str">
        <f>"202250B0100"</f>
        <v>202250B0100</v>
      </c>
      <c r="B3158" t="s">
        <v>6549</v>
      </c>
      <c r="C3158">
        <v>20</v>
      </c>
      <c r="D3158" t="s">
        <v>88</v>
      </c>
      <c r="E3158">
        <v>525</v>
      </c>
      <c r="F3158" t="s">
        <v>6545</v>
      </c>
      <c r="G3158">
        <v>2250</v>
      </c>
      <c r="H3158">
        <v>1</v>
      </c>
      <c r="I3158" t="s">
        <v>90</v>
      </c>
      <c r="J3158">
        <v>0</v>
      </c>
      <c r="K3158">
        <v>1</v>
      </c>
      <c r="L3158">
        <v>5</v>
      </c>
      <c r="BG3158">
        <v>666</v>
      </c>
      <c r="BI3158" t="s">
        <v>122</v>
      </c>
      <c r="BJ3158">
        <v>0</v>
      </c>
      <c r="BL3158" t="s">
        <v>6550</v>
      </c>
      <c r="BM3158" s="4">
        <v>43282.311805555553</v>
      </c>
      <c r="BN3158" s="4">
        <v>43283.319074074076</v>
      </c>
      <c r="BO3158" s="4">
        <v>43283.319074074076</v>
      </c>
      <c r="BP3158" t="s">
        <v>92</v>
      </c>
      <c r="BQ3158" t="s">
        <v>93</v>
      </c>
      <c r="BR3158" t="s">
        <v>94</v>
      </c>
    </row>
    <row r="3159" spans="1:70" x14ac:dyDescent="0.3">
      <c r="A3159" t="str">
        <f>"202250C0100"</f>
        <v>202250C0100</v>
      </c>
      <c r="B3159" t="s">
        <v>6551</v>
      </c>
      <c r="C3159">
        <v>20</v>
      </c>
      <c r="D3159" t="s">
        <v>88</v>
      </c>
      <c r="E3159">
        <v>525</v>
      </c>
      <c r="F3159" t="s">
        <v>6545</v>
      </c>
      <c r="G3159">
        <v>2250</v>
      </c>
      <c r="H3159">
        <v>1</v>
      </c>
      <c r="I3159" t="s">
        <v>98</v>
      </c>
      <c r="J3159">
        <v>0</v>
      </c>
      <c r="K3159">
        <v>1</v>
      </c>
      <c r="L3159">
        <v>5</v>
      </c>
      <c r="M3159">
        <v>188</v>
      </c>
      <c r="N3159">
        <v>500</v>
      </c>
      <c r="O3159">
        <v>0</v>
      </c>
      <c r="P3159">
        <v>500</v>
      </c>
      <c r="Q3159">
        <v>9</v>
      </c>
      <c r="R3159">
        <v>151</v>
      </c>
      <c r="S3159">
        <v>29</v>
      </c>
      <c r="T3159">
        <v>32</v>
      </c>
      <c r="U3159">
        <v>4</v>
      </c>
      <c r="V3159">
        <v>29</v>
      </c>
      <c r="W3159">
        <v>1</v>
      </c>
      <c r="X3159">
        <v>59</v>
      </c>
      <c r="Y3159">
        <v>156</v>
      </c>
      <c r="Z3159">
        <v>6</v>
      </c>
      <c r="AC3159">
        <v>3</v>
      </c>
      <c r="AD3159">
        <v>1</v>
      </c>
      <c r="AE3159">
        <v>0</v>
      </c>
      <c r="AF3159">
        <v>1</v>
      </c>
      <c r="AK3159">
        <v>1</v>
      </c>
      <c r="AL3159">
        <v>0</v>
      </c>
      <c r="AM3159">
        <v>0</v>
      </c>
      <c r="AN3159">
        <v>0</v>
      </c>
      <c r="AS3159">
        <v>5</v>
      </c>
      <c r="AT3159">
        <v>1</v>
      </c>
      <c r="AU3159">
        <v>1</v>
      </c>
      <c r="AV3159">
        <v>0</v>
      </c>
      <c r="BC3159">
        <v>0</v>
      </c>
      <c r="BD3159">
        <v>11</v>
      </c>
      <c r="BE3159">
        <v>500</v>
      </c>
      <c r="BF3159">
        <v>500</v>
      </c>
      <c r="BG3159">
        <v>665</v>
      </c>
      <c r="BJ3159">
        <v>1</v>
      </c>
      <c r="BL3159" t="s">
        <v>6552</v>
      </c>
      <c r="BM3159" s="4">
        <v>43283.0625</v>
      </c>
      <c r="BN3159" s="4">
        <v>43283.069004629629</v>
      </c>
      <c r="BO3159" s="4">
        <v>43283.069004629629</v>
      </c>
      <c r="BP3159" t="s">
        <v>92</v>
      </c>
      <c r="BQ3159" t="s">
        <v>93</v>
      </c>
      <c r="BR3159" t="s">
        <v>94</v>
      </c>
    </row>
    <row r="3160" spans="1:70" x14ac:dyDescent="0.3">
      <c r="A3160" t="str">
        <f>"202251B0100"</f>
        <v>202251B0100</v>
      </c>
      <c r="B3160" t="s">
        <v>6553</v>
      </c>
      <c r="C3160">
        <v>20</v>
      </c>
      <c r="D3160" t="s">
        <v>88</v>
      </c>
      <c r="E3160">
        <v>525</v>
      </c>
      <c r="F3160" t="s">
        <v>6545</v>
      </c>
      <c r="G3160">
        <v>2251</v>
      </c>
      <c r="H3160">
        <v>1</v>
      </c>
      <c r="I3160" t="s">
        <v>90</v>
      </c>
      <c r="J3160">
        <v>0</v>
      </c>
      <c r="K3160">
        <v>1</v>
      </c>
      <c r="L3160">
        <v>5</v>
      </c>
      <c r="M3160">
        <v>210</v>
      </c>
      <c r="N3160">
        <v>439</v>
      </c>
      <c r="O3160">
        <v>1</v>
      </c>
      <c r="P3160" t="s">
        <v>105</v>
      </c>
      <c r="Q3160">
        <v>21</v>
      </c>
      <c r="R3160">
        <v>128</v>
      </c>
      <c r="S3160">
        <v>19</v>
      </c>
      <c r="T3160">
        <v>19</v>
      </c>
      <c r="U3160">
        <v>4</v>
      </c>
      <c r="V3160">
        <v>16</v>
      </c>
      <c r="W3160">
        <v>1</v>
      </c>
      <c r="X3160">
        <v>74</v>
      </c>
      <c r="Y3160">
        <v>125</v>
      </c>
      <c r="Z3160">
        <v>6</v>
      </c>
      <c r="AC3160">
        <v>2</v>
      </c>
      <c r="AD3160" t="s">
        <v>105</v>
      </c>
      <c r="AE3160" t="s">
        <v>105</v>
      </c>
      <c r="AF3160" t="s">
        <v>105</v>
      </c>
      <c r="AK3160" t="s">
        <v>105</v>
      </c>
      <c r="AL3160">
        <v>1</v>
      </c>
      <c r="AM3160" t="s">
        <v>105</v>
      </c>
      <c r="AN3160" t="s">
        <v>105</v>
      </c>
      <c r="AS3160">
        <v>10</v>
      </c>
      <c r="AT3160">
        <v>1</v>
      </c>
      <c r="AU3160" t="s">
        <v>105</v>
      </c>
      <c r="AV3160" t="s">
        <v>105</v>
      </c>
      <c r="BC3160" t="s">
        <v>105</v>
      </c>
      <c r="BD3160">
        <v>12</v>
      </c>
      <c r="BE3160">
        <v>439</v>
      </c>
      <c r="BF3160">
        <v>439</v>
      </c>
      <c r="BG3160">
        <v>627</v>
      </c>
      <c r="BI3160" t="s">
        <v>106</v>
      </c>
      <c r="BJ3160">
        <v>1</v>
      </c>
      <c r="BL3160" t="s">
        <v>6554</v>
      </c>
      <c r="BM3160" s="4">
        <v>43283.040277777778</v>
      </c>
      <c r="BN3160" s="4">
        <v>43283.045949074076</v>
      </c>
      <c r="BO3160" s="4">
        <v>43283.045949074076</v>
      </c>
      <c r="BP3160" t="s">
        <v>92</v>
      </c>
      <c r="BQ3160" t="s">
        <v>93</v>
      </c>
      <c r="BR3160" t="s">
        <v>94</v>
      </c>
    </row>
    <row r="3161" spans="1:70" x14ac:dyDescent="0.3">
      <c r="A3161" t="str">
        <f>"202251C0100"</f>
        <v>202251C0100</v>
      </c>
      <c r="B3161" t="s">
        <v>6555</v>
      </c>
      <c r="C3161">
        <v>20</v>
      </c>
      <c r="D3161" t="s">
        <v>88</v>
      </c>
      <c r="E3161">
        <v>525</v>
      </c>
      <c r="F3161" t="s">
        <v>6545</v>
      </c>
      <c r="G3161">
        <v>2251</v>
      </c>
      <c r="H3161">
        <v>1</v>
      </c>
      <c r="I3161" t="s">
        <v>98</v>
      </c>
      <c r="J3161">
        <v>0</v>
      </c>
      <c r="K3161">
        <v>1</v>
      </c>
      <c r="L3161">
        <v>5</v>
      </c>
      <c r="M3161">
        <v>206</v>
      </c>
      <c r="N3161">
        <v>649</v>
      </c>
      <c r="O3161">
        <v>2</v>
      </c>
      <c r="P3161">
        <v>441</v>
      </c>
      <c r="Q3161">
        <v>6</v>
      </c>
      <c r="R3161">
        <v>142</v>
      </c>
      <c r="S3161">
        <v>17</v>
      </c>
      <c r="T3161">
        <v>11</v>
      </c>
      <c r="U3161">
        <v>4</v>
      </c>
      <c r="V3161">
        <v>14</v>
      </c>
      <c r="W3161">
        <v>0</v>
      </c>
      <c r="X3161">
        <v>71</v>
      </c>
      <c r="Y3161">
        <v>134</v>
      </c>
      <c r="Z3161">
        <v>0</v>
      </c>
      <c r="AC3161">
        <v>4</v>
      </c>
      <c r="AD3161">
        <v>0</v>
      </c>
      <c r="AE3161">
        <v>0</v>
      </c>
      <c r="AF3161">
        <v>0</v>
      </c>
      <c r="AK3161">
        <v>8</v>
      </c>
      <c r="AL3161">
        <v>0</v>
      </c>
      <c r="AM3161">
        <v>0</v>
      </c>
      <c r="AN3161">
        <v>0</v>
      </c>
      <c r="AS3161">
        <v>16</v>
      </c>
      <c r="AT3161">
        <v>0</v>
      </c>
      <c r="AU3161">
        <v>0</v>
      </c>
      <c r="AV3161">
        <v>0</v>
      </c>
      <c r="BC3161">
        <v>0</v>
      </c>
      <c r="BD3161">
        <v>12</v>
      </c>
      <c r="BE3161">
        <v>442</v>
      </c>
      <c r="BF3161">
        <v>439</v>
      </c>
      <c r="BG3161">
        <v>627</v>
      </c>
      <c r="BJ3161">
        <v>1</v>
      </c>
      <c r="BL3161" t="s">
        <v>6556</v>
      </c>
      <c r="BM3161" s="4">
        <v>43283.044444444444</v>
      </c>
      <c r="BN3161" s="4">
        <v>43283.048356481479</v>
      </c>
      <c r="BO3161" s="4">
        <v>43283.048356481479</v>
      </c>
      <c r="BP3161" t="s">
        <v>92</v>
      </c>
      <c r="BQ3161" t="s">
        <v>93</v>
      </c>
      <c r="BR3161" t="s">
        <v>94</v>
      </c>
    </row>
    <row r="3162" spans="1:70" x14ac:dyDescent="0.3">
      <c r="A3162" t="str">
        <f>"202252B0100"</f>
        <v>202252B0100</v>
      </c>
      <c r="B3162" t="s">
        <v>6557</v>
      </c>
      <c r="C3162">
        <v>20</v>
      </c>
      <c r="D3162" t="s">
        <v>88</v>
      </c>
      <c r="E3162">
        <v>525</v>
      </c>
      <c r="F3162" t="s">
        <v>6545</v>
      </c>
      <c r="G3162">
        <v>2252</v>
      </c>
      <c r="H3162">
        <v>1</v>
      </c>
      <c r="I3162" t="s">
        <v>90</v>
      </c>
      <c r="J3162">
        <v>0</v>
      </c>
      <c r="K3162">
        <v>1</v>
      </c>
      <c r="L3162">
        <v>5</v>
      </c>
      <c r="M3162">
        <v>177</v>
      </c>
      <c r="N3162">
        <v>358</v>
      </c>
      <c r="O3162">
        <v>1</v>
      </c>
      <c r="P3162">
        <v>358</v>
      </c>
      <c r="Q3162">
        <v>14</v>
      </c>
      <c r="R3162">
        <v>85</v>
      </c>
      <c r="S3162">
        <v>29</v>
      </c>
      <c r="T3162">
        <v>15</v>
      </c>
      <c r="U3162">
        <v>6</v>
      </c>
      <c r="V3162">
        <v>36</v>
      </c>
      <c r="W3162">
        <v>2</v>
      </c>
      <c r="X3162">
        <v>54</v>
      </c>
      <c r="Y3162">
        <v>96</v>
      </c>
      <c r="Z3162">
        <v>1</v>
      </c>
      <c r="AC3162">
        <v>3</v>
      </c>
      <c r="AD3162">
        <v>3</v>
      </c>
      <c r="AE3162">
        <v>0</v>
      </c>
      <c r="AF3162">
        <v>0</v>
      </c>
      <c r="AK3162">
        <v>0</v>
      </c>
      <c r="AL3162">
        <v>0</v>
      </c>
      <c r="AM3162">
        <v>0</v>
      </c>
      <c r="AN3162">
        <v>0</v>
      </c>
      <c r="AS3162">
        <v>3</v>
      </c>
      <c r="AT3162">
        <v>2</v>
      </c>
      <c r="AU3162">
        <v>1</v>
      </c>
      <c r="AV3162">
        <v>0</v>
      </c>
      <c r="BC3162">
        <v>0</v>
      </c>
      <c r="BD3162">
        <v>8</v>
      </c>
      <c r="BE3162">
        <v>358</v>
      </c>
      <c r="BF3162">
        <v>358</v>
      </c>
      <c r="BG3162">
        <v>513</v>
      </c>
      <c r="BJ3162">
        <v>1</v>
      </c>
      <c r="BL3162" t="s">
        <v>6558</v>
      </c>
      <c r="BM3162" s="4">
        <v>43283.006249999999</v>
      </c>
      <c r="BN3162" s="4">
        <v>43283.011319444442</v>
      </c>
      <c r="BO3162" s="4">
        <v>43283.011319444442</v>
      </c>
      <c r="BP3162" t="s">
        <v>92</v>
      </c>
      <c r="BQ3162" t="s">
        <v>93</v>
      </c>
      <c r="BR3162" t="s">
        <v>94</v>
      </c>
    </row>
    <row r="3163" spans="1:70" x14ac:dyDescent="0.3">
      <c r="A3163" t="str">
        <f>"202252C0100"</f>
        <v>202252C0100</v>
      </c>
      <c r="B3163" t="s">
        <v>6559</v>
      </c>
      <c r="C3163">
        <v>20</v>
      </c>
      <c r="D3163" t="s">
        <v>88</v>
      </c>
      <c r="E3163">
        <v>525</v>
      </c>
      <c r="F3163" t="s">
        <v>6545</v>
      </c>
      <c r="G3163">
        <v>2252</v>
      </c>
      <c r="H3163">
        <v>1</v>
      </c>
      <c r="I3163" t="s">
        <v>98</v>
      </c>
      <c r="J3163">
        <v>0</v>
      </c>
      <c r="K3163">
        <v>1</v>
      </c>
      <c r="L3163">
        <v>5</v>
      </c>
      <c r="M3163">
        <v>174</v>
      </c>
      <c r="N3163">
        <v>360</v>
      </c>
      <c r="O3163">
        <v>5</v>
      </c>
      <c r="P3163">
        <v>361</v>
      </c>
      <c r="Q3163">
        <v>20</v>
      </c>
      <c r="R3163">
        <v>113</v>
      </c>
      <c r="S3163">
        <v>20</v>
      </c>
      <c r="T3163">
        <v>11</v>
      </c>
      <c r="U3163">
        <v>12</v>
      </c>
      <c r="V3163">
        <v>15</v>
      </c>
      <c r="W3163">
        <v>0</v>
      </c>
      <c r="X3163">
        <v>43</v>
      </c>
      <c r="Y3163">
        <v>102</v>
      </c>
      <c r="Z3163">
        <v>2</v>
      </c>
      <c r="AC3163">
        <v>0</v>
      </c>
      <c r="AD3163">
        <v>0</v>
      </c>
      <c r="AE3163">
        <v>0</v>
      </c>
      <c r="AF3163">
        <v>0</v>
      </c>
      <c r="AK3163">
        <v>1</v>
      </c>
      <c r="AL3163">
        <v>0</v>
      </c>
      <c r="AM3163">
        <v>0</v>
      </c>
      <c r="AN3163">
        <v>0</v>
      </c>
      <c r="AS3163">
        <v>9</v>
      </c>
      <c r="AT3163">
        <v>0</v>
      </c>
      <c r="AU3163">
        <v>0</v>
      </c>
      <c r="AV3163">
        <v>0</v>
      </c>
      <c r="BC3163">
        <v>0</v>
      </c>
      <c r="BD3163">
        <v>6</v>
      </c>
      <c r="BE3163">
        <v>361</v>
      </c>
      <c r="BF3163">
        <v>354</v>
      </c>
      <c r="BG3163">
        <v>513</v>
      </c>
      <c r="BJ3163">
        <v>1</v>
      </c>
      <c r="BL3163" t="s">
        <v>6560</v>
      </c>
      <c r="BM3163" s="4">
        <v>43283.007638888892</v>
      </c>
      <c r="BN3163" s="4">
        <v>43283.011400462965</v>
      </c>
      <c r="BO3163" s="4">
        <v>43283.011400462965</v>
      </c>
      <c r="BP3163" t="s">
        <v>92</v>
      </c>
      <c r="BQ3163" t="s">
        <v>93</v>
      </c>
      <c r="BR3163" t="s">
        <v>94</v>
      </c>
    </row>
    <row r="3164" spans="1:70" x14ac:dyDescent="0.3">
      <c r="A3164" t="str">
        <f>"202253B0100"</f>
        <v>202253B0100</v>
      </c>
      <c r="B3164" t="s">
        <v>6561</v>
      </c>
      <c r="C3164">
        <v>20</v>
      </c>
      <c r="D3164" t="s">
        <v>88</v>
      </c>
      <c r="E3164">
        <v>525</v>
      </c>
      <c r="F3164" t="s">
        <v>6545</v>
      </c>
      <c r="G3164">
        <v>2253</v>
      </c>
      <c r="H3164">
        <v>1</v>
      </c>
      <c r="I3164" t="s">
        <v>90</v>
      </c>
      <c r="J3164">
        <v>0</v>
      </c>
      <c r="K3164">
        <v>1</v>
      </c>
      <c r="L3164">
        <v>5</v>
      </c>
      <c r="M3164">
        <v>166</v>
      </c>
      <c r="N3164">
        <v>384</v>
      </c>
      <c r="O3164">
        <v>0</v>
      </c>
      <c r="P3164">
        <v>384</v>
      </c>
      <c r="Q3164">
        <v>11</v>
      </c>
      <c r="R3164">
        <v>82</v>
      </c>
      <c r="S3164">
        <v>15</v>
      </c>
      <c r="T3164">
        <v>6</v>
      </c>
      <c r="U3164">
        <v>4</v>
      </c>
      <c r="V3164">
        <v>40</v>
      </c>
      <c r="W3164">
        <v>1</v>
      </c>
      <c r="X3164">
        <v>47</v>
      </c>
      <c r="Y3164">
        <v>149</v>
      </c>
      <c r="Z3164">
        <v>3</v>
      </c>
      <c r="AC3164">
        <v>4</v>
      </c>
      <c r="AD3164">
        <v>0</v>
      </c>
      <c r="AE3164">
        <v>0</v>
      </c>
      <c r="AF3164">
        <v>1</v>
      </c>
      <c r="AK3164">
        <v>1</v>
      </c>
      <c r="AL3164">
        <v>1</v>
      </c>
      <c r="AM3164">
        <v>0</v>
      </c>
      <c r="AN3164">
        <v>2</v>
      </c>
      <c r="AS3164">
        <v>3</v>
      </c>
      <c r="AT3164">
        <v>1</v>
      </c>
      <c r="AU3164">
        <v>3</v>
      </c>
      <c r="AV3164">
        <v>0</v>
      </c>
      <c r="BC3164">
        <v>0</v>
      </c>
      <c r="BD3164">
        <v>9</v>
      </c>
      <c r="BE3164">
        <v>384</v>
      </c>
      <c r="BF3164">
        <v>383</v>
      </c>
      <c r="BG3164">
        <v>528</v>
      </c>
      <c r="BJ3164">
        <v>1</v>
      </c>
      <c r="BL3164" t="s">
        <v>6562</v>
      </c>
      <c r="BM3164" s="4">
        <v>43283.070833333331</v>
      </c>
      <c r="BN3164" s="4">
        <v>43283.07471064815</v>
      </c>
      <c r="BO3164" s="4">
        <v>43283.07471064815</v>
      </c>
      <c r="BP3164" t="s">
        <v>92</v>
      </c>
      <c r="BQ3164" t="s">
        <v>93</v>
      </c>
      <c r="BR3164" t="s">
        <v>94</v>
      </c>
    </row>
    <row r="3165" spans="1:70" x14ac:dyDescent="0.3">
      <c r="A3165" t="str">
        <f>"202253C0100"</f>
        <v>202253C0100</v>
      </c>
      <c r="B3165" t="s">
        <v>6563</v>
      </c>
      <c r="C3165">
        <v>20</v>
      </c>
      <c r="D3165" t="s">
        <v>88</v>
      </c>
      <c r="E3165">
        <v>525</v>
      </c>
      <c r="F3165" t="s">
        <v>6545</v>
      </c>
      <c r="G3165">
        <v>2253</v>
      </c>
      <c r="H3165">
        <v>1</v>
      </c>
      <c r="I3165" t="s">
        <v>98</v>
      </c>
      <c r="J3165">
        <v>0</v>
      </c>
      <c r="K3165">
        <v>1</v>
      </c>
      <c r="L3165">
        <v>5</v>
      </c>
      <c r="M3165">
        <v>167</v>
      </c>
      <c r="N3165">
        <v>383</v>
      </c>
      <c r="O3165">
        <v>0</v>
      </c>
      <c r="P3165">
        <v>382</v>
      </c>
      <c r="Q3165">
        <v>18</v>
      </c>
      <c r="R3165">
        <v>105</v>
      </c>
      <c r="S3165">
        <v>26</v>
      </c>
      <c r="T3165">
        <v>14</v>
      </c>
      <c r="U3165">
        <v>3</v>
      </c>
      <c r="V3165">
        <v>25</v>
      </c>
      <c r="W3165">
        <v>2</v>
      </c>
      <c r="X3165">
        <v>30</v>
      </c>
      <c r="Y3165">
        <v>127</v>
      </c>
      <c r="Z3165">
        <v>1</v>
      </c>
      <c r="AC3165">
        <v>3</v>
      </c>
      <c r="AD3165">
        <v>2</v>
      </c>
      <c r="AE3165">
        <v>1</v>
      </c>
      <c r="AF3165">
        <v>1</v>
      </c>
      <c r="AK3165">
        <v>2</v>
      </c>
      <c r="AL3165">
        <v>0</v>
      </c>
      <c r="AM3165">
        <v>0</v>
      </c>
      <c r="AN3165">
        <v>3</v>
      </c>
      <c r="AS3165">
        <v>8</v>
      </c>
      <c r="AT3165">
        <v>7</v>
      </c>
      <c r="AU3165">
        <v>1</v>
      </c>
      <c r="AV3165">
        <v>0</v>
      </c>
      <c r="BC3165">
        <v>0</v>
      </c>
      <c r="BD3165">
        <v>3</v>
      </c>
      <c r="BE3165">
        <v>382</v>
      </c>
      <c r="BF3165">
        <v>382</v>
      </c>
      <c r="BG3165">
        <v>528</v>
      </c>
      <c r="BJ3165">
        <v>1</v>
      </c>
      <c r="BL3165" t="s">
        <v>6564</v>
      </c>
      <c r="BM3165" s="4">
        <v>43283.066666666666</v>
      </c>
      <c r="BN3165" s="4">
        <v>43283.070844907408</v>
      </c>
      <c r="BO3165" s="4">
        <v>43283.070844907408</v>
      </c>
      <c r="BP3165" t="s">
        <v>92</v>
      </c>
      <c r="BQ3165" t="s">
        <v>93</v>
      </c>
      <c r="BR3165" t="s">
        <v>94</v>
      </c>
    </row>
    <row r="3166" spans="1:70" x14ac:dyDescent="0.3">
      <c r="A3166" t="str">
        <f>"202253E0100"</f>
        <v>202253E0100</v>
      </c>
      <c r="B3166" s="2" t="s">
        <v>6565</v>
      </c>
      <c r="C3166">
        <v>20</v>
      </c>
      <c r="D3166" t="s">
        <v>88</v>
      </c>
      <c r="E3166">
        <v>525</v>
      </c>
      <c r="F3166" t="s">
        <v>6545</v>
      </c>
      <c r="G3166">
        <v>2253</v>
      </c>
      <c r="H3166">
        <v>1</v>
      </c>
      <c r="I3166" t="s">
        <v>156</v>
      </c>
      <c r="J3166">
        <v>0</v>
      </c>
      <c r="K3166">
        <v>2</v>
      </c>
      <c r="L3166">
        <v>5</v>
      </c>
      <c r="M3166">
        <v>132</v>
      </c>
      <c r="N3166">
        <v>136</v>
      </c>
      <c r="O3166">
        <v>0</v>
      </c>
      <c r="P3166">
        <v>136</v>
      </c>
      <c r="Q3166">
        <v>10</v>
      </c>
      <c r="R3166">
        <v>41</v>
      </c>
      <c r="S3166">
        <v>5</v>
      </c>
      <c r="T3166">
        <v>31</v>
      </c>
      <c r="U3166">
        <v>2</v>
      </c>
      <c r="V3166">
        <v>4</v>
      </c>
      <c r="W3166">
        <v>0</v>
      </c>
      <c r="X3166">
        <v>5</v>
      </c>
      <c r="Y3166">
        <v>29</v>
      </c>
      <c r="Z3166">
        <v>0</v>
      </c>
      <c r="AC3166">
        <v>0</v>
      </c>
      <c r="AD3166">
        <v>0</v>
      </c>
      <c r="AE3166">
        <v>0</v>
      </c>
      <c r="AF3166">
        <v>0</v>
      </c>
      <c r="AK3166">
        <v>0</v>
      </c>
      <c r="AL3166">
        <v>0</v>
      </c>
      <c r="AM3166">
        <v>0</v>
      </c>
      <c r="AN3166">
        <v>0</v>
      </c>
      <c r="AS3166">
        <v>2</v>
      </c>
      <c r="AT3166">
        <v>1</v>
      </c>
      <c r="AU3166">
        <v>2</v>
      </c>
      <c r="AV3166">
        <v>1</v>
      </c>
      <c r="BC3166">
        <v>0</v>
      </c>
      <c r="BD3166">
        <v>3</v>
      </c>
      <c r="BE3166">
        <v>136</v>
      </c>
      <c r="BF3166">
        <v>136</v>
      </c>
      <c r="BG3166">
        <v>246</v>
      </c>
      <c r="BJ3166">
        <v>1</v>
      </c>
      <c r="BL3166" t="s">
        <v>6566</v>
      </c>
      <c r="BM3166" s="4">
        <v>43283.039583333331</v>
      </c>
      <c r="BN3166" s="4">
        <v>43283.042962962965</v>
      </c>
      <c r="BO3166" s="4">
        <v>43283.042962962965</v>
      </c>
      <c r="BP3166" t="s">
        <v>92</v>
      </c>
      <c r="BQ3166" t="s">
        <v>93</v>
      </c>
      <c r="BR3166" t="s">
        <v>94</v>
      </c>
    </row>
    <row r="3167" spans="1:70" x14ac:dyDescent="0.3">
      <c r="A3167" t="str">
        <f>"202254B0100"</f>
        <v>202254B0100</v>
      </c>
      <c r="B3167" t="s">
        <v>6567</v>
      </c>
      <c r="C3167">
        <v>20</v>
      </c>
      <c r="D3167" t="s">
        <v>88</v>
      </c>
      <c r="E3167">
        <v>525</v>
      </c>
      <c r="F3167" t="s">
        <v>6545</v>
      </c>
      <c r="G3167">
        <v>2254</v>
      </c>
      <c r="H3167">
        <v>1</v>
      </c>
      <c r="I3167" t="s">
        <v>90</v>
      </c>
      <c r="J3167">
        <v>0</v>
      </c>
      <c r="K3167">
        <v>1</v>
      </c>
      <c r="L3167">
        <v>5</v>
      </c>
      <c r="M3167">
        <v>171</v>
      </c>
      <c r="N3167">
        <v>412</v>
      </c>
      <c r="O3167">
        <v>0</v>
      </c>
      <c r="P3167">
        <v>412</v>
      </c>
      <c r="Q3167">
        <v>1</v>
      </c>
      <c r="R3167">
        <v>229</v>
      </c>
      <c r="S3167">
        <v>23</v>
      </c>
      <c r="T3167">
        <v>28</v>
      </c>
      <c r="U3167">
        <v>1</v>
      </c>
      <c r="V3167">
        <v>4</v>
      </c>
      <c r="W3167">
        <v>0</v>
      </c>
      <c r="X3167">
        <v>20</v>
      </c>
      <c r="Y3167">
        <v>92</v>
      </c>
      <c r="Z3167">
        <v>3</v>
      </c>
      <c r="AC3167">
        <v>0</v>
      </c>
      <c r="AD3167">
        <v>0</v>
      </c>
      <c r="AE3167">
        <v>0</v>
      </c>
      <c r="AF3167">
        <v>0</v>
      </c>
      <c r="AK3167">
        <v>0</v>
      </c>
      <c r="AL3167">
        <v>1</v>
      </c>
      <c r="AM3167">
        <v>0</v>
      </c>
      <c r="AN3167">
        <v>2</v>
      </c>
      <c r="AS3167">
        <v>1</v>
      </c>
      <c r="AT3167">
        <v>3</v>
      </c>
      <c r="AU3167">
        <v>2</v>
      </c>
      <c r="AV3167">
        <v>0</v>
      </c>
      <c r="BC3167">
        <v>0</v>
      </c>
      <c r="BD3167">
        <v>2</v>
      </c>
      <c r="BE3167">
        <v>412</v>
      </c>
      <c r="BF3167">
        <v>412</v>
      </c>
      <c r="BG3167">
        <v>561</v>
      </c>
      <c r="BJ3167">
        <v>1</v>
      </c>
      <c r="BL3167" t="s">
        <v>6568</v>
      </c>
      <c r="BM3167" s="4">
        <v>43283.031944444447</v>
      </c>
      <c r="BN3167" s="4">
        <v>43283.035682870373</v>
      </c>
      <c r="BO3167" s="4">
        <v>43283.035682870373</v>
      </c>
      <c r="BP3167" t="s">
        <v>92</v>
      </c>
      <c r="BQ3167" t="s">
        <v>93</v>
      </c>
      <c r="BR3167" t="s">
        <v>94</v>
      </c>
    </row>
    <row r="3168" spans="1:70" x14ac:dyDescent="0.3">
      <c r="A3168" t="str">
        <f>"202255B0100"</f>
        <v>202255B0100</v>
      </c>
      <c r="B3168" t="s">
        <v>6569</v>
      </c>
      <c r="C3168">
        <v>20</v>
      </c>
      <c r="D3168" t="s">
        <v>88</v>
      </c>
      <c r="E3168">
        <v>525</v>
      </c>
      <c r="F3168" t="s">
        <v>6545</v>
      </c>
      <c r="G3168">
        <v>2255</v>
      </c>
      <c r="H3168">
        <v>1</v>
      </c>
      <c r="I3168" t="s">
        <v>90</v>
      </c>
      <c r="J3168">
        <v>0</v>
      </c>
      <c r="K3168">
        <v>1</v>
      </c>
      <c r="L3168">
        <v>5</v>
      </c>
      <c r="M3168">
        <v>123</v>
      </c>
      <c r="N3168">
        <v>338</v>
      </c>
      <c r="O3168">
        <v>0</v>
      </c>
      <c r="P3168">
        <v>338</v>
      </c>
      <c r="Q3168">
        <v>9</v>
      </c>
      <c r="R3168">
        <v>134</v>
      </c>
      <c r="S3168">
        <v>62</v>
      </c>
      <c r="T3168">
        <v>33</v>
      </c>
      <c r="U3168">
        <v>5</v>
      </c>
      <c r="V3168">
        <v>6</v>
      </c>
      <c r="W3168" t="s">
        <v>105</v>
      </c>
      <c r="X3168">
        <v>7</v>
      </c>
      <c r="Y3168">
        <v>70</v>
      </c>
      <c r="Z3168" t="s">
        <v>105</v>
      </c>
      <c r="AC3168" t="s">
        <v>105</v>
      </c>
      <c r="AD3168" t="s">
        <v>105</v>
      </c>
      <c r="AE3168" t="s">
        <v>105</v>
      </c>
      <c r="AF3168" t="s">
        <v>105</v>
      </c>
      <c r="AK3168" t="s">
        <v>105</v>
      </c>
      <c r="AL3168" t="s">
        <v>105</v>
      </c>
      <c r="AM3168" t="s">
        <v>105</v>
      </c>
      <c r="AN3168" t="s">
        <v>105</v>
      </c>
      <c r="AS3168">
        <v>1</v>
      </c>
      <c r="AT3168" t="s">
        <v>105</v>
      </c>
      <c r="AU3168" t="s">
        <v>105</v>
      </c>
      <c r="AV3168" t="s">
        <v>105</v>
      </c>
      <c r="BC3168" t="s">
        <v>105</v>
      </c>
      <c r="BD3168" t="s">
        <v>105</v>
      </c>
      <c r="BE3168" t="s">
        <v>105</v>
      </c>
      <c r="BF3168">
        <v>327</v>
      </c>
      <c r="BG3168">
        <v>439</v>
      </c>
      <c r="BI3168" t="s">
        <v>106</v>
      </c>
      <c r="BJ3168">
        <v>1</v>
      </c>
      <c r="BL3168" t="s">
        <v>6570</v>
      </c>
      <c r="BM3168" s="4">
        <v>43283.074999999997</v>
      </c>
      <c r="BN3168" s="4">
        <v>43283.078703703701</v>
      </c>
      <c r="BO3168" s="4">
        <v>43283.078703703701</v>
      </c>
      <c r="BP3168" t="s">
        <v>92</v>
      </c>
      <c r="BQ3168" t="s">
        <v>93</v>
      </c>
      <c r="BR3168" t="s">
        <v>94</v>
      </c>
    </row>
    <row r="3169" spans="1:70" x14ac:dyDescent="0.3">
      <c r="A3169" t="str">
        <f>"202255C0100"</f>
        <v>202255C0100</v>
      </c>
      <c r="B3169" t="s">
        <v>6571</v>
      </c>
      <c r="C3169">
        <v>20</v>
      </c>
      <c r="D3169" t="s">
        <v>88</v>
      </c>
      <c r="E3169">
        <v>525</v>
      </c>
      <c r="F3169" t="s">
        <v>6545</v>
      </c>
      <c r="G3169">
        <v>2255</v>
      </c>
      <c r="H3169">
        <v>1</v>
      </c>
      <c r="I3169" t="s">
        <v>98</v>
      </c>
      <c r="J3169">
        <v>0</v>
      </c>
      <c r="K3169">
        <v>1</v>
      </c>
      <c r="L3169">
        <v>5</v>
      </c>
      <c r="M3169">
        <v>123</v>
      </c>
      <c r="N3169">
        <v>460</v>
      </c>
      <c r="O3169">
        <v>0</v>
      </c>
      <c r="P3169">
        <v>337</v>
      </c>
      <c r="Q3169">
        <v>6</v>
      </c>
      <c r="R3169">
        <v>123</v>
      </c>
      <c r="S3169">
        <v>53</v>
      </c>
      <c r="T3169">
        <v>36</v>
      </c>
      <c r="U3169">
        <v>3</v>
      </c>
      <c r="V3169">
        <v>1</v>
      </c>
      <c r="W3169">
        <v>1</v>
      </c>
      <c r="X3169">
        <v>17</v>
      </c>
      <c r="Y3169">
        <v>86</v>
      </c>
      <c r="Z3169">
        <v>1</v>
      </c>
      <c r="AC3169">
        <v>1</v>
      </c>
      <c r="AD3169">
        <v>0</v>
      </c>
      <c r="AE3169">
        <v>0</v>
      </c>
      <c r="AF3169">
        <v>0</v>
      </c>
      <c r="AK3169">
        <v>0</v>
      </c>
      <c r="AL3169">
        <v>0</v>
      </c>
      <c r="AM3169">
        <v>0</v>
      </c>
      <c r="AN3169">
        <v>0</v>
      </c>
      <c r="AS3169">
        <v>5</v>
      </c>
      <c r="AT3169">
        <v>0</v>
      </c>
      <c r="AU3169">
        <v>0</v>
      </c>
      <c r="AV3169">
        <v>0</v>
      </c>
      <c r="BC3169" t="s">
        <v>105</v>
      </c>
      <c r="BD3169">
        <v>3</v>
      </c>
      <c r="BE3169">
        <v>337</v>
      </c>
      <c r="BF3169">
        <v>336</v>
      </c>
      <c r="BG3169">
        <v>438</v>
      </c>
      <c r="BI3169" t="s">
        <v>106</v>
      </c>
      <c r="BJ3169">
        <v>1</v>
      </c>
      <c r="BL3169" t="s">
        <v>6572</v>
      </c>
      <c r="BM3169" s="4">
        <v>43283.07708333333</v>
      </c>
      <c r="BN3169" s="4">
        <v>43283.080775462964</v>
      </c>
      <c r="BO3169" s="4">
        <v>43283.080775462964</v>
      </c>
      <c r="BP3169" t="s">
        <v>92</v>
      </c>
      <c r="BQ3169" t="s">
        <v>93</v>
      </c>
      <c r="BR3169" t="s">
        <v>94</v>
      </c>
    </row>
    <row r="3170" spans="1:70" x14ac:dyDescent="0.3">
      <c r="A3170" t="str">
        <f>"202256B0100"</f>
        <v>202256B0100</v>
      </c>
      <c r="B3170" t="s">
        <v>6573</v>
      </c>
      <c r="C3170">
        <v>20</v>
      </c>
      <c r="D3170" t="s">
        <v>88</v>
      </c>
      <c r="E3170">
        <v>525</v>
      </c>
      <c r="F3170" t="s">
        <v>6545</v>
      </c>
      <c r="G3170">
        <v>2256</v>
      </c>
      <c r="H3170">
        <v>1</v>
      </c>
      <c r="I3170" t="s">
        <v>90</v>
      </c>
      <c r="J3170">
        <v>0</v>
      </c>
      <c r="K3170">
        <v>2</v>
      </c>
      <c r="L3170">
        <v>5</v>
      </c>
      <c r="M3170">
        <v>46</v>
      </c>
      <c r="N3170">
        <v>91</v>
      </c>
      <c r="O3170">
        <v>1</v>
      </c>
      <c r="P3170">
        <v>92</v>
      </c>
      <c r="Q3170">
        <v>11</v>
      </c>
      <c r="R3170">
        <v>21</v>
      </c>
      <c r="S3170">
        <v>9</v>
      </c>
      <c r="T3170">
        <v>2</v>
      </c>
      <c r="U3170">
        <v>0</v>
      </c>
      <c r="V3170">
        <v>5</v>
      </c>
      <c r="W3170">
        <v>0</v>
      </c>
      <c r="X3170">
        <v>5</v>
      </c>
      <c r="Y3170">
        <v>28</v>
      </c>
      <c r="Z3170">
        <v>1</v>
      </c>
      <c r="AC3170">
        <v>0</v>
      </c>
      <c r="AD3170">
        <v>0</v>
      </c>
      <c r="AE3170">
        <v>0</v>
      </c>
      <c r="AF3170">
        <v>0</v>
      </c>
      <c r="AK3170">
        <v>0</v>
      </c>
      <c r="AL3170">
        <v>0</v>
      </c>
      <c r="AM3170">
        <v>0</v>
      </c>
      <c r="AN3170">
        <v>2</v>
      </c>
      <c r="AS3170">
        <v>1</v>
      </c>
      <c r="AT3170">
        <v>0</v>
      </c>
      <c r="AU3170">
        <v>0</v>
      </c>
      <c r="AV3170">
        <v>0</v>
      </c>
      <c r="BC3170">
        <v>0</v>
      </c>
      <c r="BD3170">
        <v>6</v>
      </c>
      <c r="BE3170">
        <v>91</v>
      </c>
      <c r="BF3170">
        <v>91</v>
      </c>
      <c r="BG3170">
        <v>115</v>
      </c>
      <c r="BJ3170">
        <v>1</v>
      </c>
      <c r="BL3170" s="2" t="s">
        <v>6574</v>
      </c>
      <c r="BM3170" s="4">
        <v>43283.020138888889</v>
      </c>
      <c r="BN3170" s="4">
        <v>43283.023854166669</v>
      </c>
      <c r="BO3170" s="4">
        <v>43283.023854166669</v>
      </c>
      <c r="BP3170" t="s">
        <v>92</v>
      </c>
      <c r="BQ3170" t="s">
        <v>93</v>
      </c>
      <c r="BR3170" t="s">
        <v>94</v>
      </c>
    </row>
    <row r="3171" spans="1:70" x14ac:dyDescent="0.3">
      <c r="A3171" t="str">
        <f>"202257B0100"</f>
        <v>202257B0100</v>
      </c>
      <c r="B3171" t="s">
        <v>6575</v>
      </c>
      <c r="C3171">
        <v>20</v>
      </c>
      <c r="D3171" t="s">
        <v>88</v>
      </c>
      <c r="E3171">
        <v>525</v>
      </c>
      <c r="F3171" t="s">
        <v>6545</v>
      </c>
      <c r="G3171">
        <v>2257</v>
      </c>
      <c r="H3171">
        <v>1</v>
      </c>
      <c r="I3171" t="s">
        <v>90</v>
      </c>
      <c r="J3171">
        <v>0</v>
      </c>
      <c r="K3171">
        <v>1</v>
      </c>
      <c r="L3171">
        <v>5</v>
      </c>
      <c r="M3171">
        <v>148</v>
      </c>
      <c r="N3171">
        <v>400</v>
      </c>
      <c r="O3171" t="s">
        <v>105</v>
      </c>
      <c r="P3171">
        <v>252</v>
      </c>
      <c r="Q3171">
        <v>18</v>
      </c>
      <c r="R3171">
        <v>50</v>
      </c>
      <c r="S3171">
        <v>23</v>
      </c>
      <c r="T3171">
        <v>73</v>
      </c>
      <c r="U3171">
        <v>4</v>
      </c>
      <c r="V3171">
        <v>12</v>
      </c>
      <c r="W3171">
        <v>1</v>
      </c>
      <c r="X3171">
        <v>15</v>
      </c>
      <c r="Y3171">
        <v>32</v>
      </c>
      <c r="Z3171">
        <v>4</v>
      </c>
      <c r="AC3171" t="s">
        <v>105</v>
      </c>
      <c r="AD3171" t="s">
        <v>105</v>
      </c>
      <c r="AE3171" t="s">
        <v>105</v>
      </c>
      <c r="AF3171" t="s">
        <v>105</v>
      </c>
      <c r="AK3171">
        <v>1</v>
      </c>
      <c r="AL3171" t="s">
        <v>105</v>
      </c>
      <c r="AM3171" t="s">
        <v>105</v>
      </c>
      <c r="AN3171" t="s">
        <v>105</v>
      </c>
      <c r="AS3171">
        <v>4</v>
      </c>
      <c r="AT3171">
        <v>2</v>
      </c>
      <c r="AU3171" t="s">
        <v>105</v>
      </c>
      <c r="AV3171" t="s">
        <v>105</v>
      </c>
      <c r="BC3171" t="s">
        <v>105</v>
      </c>
      <c r="BD3171">
        <v>13</v>
      </c>
      <c r="BE3171">
        <v>252</v>
      </c>
      <c r="BF3171">
        <v>252</v>
      </c>
      <c r="BG3171">
        <v>378</v>
      </c>
      <c r="BI3171" t="s">
        <v>106</v>
      </c>
      <c r="BJ3171">
        <v>1</v>
      </c>
      <c r="BL3171" t="s">
        <v>6576</v>
      </c>
      <c r="BM3171" s="4">
        <v>43283.025694444441</v>
      </c>
      <c r="BN3171" s="4">
        <v>43283.03087962963</v>
      </c>
      <c r="BO3171" s="4">
        <v>43283.03087962963</v>
      </c>
      <c r="BP3171" t="s">
        <v>92</v>
      </c>
      <c r="BQ3171" t="s">
        <v>93</v>
      </c>
      <c r="BR3171" t="s">
        <v>94</v>
      </c>
    </row>
    <row r="3172" spans="1:70" x14ac:dyDescent="0.3">
      <c r="A3172" t="str">
        <f>"202257C0100"</f>
        <v>202257C0100</v>
      </c>
      <c r="B3172" t="s">
        <v>6577</v>
      </c>
      <c r="C3172">
        <v>20</v>
      </c>
      <c r="D3172" t="s">
        <v>88</v>
      </c>
      <c r="E3172">
        <v>525</v>
      </c>
      <c r="F3172" t="s">
        <v>6545</v>
      </c>
      <c r="G3172">
        <v>2257</v>
      </c>
      <c r="H3172">
        <v>1</v>
      </c>
      <c r="I3172" t="s">
        <v>98</v>
      </c>
      <c r="J3172">
        <v>0</v>
      </c>
      <c r="K3172">
        <v>1</v>
      </c>
      <c r="L3172">
        <v>5</v>
      </c>
      <c r="M3172" t="s">
        <v>105</v>
      </c>
      <c r="N3172" t="s">
        <v>105</v>
      </c>
      <c r="O3172" t="s">
        <v>105</v>
      </c>
      <c r="P3172" t="s">
        <v>105</v>
      </c>
      <c r="Q3172">
        <v>23</v>
      </c>
      <c r="R3172">
        <v>62</v>
      </c>
      <c r="S3172">
        <v>38</v>
      </c>
      <c r="T3172">
        <v>56</v>
      </c>
      <c r="U3172">
        <v>2</v>
      </c>
      <c r="V3172">
        <v>10</v>
      </c>
      <c r="W3172">
        <v>0</v>
      </c>
      <c r="X3172">
        <v>16</v>
      </c>
      <c r="Y3172">
        <v>41</v>
      </c>
      <c r="Z3172">
        <v>3</v>
      </c>
      <c r="AC3172">
        <v>7</v>
      </c>
      <c r="AD3172">
        <v>0</v>
      </c>
      <c r="AE3172">
        <v>0</v>
      </c>
      <c r="AF3172">
        <v>0</v>
      </c>
      <c r="AK3172">
        <v>3</v>
      </c>
      <c r="AL3172">
        <v>0</v>
      </c>
      <c r="AM3172">
        <v>0</v>
      </c>
      <c r="AN3172">
        <v>0</v>
      </c>
      <c r="AS3172">
        <v>14</v>
      </c>
      <c r="AT3172">
        <v>0</v>
      </c>
      <c r="AU3172">
        <v>0</v>
      </c>
      <c r="AV3172">
        <v>3</v>
      </c>
      <c r="BC3172">
        <v>0</v>
      </c>
      <c r="BD3172">
        <v>4</v>
      </c>
      <c r="BE3172" t="s">
        <v>105</v>
      </c>
      <c r="BF3172">
        <v>282</v>
      </c>
      <c r="BG3172">
        <v>378</v>
      </c>
      <c r="BJ3172">
        <v>1</v>
      </c>
      <c r="BL3172" t="s">
        <v>6578</v>
      </c>
      <c r="BM3172" s="4">
        <v>43283.018750000003</v>
      </c>
      <c r="BN3172" s="4">
        <v>43283.023993055554</v>
      </c>
      <c r="BO3172" s="4">
        <v>43283.023993055554</v>
      </c>
      <c r="BP3172" t="s">
        <v>92</v>
      </c>
      <c r="BQ3172" t="s">
        <v>93</v>
      </c>
      <c r="BR3172" t="s">
        <v>94</v>
      </c>
    </row>
    <row r="3173" spans="1:70" x14ac:dyDescent="0.3">
      <c r="A3173" t="str">
        <f>"202257E0100"</f>
        <v>202257E0100</v>
      </c>
      <c r="B3173" s="2" t="s">
        <v>6579</v>
      </c>
      <c r="C3173">
        <v>20</v>
      </c>
      <c r="D3173" t="s">
        <v>88</v>
      </c>
      <c r="E3173">
        <v>525</v>
      </c>
      <c r="F3173" t="s">
        <v>6545</v>
      </c>
      <c r="G3173">
        <v>2257</v>
      </c>
      <c r="H3173">
        <v>1</v>
      </c>
      <c r="I3173" t="s">
        <v>156</v>
      </c>
      <c r="J3173">
        <v>0</v>
      </c>
      <c r="K3173">
        <v>2</v>
      </c>
      <c r="L3173">
        <v>5</v>
      </c>
      <c r="M3173">
        <v>102</v>
      </c>
      <c r="N3173">
        <v>226</v>
      </c>
      <c r="O3173">
        <v>0</v>
      </c>
      <c r="P3173">
        <v>233</v>
      </c>
      <c r="Q3173">
        <v>16</v>
      </c>
      <c r="R3173">
        <v>44</v>
      </c>
      <c r="S3173">
        <v>24</v>
      </c>
      <c r="T3173">
        <v>62</v>
      </c>
      <c r="U3173">
        <v>0</v>
      </c>
      <c r="V3173">
        <v>9</v>
      </c>
      <c r="W3173">
        <v>1</v>
      </c>
      <c r="X3173">
        <v>24</v>
      </c>
      <c r="Y3173">
        <v>17</v>
      </c>
      <c r="Z3173">
        <v>0</v>
      </c>
      <c r="AC3173">
        <v>4</v>
      </c>
      <c r="AD3173">
        <v>1</v>
      </c>
      <c r="AE3173">
        <v>1</v>
      </c>
      <c r="AF3173">
        <v>1</v>
      </c>
      <c r="AK3173" t="s">
        <v>105</v>
      </c>
      <c r="AL3173" t="s">
        <v>105</v>
      </c>
      <c r="AM3173" t="s">
        <v>105</v>
      </c>
      <c r="AN3173" t="s">
        <v>105</v>
      </c>
      <c r="AS3173">
        <v>7</v>
      </c>
      <c r="AT3173">
        <v>0</v>
      </c>
      <c r="AU3173">
        <v>1</v>
      </c>
      <c r="AV3173" t="s">
        <v>105</v>
      </c>
      <c r="BC3173" t="s">
        <v>105</v>
      </c>
      <c r="BD3173">
        <v>10</v>
      </c>
      <c r="BE3173">
        <v>226</v>
      </c>
      <c r="BF3173">
        <v>222</v>
      </c>
      <c r="BG3173">
        <v>306</v>
      </c>
      <c r="BI3173" t="s">
        <v>106</v>
      </c>
      <c r="BJ3173">
        <v>1</v>
      </c>
      <c r="BL3173" t="s">
        <v>6580</v>
      </c>
      <c r="BM3173" s="4">
        <v>43283.011805555558</v>
      </c>
      <c r="BN3173" s="4">
        <v>43283.015208333331</v>
      </c>
      <c r="BO3173" s="4">
        <v>43283.015208333331</v>
      </c>
      <c r="BP3173" t="s">
        <v>92</v>
      </c>
      <c r="BQ3173" t="s">
        <v>93</v>
      </c>
      <c r="BR3173" t="s">
        <v>94</v>
      </c>
    </row>
    <row r="3174" spans="1:70" x14ac:dyDescent="0.3">
      <c r="A3174" t="str">
        <f>"202275B0100"</f>
        <v>202275B0100</v>
      </c>
      <c r="B3174" t="s">
        <v>6581</v>
      </c>
      <c r="C3174">
        <v>20</v>
      </c>
      <c r="D3174" t="s">
        <v>88</v>
      </c>
      <c r="E3174">
        <v>534</v>
      </c>
      <c r="F3174" t="s">
        <v>6582</v>
      </c>
      <c r="G3174">
        <v>2275</v>
      </c>
      <c r="H3174">
        <v>1</v>
      </c>
      <c r="I3174" t="s">
        <v>90</v>
      </c>
      <c r="J3174">
        <v>0</v>
      </c>
      <c r="K3174">
        <v>2</v>
      </c>
      <c r="L3174">
        <v>5</v>
      </c>
      <c r="M3174">
        <v>216</v>
      </c>
      <c r="N3174">
        <v>472</v>
      </c>
      <c r="O3174">
        <v>8</v>
      </c>
      <c r="P3174">
        <v>472</v>
      </c>
      <c r="Q3174">
        <v>2</v>
      </c>
      <c r="R3174">
        <v>126</v>
      </c>
      <c r="S3174">
        <v>151</v>
      </c>
      <c r="T3174">
        <v>5</v>
      </c>
      <c r="U3174">
        <v>6</v>
      </c>
      <c r="V3174">
        <v>5</v>
      </c>
      <c r="X3174">
        <v>8</v>
      </c>
      <c r="Y3174">
        <v>85</v>
      </c>
      <c r="Z3174">
        <v>5</v>
      </c>
      <c r="AA3174">
        <v>49</v>
      </c>
      <c r="AC3174">
        <v>0</v>
      </c>
      <c r="AD3174">
        <v>1</v>
      </c>
      <c r="AE3174">
        <v>0</v>
      </c>
      <c r="AF3174">
        <v>0</v>
      </c>
      <c r="AG3174">
        <v>0</v>
      </c>
      <c r="AH3174">
        <v>1</v>
      </c>
      <c r="AI3174">
        <v>0</v>
      </c>
      <c r="AJ3174">
        <v>0</v>
      </c>
      <c r="AK3174">
        <v>3</v>
      </c>
      <c r="AL3174">
        <v>0</v>
      </c>
      <c r="AM3174">
        <v>0</v>
      </c>
      <c r="AN3174">
        <v>1</v>
      </c>
      <c r="BC3174">
        <v>0</v>
      </c>
      <c r="BD3174">
        <v>24</v>
      </c>
      <c r="BE3174">
        <v>472</v>
      </c>
      <c r="BF3174">
        <v>472</v>
      </c>
      <c r="BG3174">
        <v>666</v>
      </c>
      <c r="BJ3174">
        <v>1</v>
      </c>
      <c r="BL3174" t="s">
        <v>6583</v>
      </c>
      <c r="BM3174" s="4">
        <v>43283.279861111114</v>
      </c>
      <c r="BN3174" s="4">
        <v>43283.307951388888</v>
      </c>
      <c r="BO3174" s="4">
        <v>43283.307951388888</v>
      </c>
      <c r="BP3174" t="s">
        <v>92</v>
      </c>
      <c r="BQ3174" t="s">
        <v>93</v>
      </c>
      <c r="BR3174" t="s">
        <v>94</v>
      </c>
    </row>
    <row r="3175" spans="1:70" x14ac:dyDescent="0.3">
      <c r="A3175" t="str">
        <f>"202275C0100"</f>
        <v>202275C0100</v>
      </c>
      <c r="B3175" t="s">
        <v>6584</v>
      </c>
      <c r="C3175">
        <v>20</v>
      </c>
      <c r="D3175" t="s">
        <v>88</v>
      </c>
      <c r="E3175">
        <v>534</v>
      </c>
      <c r="F3175" t="s">
        <v>6582</v>
      </c>
      <c r="G3175">
        <v>2275</v>
      </c>
      <c r="H3175">
        <v>1</v>
      </c>
      <c r="I3175" t="s">
        <v>98</v>
      </c>
      <c r="J3175">
        <v>0</v>
      </c>
      <c r="K3175">
        <v>2</v>
      </c>
      <c r="L3175">
        <v>5</v>
      </c>
      <c r="M3175">
        <v>227</v>
      </c>
      <c r="N3175">
        <v>460</v>
      </c>
      <c r="O3175">
        <v>0</v>
      </c>
      <c r="P3175">
        <v>455</v>
      </c>
      <c r="Q3175">
        <v>1</v>
      </c>
      <c r="R3175">
        <v>114</v>
      </c>
      <c r="S3175">
        <v>142</v>
      </c>
      <c r="T3175">
        <v>0</v>
      </c>
      <c r="U3175">
        <v>3</v>
      </c>
      <c r="V3175">
        <v>6</v>
      </c>
      <c r="X3175">
        <v>18</v>
      </c>
      <c r="Y3175">
        <v>97</v>
      </c>
      <c r="Z3175">
        <v>0</v>
      </c>
      <c r="AA3175">
        <v>48</v>
      </c>
      <c r="AC3175">
        <v>1</v>
      </c>
      <c r="AD3175">
        <v>0</v>
      </c>
      <c r="AE3175">
        <v>0</v>
      </c>
      <c r="AF3175">
        <v>0</v>
      </c>
      <c r="AG3175">
        <v>3</v>
      </c>
      <c r="AH3175">
        <v>4</v>
      </c>
      <c r="AI3175">
        <v>3</v>
      </c>
      <c r="AJ3175">
        <v>0</v>
      </c>
      <c r="AK3175">
        <v>0</v>
      </c>
      <c r="AL3175">
        <v>1</v>
      </c>
      <c r="AM3175">
        <v>0</v>
      </c>
      <c r="AN3175">
        <v>0</v>
      </c>
      <c r="BC3175">
        <v>0</v>
      </c>
      <c r="BD3175">
        <v>14</v>
      </c>
      <c r="BE3175">
        <v>455</v>
      </c>
      <c r="BF3175">
        <v>455</v>
      </c>
      <c r="BG3175">
        <v>665</v>
      </c>
      <c r="BJ3175">
        <v>1</v>
      </c>
      <c r="BL3175" t="s">
        <v>6585</v>
      </c>
      <c r="BM3175" s="4">
        <v>43283.286805555559</v>
      </c>
      <c r="BN3175" s="4">
        <v>43283.314050925925</v>
      </c>
      <c r="BO3175" s="4">
        <v>43283.314050925925</v>
      </c>
      <c r="BP3175" t="s">
        <v>92</v>
      </c>
      <c r="BQ3175" t="s">
        <v>93</v>
      </c>
      <c r="BR3175" t="s">
        <v>94</v>
      </c>
    </row>
    <row r="3176" spans="1:70" x14ac:dyDescent="0.3">
      <c r="A3176" t="str">
        <f>"202276B0100"</f>
        <v>202276B0100</v>
      </c>
      <c r="B3176" t="s">
        <v>6586</v>
      </c>
      <c r="C3176">
        <v>20</v>
      </c>
      <c r="D3176" t="s">
        <v>88</v>
      </c>
      <c r="E3176">
        <v>534</v>
      </c>
      <c r="F3176" t="s">
        <v>6582</v>
      </c>
      <c r="G3176">
        <v>2276</v>
      </c>
      <c r="H3176">
        <v>1</v>
      </c>
      <c r="I3176" t="s">
        <v>90</v>
      </c>
      <c r="J3176">
        <v>0</v>
      </c>
      <c r="K3176">
        <v>1</v>
      </c>
      <c r="L3176">
        <v>5</v>
      </c>
      <c r="M3176">
        <v>212</v>
      </c>
      <c r="N3176">
        <v>368</v>
      </c>
      <c r="O3176">
        <v>3</v>
      </c>
      <c r="P3176">
        <v>367</v>
      </c>
      <c r="Q3176">
        <v>0</v>
      </c>
      <c r="R3176">
        <v>94</v>
      </c>
      <c r="S3176">
        <v>125</v>
      </c>
      <c r="T3176">
        <v>6</v>
      </c>
      <c r="U3176">
        <v>4</v>
      </c>
      <c r="V3176">
        <v>1</v>
      </c>
      <c r="X3176">
        <v>9</v>
      </c>
      <c r="Y3176">
        <v>90</v>
      </c>
      <c r="Z3176">
        <v>2</v>
      </c>
      <c r="AA3176">
        <v>16</v>
      </c>
      <c r="AC3176">
        <v>0</v>
      </c>
      <c r="AD3176">
        <v>0</v>
      </c>
      <c r="AE3176">
        <v>0</v>
      </c>
      <c r="AF3176">
        <v>0</v>
      </c>
      <c r="AG3176">
        <v>1</v>
      </c>
      <c r="AH3176">
        <v>2</v>
      </c>
      <c r="AI3176">
        <v>1</v>
      </c>
      <c r="AJ3176">
        <v>0</v>
      </c>
      <c r="AK3176">
        <v>2</v>
      </c>
      <c r="AL3176">
        <v>1</v>
      </c>
      <c r="AM3176">
        <v>1</v>
      </c>
      <c r="AN3176">
        <v>1</v>
      </c>
      <c r="BC3176">
        <v>0</v>
      </c>
      <c r="BD3176">
        <v>11</v>
      </c>
      <c r="BE3176">
        <v>367</v>
      </c>
      <c r="BF3176">
        <v>367</v>
      </c>
      <c r="BG3176">
        <v>557</v>
      </c>
      <c r="BJ3176">
        <v>1</v>
      </c>
      <c r="BL3176" t="s">
        <v>6587</v>
      </c>
      <c r="BM3176" s="4">
        <v>43283.12777777778</v>
      </c>
      <c r="BN3176" s="4">
        <v>43283.131620370368</v>
      </c>
      <c r="BO3176" s="4">
        <v>43283.131620370368</v>
      </c>
      <c r="BP3176" t="s">
        <v>92</v>
      </c>
      <c r="BQ3176" t="s">
        <v>93</v>
      </c>
      <c r="BR3176" t="s">
        <v>94</v>
      </c>
    </row>
    <row r="3177" spans="1:70" x14ac:dyDescent="0.3">
      <c r="A3177" t="str">
        <f>"202276C0100"</f>
        <v>202276C0100</v>
      </c>
      <c r="B3177" t="s">
        <v>6588</v>
      </c>
      <c r="C3177">
        <v>20</v>
      </c>
      <c r="D3177" t="s">
        <v>88</v>
      </c>
      <c r="E3177">
        <v>534</v>
      </c>
      <c r="F3177" t="s">
        <v>6582</v>
      </c>
      <c r="G3177">
        <v>2276</v>
      </c>
      <c r="H3177">
        <v>1</v>
      </c>
      <c r="I3177" t="s">
        <v>98</v>
      </c>
      <c r="J3177">
        <v>0</v>
      </c>
      <c r="K3177">
        <v>1</v>
      </c>
      <c r="L3177">
        <v>5</v>
      </c>
      <c r="M3177">
        <v>165</v>
      </c>
      <c r="N3177">
        <v>414</v>
      </c>
      <c r="O3177">
        <v>2</v>
      </c>
      <c r="P3177">
        <v>414</v>
      </c>
      <c r="Q3177">
        <v>1</v>
      </c>
      <c r="R3177">
        <v>114</v>
      </c>
      <c r="S3177">
        <v>118</v>
      </c>
      <c r="T3177">
        <v>5</v>
      </c>
      <c r="U3177">
        <v>2</v>
      </c>
      <c r="V3177">
        <v>0</v>
      </c>
      <c r="X3177">
        <v>16</v>
      </c>
      <c r="Y3177">
        <v>85</v>
      </c>
      <c r="Z3177">
        <v>7</v>
      </c>
      <c r="AA3177">
        <v>38</v>
      </c>
      <c r="AC3177">
        <v>0</v>
      </c>
      <c r="AD3177">
        <v>0</v>
      </c>
      <c r="AE3177">
        <v>0</v>
      </c>
      <c r="AF3177">
        <v>0</v>
      </c>
      <c r="AG3177">
        <v>0</v>
      </c>
      <c r="AH3177">
        <v>5</v>
      </c>
      <c r="AI3177">
        <v>0</v>
      </c>
      <c r="AJ3177">
        <v>0</v>
      </c>
      <c r="AK3177">
        <v>2</v>
      </c>
      <c r="AL3177">
        <v>0</v>
      </c>
      <c r="AM3177">
        <v>0</v>
      </c>
      <c r="AN3177">
        <v>0</v>
      </c>
      <c r="BC3177">
        <v>0</v>
      </c>
      <c r="BD3177">
        <v>21</v>
      </c>
      <c r="BE3177">
        <v>414</v>
      </c>
      <c r="BF3177">
        <v>414</v>
      </c>
      <c r="BG3177">
        <v>557</v>
      </c>
      <c r="BJ3177">
        <v>1</v>
      </c>
      <c r="BL3177" t="s">
        <v>6589</v>
      </c>
      <c r="BM3177" s="4">
        <v>43283.125694444447</v>
      </c>
      <c r="BN3177" s="4">
        <v>43283.14638888889</v>
      </c>
      <c r="BO3177" s="4">
        <v>43283.14638888889</v>
      </c>
      <c r="BP3177" t="s">
        <v>92</v>
      </c>
      <c r="BQ3177" t="s">
        <v>93</v>
      </c>
      <c r="BR3177" t="s">
        <v>94</v>
      </c>
    </row>
    <row r="3178" spans="1:70" x14ac:dyDescent="0.3">
      <c r="A3178" t="str">
        <f>"202277B0100"</f>
        <v>202277B0100</v>
      </c>
      <c r="B3178" t="s">
        <v>6590</v>
      </c>
      <c r="C3178">
        <v>20</v>
      </c>
      <c r="D3178" t="s">
        <v>88</v>
      </c>
      <c r="E3178">
        <v>534</v>
      </c>
      <c r="F3178" t="s">
        <v>6582</v>
      </c>
      <c r="G3178">
        <v>2277</v>
      </c>
      <c r="H3178">
        <v>1</v>
      </c>
      <c r="I3178" t="s">
        <v>90</v>
      </c>
      <c r="J3178">
        <v>0</v>
      </c>
      <c r="K3178">
        <v>2</v>
      </c>
      <c r="L3178">
        <v>5</v>
      </c>
      <c r="M3178">
        <v>167</v>
      </c>
      <c r="N3178">
        <v>176</v>
      </c>
      <c r="O3178">
        <v>3</v>
      </c>
      <c r="P3178">
        <v>176</v>
      </c>
      <c r="Q3178">
        <v>2</v>
      </c>
      <c r="R3178">
        <v>122</v>
      </c>
      <c r="S3178">
        <v>5</v>
      </c>
      <c r="T3178">
        <v>1</v>
      </c>
      <c r="U3178">
        <v>1</v>
      </c>
      <c r="V3178">
        <v>0</v>
      </c>
      <c r="X3178">
        <v>2</v>
      </c>
      <c r="Y3178">
        <v>19</v>
      </c>
      <c r="Z3178">
        <v>0</v>
      </c>
      <c r="AA3178">
        <v>13</v>
      </c>
      <c r="AC3178">
        <v>0</v>
      </c>
      <c r="AD3178">
        <v>0</v>
      </c>
      <c r="AE3178">
        <v>0</v>
      </c>
      <c r="AF3178">
        <v>0</v>
      </c>
      <c r="AG3178">
        <v>1</v>
      </c>
      <c r="AH3178">
        <v>2</v>
      </c>
      <c r="AI3178">
        <v>0</v>
      </c>
      <c r="AJ3178">
        <v>0</v>
      </c>
      <c r="AK3178">
        <v>0</v>
      </c>
      <c r="AL3178">
        <v>0</v>
      </c>
      <c r="AM3178">
        <v>0</v>
      </c>
      <c r="AN3178">
        <v>0</v>
      </c>
      <c r="BC3178">
        <v>0</v>
      </c>
      <c r="BD3178">
        <v>8</v>
      </c>
      <c r="BE3178">
        <v>176</v>
      </c>
      <c r="BF3178">
        <v>176</v>
      </c>
      <c r="BG3178">
        <v>321</v>
      </c>
      <c r="BJ3178">
        <v>1</v>
      </c>
      <c r="BL3178" t="s">
        <v>6591</v>
      </c>
      <c r="BM3178" s="4">
        <v>43283.368750000001</v>
      </c>
      <c r="BN3178" s="4">
        <v>43283.376400462963</v>
      </c>
      <c r="BO3178" s="4">
        <v>43283.376400462963</v>
      </c>
      <c r="BP3178" t="s">
        <v>92</v>
      </c>
      <c r="BQ3178" t="s">
        <v>93</v>
      </c>
      <c r="BR3178" t="s">
        <v>94</v>
      </c>
    </row>
    <row r="3179" spans="1:70" x14ac:dyDescent="0.3">
      <c r="A3179" t="str">
        <f>"202278B0100"</f>
        <v>202278B0100</v>
      </c>
      <c r="B3179" t="s">
        <v>6592</v>
      </c>
      <c r="C3179">
        <v>20</v>
      </c>
      <c r="D3179" t="s">
        <v>88</v>
      </c>
      <c r="E3179">
        <v>534</v>
      </c>
      <c r="F3179" t="s">
        <v>6582</v>
      </c>
      <c r="G3179">
        <v>2278</v>
      </c>
      <c r="H3179">
        <v>1</v>
      </c>
      <c r="I3179" t="s">
        <v>90</v>
      </c>
      <c r="J3179">
        <v>0</v>
      </c>
      <c r="K3179">
        <v>2</v>
      </c>
      <c r="L3179">
        <v>5</v>
      </c>
      <c r="M3179">
        <v>192</v>
      </c>
      <c r="N3179">
        <v>132</v>
      </c>
      <c r="O3179">
        <v>1</v>
      </c>
      <c r="P3179">
        <v>132</v>
      </c>
      <c r="Q3179">
        <v>2</v>
      </c>
      <c r="R3179">
        <v>12</v>
      </c>
      <c r="S3179">
        <v>25</v>
      </c>
      <c r="T3179">
        <v>1</v>
      </c>
      <c r="U3179">
        <v>5</v>
      </c>
      <c r="V3179">
        <v>1</v>
      </c>
      <c r="X3179">
        <v>1</v>
      </c>
      <c r="Y3179">
        <v>61</v>
      </c>
      <c r="Z3179">
        <v>1</v>
      </c>
      <c r="AA3179">
        <v>10</v>
      </c>
      <c r="AC3179">
        <v>0</v>
      </c>
      <c r="AD3179">
        <v>1</v>
      </c>
      <c r="AE3179">
        <v>0</v>
      </c>
      <c r="AF3179">
        <v>0</v>
      </c>
      <c r="AG3179">
        <v>0</v>
      </c>
      <c r="AH3179">
        <v>0</v>
      </c>
      <c r="AI3179">
        <v>0</v>
      </c>
      <c r="AJ3179">
        <v>0</v>
      </c>
      <c r="AK3179">
        <v>4</v>
      </c>
      <c r="AL3179">
        <v>1</v>
      </c>
      <c r="AM3179">
        <v>0</v>
      </c>
      <c r="AN3179">
        <v>0</v>
      </c>
      <c r="BC3179">
        <v>0</v>
      </c>
      <c r="BD3179">
        <v>7</v>
      </c>
      <c r="BE3179">
        <v>132</v>
      </c>
      <c r="BF3179">
        <v>132</v>
      </c>
      <c r="BG3179">
        <v>301</v>
      </c>
      <c r="BJ3179">
        <v>1</v>
      </c>
      <c r="BL3179" t="s">
        <v>6593</v>
      </c>
      <c r="BM3179" s="4">
        <v>43283.367361111108</v>
      </c>
      <c r="BN3179" s="4">
        <v>43283.3752662037</v>
      </c>
      <c r="BO3179" s="4">
        <v>43283.3752662037</v>
      </c>
      <c r="BP3179" t="s">
        <v>92</v>
      </c>
      <c r="BQ3179" t="s">
        <v>93</v>
      </c>
      <c r="BR3179" t="s">
        <v>94</v>
      </c>
    </row>
    <row r="3180" spans="1:70" x14ac:dyDescent="0.3">
      <c r="A3180" t="str">
        <f>"202279B0100"</f>
        <v>202279B0100</v>
      </c>
      <c r="B3180" t="s">
        <v>6594</v>
      </c>
      <c r="C3180">
        <v>20</v>
      </c>
      <c r="D3180" t="s">
        <v>88</v>
      </c>
      <c r="E3180">
        <v>534</v>
      </c>
      <c r="F3180" t="s">
        <v>6582</v>
      </c>
      <c r="G3180">
        <v>2279</v>
      </c>
      <c r="H3180">
        <v>1</v>
      </c>
      <c r="I3180" t="s">
        <v>90</v>
      </c>
      <c r="J3180">
        <v>0</v>
      </c>
      <c r="K3180">
        <v>2</v>
      </c>
      <c r="L3180">
        <v>5</v>
      </c>
      <c r="M3180">
        <v>195</v>
      </c>
      <c r="N3180">
        <v>2</v>
      </c>
      <c r="O3180">
        <v>2</v>
      </c>
      <c r="P3180">
        <v>168</v>
      </c>
      <c r="Q3180">
        <v>1</v>
      </c>
      <c r="R3180">
        <v>39</v>
      </c>
      <c r="S3180">
        <v>23</v>
      </c>
      <c r="T3180">
        <v>2</v>
      </c>
      <c r="U3180">
        <v>6</v>
      </c>
      <c r="V3180">
        <v>2</v>
      </c>
      <c r="X3180">
        <v>2</v>
      </c>
      <c r="Y3180">
        <v>71</v>
      </c>
      <c r="Z3180">
        <v>2</v>
      </c>
      <c r="AA3180">
        <v>2</v>
      </c>
      <c r="AC3180" t="s">
        <v>105</v>
      </c>
      <c r="AD3180" t="s">
        <v>105</v>
      </c>
      <c r="AE3180" t="s">
        <v>105</v>
      </c>
      <c r="AF3180" t="s">
        <v>105</v>
      </c>
      <c r="AG3180" t="s">
        <v>105</v>
      </c>
      <c r="AH3180" t="s">
        <v>105</v>
      </c>
      <c r="AI3180">
        <v>1</v>
      </c>
      <c r="AJ3180" t="s">
        <v>105</v>
      </c>
      <c r="AK3180">
        <v>4</v>
      </c>
      <c r="AL3180">
        <v>1</v>
      </c>
      <c r="AM3180" t="s">
        <v>105</v>
      </c>
      <c r="AN3180" t="s">
        <v>105</v>
      </c>
      <c r="BC3180" t="s">
        <v>105</v>
      </c>
      <c r="BD3180">
        <v>12</v>
      </c>
      <c r="BE3180">
        <v>168</v>
      </c>
      <c r="BF3180">
        <v>168</v>
      </c>
      <c r="BG3180">
        <v>341</v>
      </c>
      <c r="BI3180" t="s">
        <v>106</v>
      </c>
      <c r="BJ3180">
        <v>1</v>
      </c>
      <c r="BL3180" t="s">
        <v>6595</v>
      </c>
      <c r="BM3180" s="4">
        <v>43283.143055555556</v>
      </c>
      <c r="BN3180" s="4">
        <v>43283.147638888891</v>
      </c>
      <c r="BO3180" s="4">
        <v>43283.147638888891</v>
      </c>
      <c r="BP3180" t="s">
        <v>92</v>
      </c>
      <c r="BQ3180" t="s">
        <v>93</v>
      </c>
      <c r="BR3180" t="s">
        <v>94</v>
      </c>
    </row>
    <row r="3181" spans="1:70" x14ac:dyDescent="0.3">
      <c r="A3181" t="str">
        <f>"202280B0100"</f>
        <v>202280B0100</v>
      </c>
      <c r="B3181" t="s">
        <v>6596</v>
      </c>
      <c r="C3181">
        <v>20</v>
      </c>
      <c r="D3181" t="s">
        <v>88</v>
      </c>
      <c r="E3181">
        <v>534</v>
      </c>
      <c r="F3181" t="s">
        <v>6582</v>
      </c>
      <c r="G3181">
        <v>2280</v>
      </c>
      <c r="H3181">
        <v>1</v>
      </c>
      <c r="I3181" t="s">
        <v>90</v>
      </c>
      <c r="J3181">
        <v>0</v>
      </c>
      <c r="K3181">
        <v>2</v>
      </c>
      <c r="L3181">
        <v>5</v>
      </c>
      <c r="M3181">
        <v>59</v>
      </c>
      <c r="N3181">
        <v>70</v>
      </c>
      <c r="O3181">
        <v>4</v>
      </c>
      <c r="P3181">
        <v>70</v>
      </c>
      <c r="Q3181">
        <v>2</v>
      </c>
      <c r="R3181">
        <v>2</v>
      </c>
      <c r="S3181">
        <v>34</v>
      </c>
      <c r="T3181">
        <v>1</v>
      </c>
      <c r="U3181">
        <v>1</v>
      </c>
      <c r="V3181">
        <v>0</v>
      </c>
      <c r="X3181">
        <v>0</v>
      </c>
      <c r="Y3181">
        <v>25</v>
      </c>
      <c r="Z3181">
        <v>0</v>
      </c>
      <c r="AA3181">
        <v>0</v>
      </c>
      <c r="AC3181">
        <v>0</v>
      </c>
      <c r="AD3181">
        <v>0</v>
      </c>
      <c r="AE3181">
        <v>0</v>
      </c>
      <c r="AF3181">
        <v>0</v>
      </c>
      <c r="AG3181">
        <v>0</v>
      </c>
      <c r="AH3181">
        <v>0</v>
      </c>
      <c r="AI3181">
        <v>0</v>
      </c>
      <c r="AJ3181">
        <v>0</v>
      </c>
      <c r="AK3181">
        <v>0</v>
      </c>
      <c r="AL3181">
        <v>0</v>
      </c>
      <c r="AM3181">
        <v>0</v>
      </c>
      <c r="AN3181">
        <v>0</v>
      </c>
      <c r="BC3181">
        <v>0</v>
      </c>
      <c r="BD3181">
        <v>5</v>
      </c>
      <c r="BE3181">
        <v>70</v>
      </c>
      <c r="BF3181">
        <v>70</v>
      </c>
      <c r="BG3181">
        <v>107</v>
      </c>
      <c r="BJ3181">
        <v>1</v>
      </c>
      <c r="BL3181" t="s">
        <v>6597</v>
      </c>
      <c r="BM3181" s="4">
        <v>43283.097916666666</v>
      </c>
      <c r="BN3181" s="4">
        <v>43283.101307870369</v>
      </c>
      <c r="BO3181" s="4">
        <v>43283.101307870369</v>
      </c>
      <c r="BP3181" t="s">
        <v>92</v>
      </c>
      <c r="BQ3181" t="s">
        <v>93</v>
      </c>
      <c r="BR3181" t="s">
        <v>94</v>
      </c>
    </row>
    <row r="3182" spans="1:70" x14ac:dyDescent="0.3">
      <c r="A3182" t="str">
        <f>"202281B0100"</f>
        <v>202281B0100</v>
      </c>
      <c r="B3182" t="s">
        <v>6598</v>
      </c>
      <c r="C3182">
        <v>20</v>
      </c>
      <c r="D3182" t="s">
        <v>88</v>
      </c>
      <c r="E3182">
        <v>534</v>
      </c>
      <c r="F3182" t="s">
        <v>6582</v>
      </c>
      <c r="G3182">
        <v>2281</v>
      </c>
      <c r="H3182">
        <v>1</v>
      </c>
      <c r="I3182" t="s">
        <v>90</v>
      </c>
      <c r="J3182">
        <v>0</v>
      </c>
      <c r="K3182">
        <v>2</v>
      </c>
      <c r="L3182">
        <v>5</v>
      </c>
      <c r="M3182">
        <v>226</v>
      </c>
      <c r="N3182">
        <v>112</v>
      </c>
      <c r="O3182">
        <v>3</v>
      </c>
      <c r="P3182">
        <v>112</v>
      </c>
      <c r="Q3182">
        <v>2</v>
      </c>
      <c r="R3182">
        <v>42</v>
      </c>
      <c r="S3182">
        <v>25</v>
      </c>
      <c r="T3182">
        <v>5</v>
      </c>
      <c r="U3182">
        <v>1</v>
      </c>
      <c r="V3182">
        <v>0</v>
      </c>
      <c r="X3182">
        <v>2</v>
      </c>
      <c r="Y3182">
        <v>16</v>
      </c>
      <c r="Z3182">
        <v>2</v>
      </c>
      <c r="AA3182">
        <v>3</v>
      </c>
      <c r="AC3182">
        <v>0</v>
      </c>
      <c r="AD3182">
        <v>0</v>
      </c>
      <c r="AE3182">
        <v>0</v>
      </c>
      <c r="AF3182">
        <v>0</v>
      </c>
      <c r="AG3182">
        <v>0</v>
      </c>
      <c r="AH3182">
        <v>0</v>
      </c>
      <c r="AI3182">
        <v>0</v>
      </c>
      <c r="AJ3182">
        <v>0</v>
      </c>
      <c r="AK3182">
        <v>0</v>
      </c>
      <c r="AL3182">
        <v>1</v>
      </c>
      <c r="AM3182">
        <v>0</v>
      </c>
      <c r="AN3182">
        <v>0</v>
      </c>
      <c r="BC3182">
        <v>0</v>
      </c>
      <c r="BD3182">
        <v>13</v>
      </c>
      <c r="BE3182">
        <v>112</v>
      </c>
      <c r="BF3182">
        <v>112</v>
      </c>
      <c r="BG3182">
        <v>316</v>
      </c>
      <c r="BJ3182">
        <v>1</v>
      </c>
      <c r="BL3182" t="s">
        <v>6599</v>
      </c>
      <c r="BM3182" s="4">
        <v>43283.097222222219</v>
      </c>
      <c r="BN3182" s="4">
        <v>43283.106585648151</v>
      </c>
      <c r="BO3182" s="4">
        <v>43283.106585648151</v>
      </c>
      <c r="BP3182" t="s">
        <v>92</v>
      </c>
      <c r="BQ3182" t="s">
        <v>93</v>
      </c>
      <c r="BR3182" t="s">
        <v>94</v>
      </c>
    </row>
    <row r="3183" spans="1:70" x14ac:dyDescent="0.3">
      <c r="A3183" t="str">
        <f>"202282B0100"</f>
        <v>202282B0100</v>
      </c>
      <c r="B3183" t="s">
        <v>6600</v>
      </c>
      <c r="C3183">
        <v>20</v>
      </c>
      <c r="D3183" t="s">
        <v>88</v>
      </c>
      <c r="E3183">
        <v>534</v>
      </c>
      <c r="F3183" t="s">
        <v>6582</v>
      </c>
      <c r="G3183">
        <v>2282</v>
      </c>
      <c r="H3183">
        <v>1</v>
      </c>
      <c r="I3183" t="s">
        <v>90</v>
      </c>
      <c r="J3183">
        <v>0</v>
      </c>
      <c r="K3183">
        <v>2</v>
      </c>
      <c r="L3183">
        <v>5</v>
      </c>
      <c r="M3183">
        <v>169</v>
      </c>
      <c r="N3183">
        <v>117</v>
      </c>
      <c r="O3183">
        <v>5</v>
      </c>
      <c r="P3183">
        <v>117</v>
      </c>
      <c r="Q3183">
        <v>4</v>
      </c>
      <c r="R3183">
        <v>32</v>
      </c>
      <c r="S3183">
        <v>6</v>
      </c>
      <c r="T3183">
        <v>1</v>
      </c>
      <c r="U3183">
        <v>2</v>
      </c>
      <c r="V3183">
        <v>0</v>
      </c>
      <c r="X3183">
        <v>2</v>
      </c>
      <c r="Y3183">
        <v>26</v>
      </c>
      <c r="Z3183">
        <v>1</v>
      </c>
      <c r="AA3183">
        <v>35</v>
      </c>
      <c r="AC3183">
        <v>0</v>
      </c>
      <c r="AD3183">
        <v>1</v>
      </c>
      <c r="AE3183">
        <v>0</v>
      </c>
      <c r="AF3183">
        <v>0</v>
      </c>
      <c r="AG3183">
        <v>0</v>
      </c>
      <c r="AH3183">
        <v>0</v>
      </c>
      <c r="AI3183">
        <v>0</v>
      </c>
      <c r="AJ3183">
        <v>0</v>
      </c>
      <c r="AK3183">
        <v>0</v>
      </c>
      <c r="AL3183">
        <v>0</v>
      </c>
      <c r="AM3183">
        <v>0</v>
      </c>
      <c r="AN3183">
        <v>0</v>
      </c>
      <c r="BC3183">
        <v>0</v>
      </c>
      <c r="BD3183">
        <v>7</v>
      </c>
      <c r="BE3183">
        <v>117</v>
      </c>
      <c r="BF3183">
        <v>117</v>
      </c>
      <c r="BG3183">
        <v>264</v>
      </c>
      <c r="BJ3183">
        <v>1</v>
      </c>
      <c r="BL3183" t="s">
        <v>6601</v>
      </c>
      <c r="BM3183" s="4">
        <v>43282.962500000001</v>
      </c>
      <c r="BN3183" s="4">
        <v>43282.968773148146</v>
      </c>
      <c r="BO3183" s="4">
        <v>43282.968773148146</v>
      </c>
      <c r="BP3183" t="s">
        <v>92</v>
      </c>
      <c r="BQ3183" t="s">
        <v>93</v>
      </c>
      <c r="BR3183" t="s">
        <v>94</v>
      </c>
    </row>
    <row r="3184" spans="1:70" x14ac:dyDescent="0.3">
      <c r="A3184" t="str">
        <f>"202283B0100"</f>
        <v>202283B0100</v>
      </c>
      <c r="B3184" t="s">
        <v>6602</v>
      </c>
      <c r="C3184">
        <v>20</v>
      </c>
      <c r="D3184" t="s">
        <v>88</v>
      </c>
      <c r="E3184">
        <v>534</v>
      </c>
      <c r="F3184" t="s">
        <v>6582</v>
      </c>
      <c r="G3184">
        <v>2283</v>
      </c>
      <c r="H3184">
        <v>1</v>
      </c>
      <c r="I3184" t="s">
        <v>90</v>
      </c>
      <c r="J3184">
        <v>0</v>
      </c>
      <c r="K3184">
        <v>2</v>
      </c>
      <c r="L3184">
        <v>5</v>
      </c>
      <c r="M3184">
        <v>94</v>
      </c>
      <c r="N3184">
        <v>132</v>
      </c>
      <c r="O3184">
        <v>7</v>
      </c>
      <c r="P3184">
        <v>125</v>
      </c>
      <c r="Q3184">
        <v>0</v>
      </c>
      <c r="R3184">
        <v>59</v>
      </c>
      <c r="S3184">
        <v>17</v>
      </c>
      <c r="T3184">
        <v>0</v>
      </c>
      <c r="U3184">
        <v>0</v>
      </c>
      <c r="V3184">
        <v>1</v>
      </c>
      <c r="X3184">
        <v>5</v>
      </c>
      <c r="Y3184">
        <v>30</v>
      </c>
      <c r="Z3184">
        <v>0</v>
      </c>
      <c r="AA3184">
        <v>7</v>
      </c>
      <c r="AC3184">
        <v>0</v>
      </c>
      <c r="AD3184">
        <v>0</v>
      </c>
      <c r="AE3184">
        <v>0</v>
      </c>
      <c r="AF3184">
        <v>0</v>
      </c>
      <c r="AG3184">
        <v>1</v>
      </c>
      <c r="AH3184">
        <v>1</v>
      </c>
      <c r="AI3184">
        <v>0</v>
      </c>
      <c r="AJ3184">
        <v>0</v>
      </c>
      <c r="AK3184">
        <v>0</v>
      </c>
      <c r="AL3184">
        <v>0</v>
      </c>
      <c r="AM3184">
        <v>0</v>
      </c>
      <c r="AN3184">
        <v>0</v>
      </c>
      <c r="BC3184">
        <v>0</v>
      </c>
      <c r="BD3184">
        <v>4</v>
      </c>
      <c r="BE3184">
        <v>125</v>
      </c>
      <c r="BF3184">
        <v>125</v>
      </c>
      <c r="BG3184">
        <v>197</v>
      </c>
      <c r="BJ3184">
        <v>1</v>
      </c>
      <c r="BL3184" t="s">
        <v>6603</v>
      </c>
      <c r="BM3184" s="4">
        <v>43282.951388888891</v>
      </c>
      <c r="BN3184" s="4">
        <v>43282.956875000003</v>
      </c>
      <c r="BO3184" s="4">
        <v>43282.956875000003</v>
      </c>
      <c r="BP3184" t="s">
        <v>92</v>
      </c>
      <c r="BQ3184" t="s">
        <v>93</v>
      </c>
      <c r="BR3184" t="s">
        <v>94</v>
      </c>
    </row>
    <row r="3185" spans="1:70" x14ac:dyDescent="0.3">
      <c r="A3185" t="str">
        <f>"202284B0100"</f>
        <v>202284B0100</v>
      </c>
      <c r="B3185" t="s">
        <v>6604</v>
      </c>
      <c r="C3185">
        <v>20</v>
      </c>
      <c r="D3185" t="s">
        <v>88</v>
      </c>
      <c r="E3185">
        <v>534</v>
      </c>
      <c r="F3185" t="s">
        <v>6582</v>
      </c>
      <c r="G3185">
        <v>2284</v>
      </c>
      <c r="H3185">
        <v>1</v>
      </c>
      <c r="I3185" t="s">
        <v>90</v>
      </c>
      <c r="J3185">
        <v>0</v>
      </c>
      <c r="K3185">
        <v>2</v>
      </c>
      <c r="L3185">
        <v>5</v>
      </c>
      <c r="M3185">
        <v>79</v>
      </c>
      <c r="N3185">
        <v>154</v>
      </c>
      <c r="O3185">
        <v>3</v>
      </c>
      <c r="P3185">
        <v>154</v>
      </c>
      <c r="Q3185">
        <v>1</v>
      </c>
      <c r="R3185">
        <v>42</v>
      </c>
      <c r="S3185">
        <v>28</v>
      </c>
      <c r="T3185">
        <v>2</v>
      </c>
      <c r="U3185">
        <v>2</v>
      </c>
      <c r="V3185">
        <v>0</v>
      </c>
      <c r="X3185">
        <v>2</v>
      </c>
      <c r="Y3185">
        <v>51</v>
      </c>
      <c r="Z3185">
        <v>4</v>
      </c>
      <c r="AA3185">
        <v>10</v>
      </c>
      <c r="AC3185">
        <v>0</v>
      </c>
      <c r="AD3185">
        <v>0</v>
      </c>
      <c r="AE3185">
        <v>0</v>
      </c>
      <c r="AF3185">
        <v>0</v>
      </c>
      <c r="AG3185">
        <v>0</v>
      </c>
      <c r="AH3185">
        <v>2</v>
      </c>
      <c r="AI3185">
        <v>0</v>
      </c>
      <c r="AJ3185">
        <v>0</v>
      </c>
      <c r="AK3185">
        <v>0</v>
      </c>
      <c r="AL3185">
        <v>1</v>
      </c>
      <c r="AM3185">
        <v>0</v>
      </c>
      <c r="AN3185">
        <v>0</v>
      </c>
      <c r="BC3185">
        <v>0</v>
      </c>
      <c r="BD3185">
        <v>8</v>
      </c>
      <c r="BE3185">
        <v>154</v>
      </c>
      <c r="BF3185">
        <v>153</v>
      </c>
      <c r="BG3185">
        <v>211</v>
      </c>
      <c r="BJ3185">
        <v>1</v>
      </c>
      <c r="BL3185" t="s">
        <v>6605</v>
      </c>
      <c r="BM3185" s="4">
        <v>43282.961111111108</v>
      </c>
      <c r="BN3185" s="4">
        <v>43282.965138888889</v>
      </c>
      <c r="BO3185" s="4">
        <v>43282.965138888889</v>
      </c>
      <c r="BP3185" t="s">
        <v>92</v>
      </c>
      <c r="BQ3185" t="s">
        <v>93</v>
      </c>
      <c r="BR3185" t="s">
        <v>94</v>
      </c>
    </row>
    <row r="3186" spans="1:70" x14ac:dyDescent="0.3">
      <c r="A3186" t="str">
        <f>"202285B0100"</f>
        <v>202285B0100</v>
      </c>
      <c r="B3186" t="s">
        <v>6606</v>
      </c>
      <c r="C3186">
        <v>20</v>
      </c>
      <c r="D3186" t="s">
        <v>88</v>
      </c>
      <c r="E3186">
        <v>534</v>
      </c>
      <c r="F3186" t="s">
        <v>6582</v>
      </c>
      <c r="G3186">
        <v>2285</v>
      </c>
      <c r="H3186">
        <v>1</v>
      </c>
      <c r="I3186" t="s">
        <v>90</v>
      </c>
      <c r="J3186">
        <v>0</v>
      </c>
      <c r="K3186">
        <v>2</v>
      </c>
      <c r="L3186">
        <v>5</v>
      </c>
      <c r="M3186">
        <v>175</v>
      </c>
      <c r="N3186">
        <v>111</v>
      </c>
      <c r="O3186">
        <v>2</v>
      </c>
      <c r="P3186">
        <v>111</v>
      </c>
      <c r="Q3186">
        <v>1</v>
      </c>
      <c r="R3186">
        <v>37</v>
      </c>
      <c r="S3186">
        <v>15</v>
      </c>
      <c r="T3186">
        <v>1</v>
      </c>
      <c r="U3186">
        <v>1</v>
      </c>
      <c r="V3186">
        <v>1</v>
      </c>
      <c r="X3186">
        <v>1</v>
      </c>
      <c r="Y3186">
        <v>48</v>
      </c>
      <c r="Z3186">
        <v>0</v>
      </c>
      <c r="AA3186">
        <v>0</v>
      </c>
      <c r="AC3186">
        <v>0</v>
      </c>
      <c r="AD3186">
        <v>0</v>
      </c>
      <c r="AE3186">
        <v>0</v>
      </c>
      <c r="AF3186">
        <v>0</v>
      </c>
      <c r="AG3186">
        <v>0</v>
      </c>
      <c r="AH3186">
        <v>0</v>
      </c>
      <c r="AI3186">
        <v>0</v>
      </c>
      <c r="AJ3186">
        <v>0</v>
      </c>
      <c r="AK3186">
        <v>0</v>
      </c>
      <c r="AL3186">
        <v>0</v>
      </c>
      <c r="AM3186">
        <v>0</v>
      </c>
      <c r="AN3186">
        <v>0</v>
      </c>
      <c r="BC3186" t="s">
        <v>105</v>
      </c>
      <c r="BD3186">
        <v>6</v>
      </c>
      <c r="BE3186">
        <v>111</v>
      </c>
      <c r="BF3186">
        <v>111</v>
      </c>
      <c r="BG3186">
        <v>264</v>
      </c>
      <c r="BI3186" t="s">
        <v>106</v>
      </c>
      <c r="BJ3186">
        <v>1</v>
      </c>
      <c r="BL3186" t="s">
        <v>6607</v>
      </c>
      <c r="BM3186" s="4">
        <v>43283.140277777777</v>
      </c>
      <c r="BN3186" s="4">
        <v>43283.145960648151</v>
      </c>
      <c r="BO3186" s="4">
        <v>43283.145960648151</v>
      </c>
      <c r="BP3186" t="s">
        <v>92</v>
      </c>
      <c r="BQ3186" t="s">
        <v>93</v>
      </c>
      <c r="BR3186" t="s">
        <v>94</v>
      </c>
    </row>
    <row r="3187" spans="1:70" x14ac:dyDescent="0.3">
      <c r="A3187" t="str">
        <f>"202286B0100"</f>
        <v>202286B0100</v>
      </c>
      <c r="B3187" t="s">
        <v>6608</v>
      </c>
      <c r="C3187">
        <v>20</v>
      </c>
      <c r="D3187" t="s">
        <v>88</v>
      </c>
      <c r="E3187">
        <v>534</v>
      </c>
      <c r="F3187" t="s">
        <v>6582</v>
      </c>
      <c r="G3187">
        <v>2286</v>
      </c>
      <c r="H3187">
        <v>1</v>
      </c>
      <c r="I3187" t="s">
        <v>90</v>
      </c>
      <c r="J3187">
        <v>0</v>
      </c>
      <c r="K3187">
        <v>2</v>
      </c>
      <c r="L3187">
        <v>5</v>
      </c>
      <c r="M3187">
        <v>105</v>
      </c>
      <c r="N3187">
        <v>117</v>
      </c>
      <c r="O3187">
        <v>2</v>
      </c>
      <c r="P3187">
        <v>117</v>
      </c>
      <c r="Q3187">
        <v>0</v>
      </c>
      <c r="R3187">
        <v>54</v>
      </c>
      <c r="S3187">
        <v>20</v>
      </c>
      <c r="T3187">
        <v>0</v>
      </c>
      <c r="U3187">
        <v>1</v>
      </c>
      <c r="V3187">
        <v>0</v>
      </c>
      <c r="X3187">
        <v>4</v>
      </c>
      <c r="Y3187">
        <v>31</v>
      </c>
      <c r="Z3187">
        <v>0</v>
      </c>
      <c r="AA3187">
        <v>5</v>
      </c>
      <c r="AC3187">
        <v>0</v>
      </c>
      <c r="AD3187">
        <v>0</v>
      </c>
      <c r="AE3187">
        <v>0</v>
      </c>
      <c r="AF3187">
        <v>0</v>
      </c>
      <c r="AG3187">
        <v>0</v>
      </c>
      <c r="AH3187">
        <v>0</v>
      </c>
      <c r="AI3187">
        <v>0</v>
      </c>
      <c r="AJ3187">
        <v>0</v>
      </c>
      <c r="AK3187">
        <v>0</v>
      </c>
      <c r="AL3187">
        <v>0</v>
      </c>
      <c r="AM3187">
        <v>0</v>
      </c>
      <c r="AN3187">
        <v>0</v>
      </c>
      <c r="BC3187">
        <v>0</v>
      </c>
      <c r="BD3187">
        <v>2</v>
      </c>
      <c r="BE3187">
        <v>117</v>
      </c>
      <c r="BF3187">
        <v>117</v>
      </c>
      <c r="BG3187">
        <v>200</v>
      </c>
      <c r="BJ3187">
        <v>1</v>
      </c>
      <c r="BL3187" t="s">
        <v>6609</v>
      </c>
      <c r="BM3187" s="4">
        <v>43283.102083333331</v>
      </c>
      <c r="BN3187" s="4">
        <v>43283.105891203704</v>
      </c>
      <c r="BO3187" s="4">
        <v>43283.105891203704</v>
      </c>
      <c r="BP3187" t="s">
        <v>92</v>
      </c>
      <c r="BQ3187" t="s">
        <v>93</v>
      </c>
      <c r="BR3187" t="s">
        <v>254</v>
      </c>
    </row>
    <row r="3188" spans="1:70" x14ac:dyDescent="0.3">
      <c r="A3188" t="str">
        <f>"202287B0100"</f>
        <v>202287B0100</v>
      </c>
      <c r="B3188" t="s">
        <v>6610</v>
      </c>
      <c r="C3188">
        <v>20</v>
      </c>
      <c r="D3188" t="s">
        <v>88</v>
      </c>
      <c r="E3188">
        <v>534</v>
      </c>
      <c r="F3188" t="s">
        <v>6582</v>
      </c>
      <c r="G3188">
        <v>2287</v>
      </c>
      <c r="H3188">
        <v>1</v>
      </c>
      <c r="I3188" t="s">
        <v>90</v>
      </c>
      <c r="J3188">
        <v>0</v>
      </c>
      <c r="K3188">
        <v>2</v>
      </c>
      <c r="L3188">
        <v>5</v>
      </c>
      <c r="M3188">
        <v>84</v>
      </c>
      <c r="N3188">
        <v>81</v>
      </c>
      <c r="O3188">
        <v>3</v>
      </c>
      <c r="P3188">
        <v>81</v>
      </c>
      <c r="Q3188">
        <v>0</v>
      </c>
      <c r="R3188">
        <v>42</v>
      </c>
      <c r="S3188">
        <v>19</v>
      </c>
      <c r="T3188">
        <v>0</v>
      </c>
      <c r="U3188">
        <v>1</v>
      </c>
      <c r="V3188">
        <v>0</v>
      </c>
      <c r="X3188">
        <v>0</v>
      </c>
      <c r="Y3188">
        <v>11</v>
      </c>
      <c r="Z3188">
        <v>0</v>
      </c>
      <c r="AA3188">
        <v>0</v>
      </c>
      <c r="AC3188">
        <v>0</v>
      </c>
      <c r="AD3188">
        <v>0</v>
      </c>
      <c r="AE3188">
        <v>0</v>
      </c>
      <c r="AF3188">
        <v>0</v>
      </c>
      <c r="AG3188">
        <v>0</v>
      </c>
      <c r="AH3188">
        <v>0</v>
      </c>
      <c r="AI3188">
        <v>0</v>
      </c>
      <c r="AJ3188">
        <v>0</v>
      </c>
      <c r="AK3188">
        <v>0</v>
      </c>
      <c r="AL3188">
        <v>0</v>
      </c>
      <c r="AM3188">
        <v>0</v>
      </c>
      <c r="AN3188">
        <v>0</v>
      </c>
      <c r="BC3188">
        <v>0</v>
      </c>
      <c r="BD3188">
        <v>8</v>
      </c>
      <c r="BE3188">
        <v>81</v>
      </c>
      <c r="BF3188">
        <v>81</v>
      </c>
      <c r="BG3188">
        <v>143</v>
      </c>
      <c r="BJ3188">
        <v>1</v>
      </c>
      <c r="BL3188" t="s">
        <v>6611</v>
      </c>
      <c r="BM3188" s="4">
        <v>43283.088194444441</v>
      </c>
      <c r="BN3188" s="4">
        <v>43283.091365740744</v>
      </c>
      <c r="BO3188" s="4">
        <v>43283.091365740744</v>
      </c>
      <c r="BP3188" t="s">
        <v>92</v>
      </c>
      <c r="BQ3188" t="s">
        <v>93</v>
      </c>
      <c r="BR3188" t="s">
        <v>94</v>
      </c>
    </row>
    <row r="3189" spans="1:70" x14ac:dyDescent="0.3">
      <c r="A3189" t="str">
        <f>"202288B0100"</f>
        <v>202288B0100</v>
      </c>
      <c r="B3189" t="s">
        <v>6612</v>
      </c>
      <c r="C3189">
        <v>20</v>
      </c>
      <c r="D3189" t="s">
        <v>88</v>
      </c>
      <c r="E3189">
        <v>534</v>
      </c>
      <c r="F3189" t="s">
        <v>6582</v>
      </c>
      <c r="G3189">
        <v>2288</v>
      </c>
      <c r="H3189">
        <v>1</v>
      </c>
      <c r="I3189" t="s">
        <v>90</v>
      </c>
      <c r="J3189">
        <v>0</v>
      </c>
      <c r="K3189">
        <v>2</v>
      </c>
      <c r="L3189">
        <v>5</v>
      </c>
      <c r="M3189" t="s">
        <v>105</v>
      </c>
      <c r="N3189" t="s">
        <v>105</v>
      </c>
      <c r="O3189" t="s">
        <v>105</v>
      </c>
      <c r="P3189" t="s">
        <v>105</v>
      </c>
      <c r="Q3189">
        <v>1</v>
      </c>
      <c r="R3189">
        <v>23</v>
      </c>
      <c r="S3189">
        <v>7</v>
      </c>
      <c r="T3189">
        <v>0</v>
      </c>
      <c r="U3189">
        <v>1</v>
      </c>
      <c r="V3189">
        <v>1</v>
      </c>
      <c r="X3189">
        <v>1</v>
      </c>
      <c r="Y3189" t="s">
        <v>105</v>
      </c>
      <c r="Z3189" t="s">
        <v>105</v>
      </c>
      <c r="AA3189">
        <v>1</v>
      </c>
      <c r="AC3189" t="s">
        <v>105</v>
      </c>
      <c r="AD3189" t="s">
        <v>105</v>
      </c>
      <c r="AE3189" t="s">
        <v>105</v>
      </c>
      <c r="AF3189" t="s">
        <v>105</v>
      </c>
      <c r="AG3189" t="s">
        <v>105</v>
      </c>
      <c r="AH3189" t="s">
        <v>105</v>
      </c>
      <c r="AI3189" t="s">
        <v>105</v>
      </c>
      <c r="AJ3189" t="s">
        <v>105</v>
      </c>
      <c r="AK3189" t="s">
        <v>105</v>
      </c>
      <c r="AL3189" t="s">
        <v>105</v>
      </c>
      <c r="AM3189" t="s">
        <v>105</v>
      </c>
      <c r="AN3189" t="s">
        <v>105</v>
      </c>
      <c r="BC3189" t="s">
        <v>105</v>
      </c>
      <c r="BD3189">
        <v>4</v>
      </c>
      <c r="BE3189" t="s">
        <v>105</v>
      </c>
      <c r="BF3189">
        <v>39</v>
      </c>
      <c r="BG3189">
        <v>91</v>
      </c>
      <c r="BI3189" t="s">
        <v>106</v>
      </c>
      <c r="BJ3189">
        <v>1</v>
      </c>
      <c r="BL3189" t="s">
        <v>6613</v>
      </c>
      <c r="BM3189" s="4">
        <v>43283.091666666667</v>
      </c>
      <c r="BN3189" s="4">
        <v>43283.098078703704</v>
      </c>
      <c r="BO3189" s="4">
        <v>43283.098078703704</v>
      </c>
      <c r="BP3189" t="s">
        <v>92</v>
      </c>
      <c r="BQ3189" t="s">
        <v>93</v>
      </c>
      <c r="BR3189" t="s">
        <v>94</v>
      </c>
    </row>
    <row r="3190" spans="1:70" x14ac:dyDescent="0.3">
      <c r="A3190" t="str">
        <f>"202289B0100"</f>
        <v>202289B0100</v>
      </c>
      <c r="B3190" t="s">
        <v>6614</v>
      </c>
      <c r="C3190">
        <v>20</v>
      </c>
      <c r="D3190" t="s">
        <v>88</v>
      </c>
      <c r="E3190">
        <v>534</v>
      </c>
      <c r="F3190" t="s">
        <v>6582</v>
      </c>
      <c r="G3190">
        <v>2289</v>
      </c>
      <c r="H3190">
        <v>1</v>
      </c>
      <c r="I3190" t="s">
        <v>90</v>
      </c>
      <c r="J3190">
        <v>0</v>
      </c>
      <c r="K3190">
        <v>2</v>
      </c>
      <c r="L3190">
        <v>5</v>
      </c>
      <c r="M3190">
        <v>139</v>
      </c>
      <c r="N3190">
        <v>105</v>
      </c>
      <c r="O3190">
        <v>6</v>
      </c>
      <c r="P3190">
        <v>105</v>
      </c>
      <c r="Q3190">
        <v>1</v>
      </c>
      <c r="R3190">
        <v>27</v>
      </c>
      <c r="S3190">
        <v>30</v>
      </c>
      <c r="T3190">
        <v>2</v>
      </c>
      <c r="U3190">
        <v>4</v>
      </c>
      <c r="V3190">
        <v>1</v>
      </c>
      <c r="X3190">
        <v>2</v>
      </c>
      <c r="Y3190">
        <v>25</v>
      </c>
      <c r="Z3190">
        <v>0</v>
      </c>
      <c r="AA3190">
        <v>1</v>
      </c>
      <c r="AC3190">
        <v>0</v>
      </c>
      <c r="AD3190">
        <v>0</v>
      </c>
      <c r="AE3190">
        <v>0</v>
      </c>
      <c r="AF3190">
        <v>0</v>
      </c>
      <c r="AG3190">
        <v>0</v>
      </c>
      <c r="AH3190">
        <v>1</v>
      </c>
      <c r="AI3190">
        <v>0</v>
      </c>
      <c r="AJ3190">
        <v>0</v>
      </c>
      <c r="AK3190">
        <v>1</v>
      </c>
      <c r="AL3190">
        <v>0</v>
      </c>
      <c r="AM3190">
        <v>0</v>
      </c>
      <c r="AN3190">
        <v>0</v>
      </c>
      <c r="BC3190">
        <v>0</v>
      </c>
      <c r="BD3190">
        <v>10</v>
      </c>
      <c r="BE3190">
        <v>105</v>
      </c>
      <c r="BF3190">
        <v>105</v>
      </c>
      <c r="BG3190">
        <v>225</v>
      </c>
      <c r="BJ3190">
        <v>1</v>
      </c>
      <c r="BL3190" t="s">
        <v>6615</v>
      </c>
      <c r="BM3190" s="4">
        <v>43283.087500000001</v>
      </c>
      <c r="BN3190" s="4">
        <v>43283.095439814817</v>
      </c>
      <c r="BO3190" s="4">
        <v>43283.095439814817</v>
      </c>
      <c r="BP3190" t="s">
        <v>92</v>
      </c>
      <c r="BQ3190" t="s">
        <v>93</v>
      </c>
      <c r="BR3190" t="s">
        <v>94</v>
      </c>
    </row>
    <row r="3191" spans="1:70" x14ac:dyDescent="0.3">
      <c r="A3191" t="str">
        <f>"202291B0100"</f>
        <v>202291B0100</v>
      </c>
      <c r="B3191" t="s">
        <v>6616</v>
      </c>
      <c r="C3191">
        <v>20</v>
      </c>
      <c r="D3191" t="s">
        <v>88</v>
      </c>
      <c r="E3191">
        <v>536</v>
      </c>
      <c r="F3191" t="s">
        <v>6617</v>
      </c>
      <c r="G3191">
        <v>2291</v>
      </c>
      <c r="H3191">
        <v>1</v>
      </c>
      <c r="I3191" t="s">
        <v>90</v>
      </c>
      <c r="J3191">
        <v>0</v>
      </c>
      <c r="K3191">
        <v>2</v>
      </c>
      <c r="L3191">
        <v>5</v>
      </c>
      <c r="M3191">
        <v>194</v>
      </c>
      <c r="N3191">
        <v>421</v>
      </c>
      <c r="O3191">
        <v>0</v>
      </c>
      <c r="P3191">
        <v>421</v>
      </c>
      <c r="Q3191">
        <v>161</v>
      </c>
      <c r="R3191">
        <v>26</v>
      </c>
      <c r="S3191">
        <v>13</v>
      </c>
      <c r="T3191">
        <v>8</v>
      </c>
      <c r="U3191">
        <v>13</v>
      </c>
      <c r="V3191">
        <v>9</v>
      </c>
      <c r="X3191">
        <v>65</v>
      </c>
      <c r="Y3191">
        <v>37</v>
      </c>
      <c r="Z3191">
        <v>3</v>
      </c>
      <c r="AA3191">
        <v>48</v>
      </c>
      <c r="AC3191">
        <v>6</v>
      </c>
      <c r="AD3191" t="s">
        <v>105</v>
      </c>
      <c r="AE3191" t="s">
        <v>105</v>
      </c>
      <c r="AF3191" t="s">
        <v>105</v>
      </c>
      <c r="AG3191">
        <v>2</v>
      </c>
      <c r="AH3191" t="s">
        <v>105</v>
      </c>
      <c r="AI3191" t="s">
        <v>105</v>
      </c>
      <c r="AJ3191" t="s">
        <v>105</v>
      </c>
      <c r="AK3191">
        <v>1</v>
      </c>
      <c r="AL3191" t="s">
        <v>105</v>
      </c>
      <c r="AM3191" t="s">
        <v>105</v>
      </c>
      <c r="AN3191" t="s">
        <v>105</v>
      </c>
      <c r="BC3191" t="s">
        <v>105</v>
      </c>
      <c r="BD3191">
        <v>29</v>
      </c>
      <c r="BE3191">
        <v>421</v>
      </c>
      <c r="BF3191">
        <v>421</v>
      </c>
      <c r="BG3191">
        <v>593</v>
      </c>
      <c r="BI3191" t="s">
        <v>106</v>
      </c>
      <c r="BJ3191">
        <v>1</v>
      </c>
      <c r="BL3191" t="s">
        <v>6618</v>
      </c>
      <c r="BM3191" s="4">
        <v>43283.085416666669</v>
      </c>
      <c r="BN3191" s="4">
        <v>43283.090949074074</v>
      </c>
      <c r="BO3191" s="4">
        <v>43283.090949074074</v>
      </c>
      <c r="BP3191" t="s">
        <v>92</v>
      </c>
      <c r="BQ3191" t="s">
        <v>93</v>
      </c>
      <c r="BR3191" t="s">
        <v>94</v>
      </c>
    </row>
    <row r="3192" spans="1:70" x14ac:dyDescent="0.3">
      <c r="A3192" t="str">
        <f>"202292B0100"</f>
        <v>202292B0100</v>
      </c>
      <c r="B3192" t="s">
        <v>6619</v>
      </c>
      <c r="C3192">
        <v>20</v>
      </c>
      <c r="D3192" t="s">
        <v>88</v>
      </c>
      <c r="E3192">
        <v>536</v>
      </c>
      <c r="F3192" t="s">
        <v>6617</v>
      </c>
      <c r="G3192">
        <v>2292</v>
      </c>
      <c r="H3192">
        <v>1</v>
      </c>
      <c r="I3192" t="s">
        <v>90</v>
      </c>
      <c r="J3192">
        <v>0</v>
      </c>
      <c r="K3192">
        <v>2</v>
      </c>
      <c r="L3192">
        <v>5</v>
      </c>
      <c r="M3192">
        <v>219</v>
      </c>
      <c r="N3192">
        <v>376</v>
      </c>
      <c r="O3192">
        <v>1</v>
      </c>
      <c r="P3192">
        <v>376</v>
      </c>
      <c r="Q3192">
        <v>94</v>
      </c>
      <c r="R3192">
        <v>18</v>
      </c>
      <c r="S3192">
        <v>6</v>
      </c>
      <c r="T3192">
        <v>8</v>
      </c>
      <c r="U3192">
        <v>26</v>
      </c>
      <c r="V3192">
        <v>4</v>
      </c>
      <c r="X3192">
        <v>84</v>
      </c>
      <c r="Y3192">
        <v>58</v>
      </c>
      <c r="Z3192">
        <v>1</v>
      </c>
      <c r="AA3192">
        <v>44</v>
      </c>
      <c r="AC3192">
        <v>4</v>
      </c>
      <c r="AD3192">
        <v>2</v>
      </c>
      <c r="AE3192">
        <v>0</v>
      </c>
      <c r="AF3192">
        <v>0</v>
      </c>
      <c r="AG3192">
        <v>5</v>
      </c>
      <c r="AH3192">
        <v>2</v>
      </c>
      <c r="AI3192">
        <v>2</v>
      </c>
      <c r="AJ3192">
        <v>1</v>
      </c>
      <c r="AK3192">
        <v>3</v>
      </c>
      <c r="AL3192">
        <v>0</v>
      </c>
      <c r="AM3192">
        <v>0</v>
      </c>
      <c r="AN3192">
        <v>1</v>
      </c>
      <c r="BC3192">
        <v>1</v>
      </c>
      <c r="BD3192">
        <v>12</v>
      </c>
      <c r="BE3192">
        <v>376</v>
      </c>
      <c r="BF3192">
        <v>376</v>
      </c>
      <c r="BG3192">
        <v>573</v>
      </c>
      <c r="BJ3192">
        <v>1</v>
      </c>
      <c r="BL3192" t="s">
        <v>6620</v>
      </c>
      <c r="BM3192" s="4">
        <v>43283.113888888889</v>
      </c>
      <c r="BN3192" s="4">
        <v>43283.133645833332</v>
      </c>
      <c r="BO3192" s="4">
        <v>43283.133645833332</v>
      </c>
      <c r="BP3192" t="s">
        <v>92</v>
      </c>
      <c r="BQ3192" t="s">
        <v>93</v>
      </c>
      <c r="BR3192" t="s">
        <v>94</v>
      </c>
    </row>
    <row r="3193" spans="1:70" x14ac:dyDescent="0.3">
      <c r="A3193" t="str">
        <f>"202292C0100"</f>
        <v>202292C0100</v>
      </c>
      <c r="B3193" t="s">
        <v>6621</v>
      </c>
      <c r="C3193">
        <v>20</v>
      </c>
      <c r="D3193" t="s">
        <v>88</v>
      </c>
      <c r="E3193">
        <v>536</v>
      </c>
      <c r="F3193" t="s">
        <v>6617</v>
      </c>
      <c r="G3193">
        <v>2292</v>
      </c>
      <c r="H3193">
        <v>1</v>
      </c>
      <c r="I3193" t="s">
        <v>98</v>
      </c>
      <c r="J3193">
        <v>0</v>
      </c>
      <c r="K3193">
        <v>2</v>
      </c>
      <c r="L3193">
        <v>5</v>
      </c>
      <c r="M3193">
        <v>204</v>
      </c>
      <c r="N3193">
        <v>394</v>
      </c>
      <c r="O3193">
        <v>4</v>
      </c>
      <c r="P3193">
        <v>394</v>
      </c>
      <c r="Q3193">
        <v>125</v>
      </c>
      <c r="R3193">
        <v>22</v>
      </c>
      <c r="S3193">
        <v>7</v>
      </c>
      <c r="T3193">
        <v>7</v>
      </c>
      <c r="U3193">
        <v>16</v>
      </c>
      <c r="V3193">
        <v>5</v>
      </c>
      <c r="X3193">
        <v>69</v>
      </c>
      <c r="Y3193">
        <v>38</v>
      </c>
      <c r="Z3193">
        <v>2</v>
      </c>
      <c r="AA3193">
        <v>53</v>
      </c>
      <c r="AC3193">
        <v>4</v>
      </c>
      <c r="AD3193">
        <v>0</v>
      </c>
      <c r="AE3193">
        <v>1</v>
      </c>
      <c r="AF3193">
        <v>0</v>
      </c>
      <c r="AG3193">
        <v>5</v>
      </c>
      <c r="AH3193">
        <v>0</v>
      </c>
      <c r="AI3193">
        <v>3</v>
      </c>
      <c r="AJ3193">
        <v>0</v>
      </c>
      <c r="AK3193">
        <v>4</v>
      </c>
      <c r="AL3193">
        <v>2</v>
      </c>
      <c r="AM3193">
        <v>0</v>
      </c>
      <c r="AN3193">
        <v>0</v>
      </c>
      <c r="BC3193">
        <v>0</v>
      </c>
      <c r="BD3193">
        <v>31</v>
      </c>
      <c r="BE3193">
        <v>394</v>
      </c>
      <c r="BF3193">
        <v>394</v>
      </c>
      <c r="BG3193">
        <v>573</v>
      </c>
      <c r="BJ3193">
        <v>1</v>
      </c>
      <c r="BL3193" t="s">
        <v>6622</v>
      </c>
      <c r="BM3193" s="4">
        <v>43283.305555555555</v>
      </c>
      <c r="BN3193" s="4">
        <v>43283.354444444441</v>
      </c>
      <c r="BO3193" s="4">
        <v>43283.354444444441</v>
      </c>
      <c r="BP3193" t="s">
        <v>92</v>
      </c>
      <c r="BQ3193" t="s">
        <v>93</v>
      </c>
      <c r="BR3193" t="s">
        <v>6623</v>
      </c>
    </row>
    <row r="3194" spans="1:70" x14ac:dyDescent="0.3">
      <c r="A3194" t="str">
        <f>"202292C0200"</f>
        <v>202292C0200</v>
      </c>
      <c r="B3194" t="s">
        <v>6624</v>
      </c>
      <c r="C3194">
        <v>20</v>
      </c>
      <c r="D3194" t="s">
        <v>88</v>
      </c>
      <c r="E3194">
        <v>536</v>
      </c>
      <c r="F3194" t="s">
        <v>6617</v>
      </c>
      <c r="G3194">
        <v>2292</v>
      </c>
      <c r="H3194">
        <v>2</v>
      </c>
      <c r="I3194" t="s">
        <v>98</v>
      </c>
      <c r="J3194">
        <v>0</v>
      </c>
      <c r="K3194">
        <v>2</v>
      </c>
      <c r="L3194">
        <v>5</v>
      </c>
      <c r="M3194">
        <v>232</v>
      </c>
      <c r="N3194">
        <v>363</v>
      </c>
      <c r="O3194">
        <v>0</v>
      </c>
      <c r="P3194">
        <v>363</v>
      </c>
      <c r="Q3194">
        <v>74</v>
      </c>
      <c r="R3194">
        <v>23</v>
      </c>
      <c r="S3194">
        <v>9</v>
      </c>
      <c r="T3194">
        <v>3</v>
      </c>
      <c r="U3194">
        <v>16</v>
      </c>
      <c r="V3194">
        <v>3</v>
      </c>
      <c r="X3194">
        <v>92</v>
      </c>
      <c r="Y3194">
        <v>49</v>
      </c>
      <c r="Z3194">
        <v>1</v>
      </c>
      <c r="AA3194">
        <v>45</v>
      </c>
      <c r="AC3194">
        <v>6</v>
      </c>
      <c r="AD3194">
        <v>3</v>
      </c>
      <c r="AE3194">
        <v>1</v>
      </c>
      <c r="AF3194">
        <v>0</v>
      </c>
      <c r="AG3194">
        <v>6</v>
      </c>
      <c r="AH3194">
        <v>1</v>
      </c>
      <c r="AI3194">
        <v>1</v>
      </c>
      <c r="AJ3194">
        <v>0</v>
      </c>
      <c r="AK3194">
        <v>3</v>
      </c>
      <c r="AL3194">
        <v>2</v>
      </c>
      <c r="AM3194">
        <v>0</v>
      </c>
      <c r="AN3194">
        <v>0</v>
      </c>
      <c r="BC3194" t="s">
        <v>105</v>
      </c>
      <c r="BD3194" t="s">
        <v>105</v>
      </c>
      <c r="BE3194">
        <v>363</v>
      </c>
      <c r="BF3194">
        <v>338</v>
      </c>
      <c r="BG3194">
        <v>573</v>
      </c>
      <c r="BI3194" t="s">
        <v>106</v>
      </c>
      <c r="BJ3194">
        <v>1</v>
      </c>
      <c r="BL3194" t="s">
        <v>6625</v>
      </c>
      <c r="BM3194" s="4">
        <v>43283.069444444445</v>
      </c>
      <c r="BN3194" s="4">
        <v>43283.0783912037</v>
      </c>
      <c r="BO3194" s="4">
        <v>43283.0783912037</v>
      </c>
      <c r="BP3194" t="s">
        <v>92</v>
      </c>
      <c r="BQ3194" t="s">
        <v>93</v>
      </c>
      <c r="BR3194" t="s">
        <v>94</v>
      </c>
    </row>
    <row r="3195" spans="1:70" x14ac:dyDescent="0.3">
      <c r="A3195" t="str">
        <f>"202292S0100"</f>
        <v>202292S0100</v>
      </c>
      <c r="B3195" t="s">
        <v>6626</v>
      </c>
      <c r="C3195">
        <v>20</v>
      </c>
      <c r="D3195" t="s">
        <v>88</v>
      </c>
      <c r="E3195">
        <v>536</v>
      </c>
      <c r="F3195" t="s">
        <v>6617</v>
      </c>
      <c r="G3195">
        <v>2292</v>
      </c>
      <c r="H3195">
        <v>1</v>
      </c>
      <c r="I3195" t="s">
        <v>113</v>
      </c>
      <c r="J3195">
        <v>0</v>
      </c>
      <c r="K3195">
        <v>2</v>
      </c>
      <c r="L3195">
        <v>6</v>
      </c>
      <c r="M3195" t="s">
        <v>105</v>
      </c>
      <c r="N3195" t="s">
        <v>105</v>
      </c>
      <c r="O3195" t="s">
        <v>105</v>
      </c>
      <c r="P3195" t="s">
        <v>105</v>
      </c>
      <c r="Q3195" t="s">
        <v>105</v>
      </c>
      <c r="R3195" t="s">
        <v>105</v>
      </c>
      <c r="S3195" t="s">
        <v>105</v>
      </c>
      <c r="T3195" t="s">
        <v>105</v>
      </c>
      <c r="U3195" t="s">
        <v>105</v>
      </c>
      <c r="V3195" t="s">
        <v>105</v>
      </c>
      <c r="X3195" t="s">
        <v>105</v>
      </c>
      <c r="Y3195" t="s">
        <v>105</v>
      </c>
      <c r="Z3195" t="s">
        <v>105</v>
      </c>
      <c r="AA3195" t="s">
        <v>105</v>
      </c>
      <c r="AC3195" t="s">
        <v>105</v>
      </c>
      <c r="AD3195" t="s">
        <v>105</v>
      </c>
      <c r="AE3195" t="s">
        <v>105</v>
      </c>
      <c r="AF3195" t="s">
        <v>105</v>
      </c>
      <c r="AG3195" t="s">
        <v>105</v>
      </c>
      <c r="AH3195" t="s">
        <v>105</v>
      </c>
      <c r="AI3195" t="s">
        <v>105</v>
      </c>
      <c r="AJ3195" t="s">
        <v>105</v>
      </c>
      <c r="AK3195" t="s">
        <v>105</v>
      </c>
      <c r="AL3195" t="s">
        <v>105</v>
      </c>
      <c r="AM3195" t="s">
        <v>105</v>
      </c>
      <c r="AN3195" t="s">
        <v>105</v>
      </c>
      <c r="BC3195" t="s">
        <v>105</v>
      </c>
      <c r="BD3195" t="s">
        <v>105</v>
      </c>
      <c r="BG3195">
        <v>0</v>
      </c>
      <c r="BI3195" t="s">
        <v>1244</v>
      </c>
      <c r="BJ3195">
        <v>0</v>
      </c>
      <c r="BL3195" t="s">
        <v>6627</v>
      </c>
      <c r="BM3195" s="4">
        <v>43283.109722222223</v>
      </c>
      <c r="BN3195" s="4">
        <v>43283.132326388892</v>
      </c>
      <c r="BO3195" s="4">
        <v>43283.132326388892</v>
      </c>
      <c r="BP3195" t="s">
        <v>92</v>
      </c>
      <c r="BQ3195" t="s">
        <v>93</v>
      </c>
      <c r="BR3195" t="s">
        <v>94</v>
      </c>
    </row>
    <row r="3196" spans="1:70" x14ac:dyDescent="0.3">
      <c r="A3196" t="str">
        <f>"202293B0100"</f>
        <v>202293B0100</v>
      </c>
      <c r="B3196" t="s">
        <v>6628</v>
      </c>
      <c r="C3196">
        <v>20</v>
      </c>
      <c r="D3196" t="s">
        <v>88</v>
      </c>
      <c r="E3196">
        <v>536</v>
      </c>
      <c r="F3196" t="s">
        <v>6617</v>
      </c>
      <c r="G3196">
        <v>2293</v>
      </c>
      <c r="H3196">
        <v>1</v>
      </c>
      <c r="I3196" t="s">
        <v>90</v>
      </c>
      <c r="J3196">
        <v>0</v>
      </c>
      <c r="K3196">
        <v>2</v>
      </c>
      <c r="L3196">
        <v>5</v>
      </c>
      <c r="M3196">
        <v>104</v>
      </c>
      <c r="N3196">
        <v>350</v>
      </c>
      <c r="O3196">
        <v>0</v>
      </c>
      <c r="P3196">
        <v>351</v>
      </c>
      <c r="Q3196">
        <v>95</v>
      </c>
      <c r="R3196">
        <v>14</v>
      </c>
      <c r="S3196">
        <v>4</v>
      </c>
      <c r="T3196">
        <v>5</v>
      </c>
      <c r="U3196">
        <v>38</v>
      </c>
      <c r="V3196">
        <v>4</v>
      </c>
      <c r="X3196">
        <v>98</v>
      </c>
      <c r="Y3196">
        <v>41</v>
      </c>
      <c r="Z3196">
        <v>10</v>
      </c>
      <c r="AA3196">
        <v>30</v>
      </c>
      <c r="AC3196">
        <v>0</v>
      </c>
      <c r="AD3196">
        <v>0</v>
      </c>
      <c r="AE3196">
        <v>0</v>
      </c>
      <c r="AF3196">
        <v>0</v>
      </c>
      <c r="AG3196">
        <v>0</v>
      </c>
      <c r="AH3196">
        <v>0</v>
      </c>
      <c r="AI3196">
        <v>0</v>
      </c>
      <c r="AJ3196">
        <v>0</v>
      </c>
      <c r="AK3196">
        <v>0</v>
      </c>
      <c r="AL3196">
        <v>0</v>
      </c>
      <c r="AM3196">
        <v>0</v>
      </c>
      <c r="AN3196">
        <v>1</v>
      </c>
      <c r="BC3196" t="s">
        <v>105</v>
      </c>
      <c r="BD3196">
        <v>11</v>
      </c>
      <c r="BE3196">
        <v>351</v>
      </c>
      <c r="BF3196">
        <v>351</v>
      </c>
      <c r="BG3196">
        <v>433</v>
      </c>
      <c r="BI3196" t="s">
        <v>106</v>
      </c>
      <c r="BJ3196">
        <v>1</v>
      </c>
      <c r="BL3196" t="s">
        <v>6629</v>
      </c>
      <c r="BM3196" s="4">
        <v>43283.168055555558</v>
      </c>
      <c r="BN3196" s="4">
        <v>43283.189317129632</v>
      </c>
      <c r="BO3196" s="4">
        <v>43283.189317129632</v>
      </c>
      <c r="BP3196" t="s">
        <v>92</v>
      </c>
      <c r="BQ3196" t="s">
        <v>93</v>
      </c>
      <c r="BR3196" t="s">
        <v>94</v>
      </c>
    </row>
    <row r="3197" spans="1:70" x14ac:dyDescent="0.3">
      <c r="A3197" t="str">
        <f>"202293C0100"</f>
        <v>202293C0100</v>
      </c>
      <c r="B3197" t="s">
        <v>6630</v>
      </c>
      <c r="C3197">
        <v>20</v>
      </c>
      <c r="D3197" t="s">
        <v>88</v>
      </c>
      <c r="E3197">
        <v>536</v>
      </c>
      <c r="F3197" t="s">
        <v>6617</v>
      </c>
      <c r="G3197">
        <v>2293</v>
      </c>
      <c r="H3197">
        <v>1</v>
      </c>
      <c r="I3197" t="s">
        <v>98</v>
      </c>
      <c r="J3197">
        <v>0</v>
      </c>
      <c r="K3197">
        <v>2</v>
      </c>
      <c r="L3197">
        <v>5</v>
      </c>
      <c r="M3197" t="s">
        <v>127</v>
      </c>
      <c r="N3197">
        <v>347</v>
      </c>
      <c r="O3197">
        <v>0</v>
      </c>
      <c r="P3197">
        <v>347</v>
      </c>
      <c r="Q3197">
        <v>91</v>
      </c>
      <c r="R3197">
        <v>10</v>
      </c>
      <c r="S3197">
        <v>3</v>
      </c>
      <c r="T3197">
        <v>2</v>
      </c>
      <c r="U3197">
        <v>53</v>
      </c>
      <c r="V3197">
        <v>3</v>
      </c>
      <c r="X3197">
        <v>79</v>
      </c>
      <c r="Y3197">
        <v>45</v>
      </c>
      <c r="Z3197">
        <v>6</v>
      </c>
      <c r="AA3197">
        <v>29</v>
      </c>
      <c r="AC3197">
        <v>0</v>
      </c>
      <c r="AD3197">
        <v>4</v>
      </c>
      <c r="AE3197">
        <v>0</v>
      </c>
      <c r="AF3197">
        <v>0</v>
      </c>
      <c r="AG3197">
        <v>0</v>
      </c>
      <c r="AH3197">
        <v>0</v>
      </c>
      <c r="AI3197">
        <v>2</v>
      </c>
      <c r="AJ3197">
        <v>0</v>
      </c>
      <c r="AK3197">
        <v>0</v>
      </c>
      <c r="AL3197">
        <v>0</v>
      </c>
      <c r="AM3197">
        <v>0</v>
      </c>
      <c r="AN3197">
        <v>2</v>
      </c>
      <c r="BC3197">
        <v>0</v>
      </c>
      <c r="BD3197">
        <v>18</v>
      </c>
      <c r="BE3197">
        <v>347</v>
      </c>
      <c r="BF3197">
        <v>347</v>
      </c>
      <c r="BG3197">
        <v>432</v>
      </c>
      <c r="BJ3197">
        <v>1</v>
      </c>
      <c r="BL3197" t="s">
        <v>6631</v>
      </c>
      <c r="BM3197" s="4">
        <v>43283.168055555558</v>
      </c>
      <c r="BN3197" s="4">
        <v>43283.190266203703</v>
      </c>
      <c r="BO3197" s="4">
        <v>43283.190266203703</v>
      </c>
      <c r="BP3197" t="s">
        <v>92</v>
      </c>
      <c r="BQ3197" t="s">
        <v>93</v>
      </c>
      <c r="BR3197" t="s">
        <v>94</v>
      </c>
    </row>
    <row r="3198" spans="1:70" x14ac:dyDescent="0.3">
      <c r="A3198" t="str">
        <f>"202293E0100"</f>
        <v>202293E0100</v>
      </c>
      <c r="B3198" s="2" t="s">
        <v>6632</v>
      </c>
      <c r="C3198">
        <v>20</v>
      </c>
      <c r="D3198" t="s">
        <v>88</v>
      </c>
      <c r="E3198">
        <v>536</v>
      </c>
      <c r="F3198" t="s">
        <v>6617</v>
      </c>
      <c r="G3198">
        <v>2293</v>
      </c>
      <c r="H3198">
        <v>1</v>
      </c>
      <c r="I3198" t="s">
        <v>156</v>
      </c>
      <c r="J3198">
        <v>0</v>
      </c>
      <c r="K3198">
        <v>2</v>
      </c>
      <c r="L3198">
        <v>5</v>
      </c>
      <c r="M3198" t="s">
        <v>127</v>
      </c>
      <c r="N3198">
        <v>211</v>
      </c>
      <c r="O3198">
        <v>0</v>
      </c>
      <c r="P3198">
        <v>211</v>
      </c>
      <c r="Q3198">
        <v>81</v>
      </c>
      <c r="R3198">
        <v>8</v>
      </c>
      <c r="S3198">
        <v>1</v>
      </c>
      <c r="T3198">
        <v>3</v>
      </c>
      <c r="U3198">
        <v>3</v>
      </c>
      <c r="V3198">
        <v>4</v>
      </c>
      <c r="X3198">
        <v>25</v>
      </c>
      <c r="Y3198">
        <v>25</v>
      </c>
      <c r="Z3198">
        <v>2</v>
      </c>
      <c r="AA3198">
        <v>49</v>
      </c>
      <c r="AC3198">
        <v>2</v>
      </c>
      <c r="AD3198">
        <v>0</v>
      </c>
      <c r="AE3198">
        <v>0</v>
      </c>
      <c r="AF3198">
        <v>0</v>
      </c>
      <c r="AG3198">
        <v>4</v>
      </c>
      <c r="AH3198">
        <v>0</v>
      </c>
      <c r="AI3198">
        <v>0</v>
      </c>
      <c r="AJ3198">
        <v>0</v>
      </c>
      <c r="AK3198">
        <v>0</v>
      </c>
      <c r="AL3198">
        <v>1</v>
      </c>
      <c r="AM3198">
        <v>0</v>
      </c>
      <c r="AN3198">
        <v>0</v>
      </c>
      <c r="BC3198" t="s">
        <v>105</v>
      </c>
      <c r="BD3198">
        <v>3</v>
      </c>
      <c r="BE3198">
        <v>211</v>
      </c>
      <c r="BF3198">
        <v>211</v>
      </c>
      <c r="BG3198">
        <v>289</v>
      </c>
      <c r="BI3198" t="s">
        <v>106</v>
      </c>
      <c r="BJ3198">
        <v>1</v>
      </c>
      <c r="BL3198" t="s">
        <v>6633</v>
      </c>
      <c r="BM3198" s="4">
        <v>43283.168055555558</v>
      </c>
      <c r="BN3198" s="4">
        <v>43283.18917824074</v>
      </c>
      <c r="BO3198" s="4">
        <v>43283.18917824074</v>
      </c>
      <c r="BP3198" t="s">
        <v>92</v>
      </c>
      <c r="BQ3198" t="s">
        <v>93</v>
      </c>
      <c r="BR3198" t="s">
        <v>94</v>
      </c>
    </row>
    <row r="3199" spans="1:70" x14ac:dyDescent="0.3">
      <c r="A3199" t="str">
        <f>"202294B0100"</f>
        <v>202294B0100</v>
      </c>
      <c r="B3199" t="s">
        <v>6634</v>
      </c>
      <c r="C3199">
        <v>20</v>
      </c>
      <c r="D3199" t="s">
        <v>88</v>
      </c>
      <c r="E3199">
        <v>536</v>
      </c>
      <c r="F3199" t="s">
        <v>6617</v>
      </c>
      <c r="G3199">
        <v>2294</v>
      </c>
      <c r="H3199">
        <v>1</v>
      </c>
      <c r="I3199" t="s">
        <v>90</v>
      </c>
      <c r="J3199">
        <v>0</v>
      </c>
      <c r="K3199">
        <v>2</v>
      </c>
      <c r="L3199">
        <v>5</v>
      </c>
      <c r="M3199">
        <v>199</v>
      </c>
      <c r="N3199">
        <v>527</v>
      </c>
      <c r="O3199">
        <v>0</v>
      </c>
      <c r="P3199">
        <v>527</v>
      </c>
      <c r="Q3199">
        <v>191</v>
      </c>
      <c r="R3199">
        <v>1</v>
      </c>
      <c r="S3199">
        <v>5</v>
      </c>
      <c r="T3199">
        <v>2</v>
      </c>
      <c r="U3199">
        <v>28</v>
      </c>
      <c r="V3199">
        <v>4</v>
      </c>
      <c r="X3199">
        <v>16</v>
      </c>
      <c r="Y3199">
        <v>63</v>
      </c>
      <c r="Z3199">
        <v>57</v>
      </c>
      <c r="AA3199">
        <v>123</v>
      </c>
      <c r="AC3199">
        <v>4</v>
      </c>
      <c r="AD3199">
        <v>0</v>
      </c>
      <c r="AE3199">
        <v>0</v>
      </c>
      <c r="AF3199">
        <v>0</v>
      </c>
      <c r="AG3199">
        <v>1</v>
      </c>
      <c r="AH3199">
        <v>0</v>
      </c>
      <c r="AI3199">
        <v>0</v>
      </c>
      <c r="AJ3199">
        <v>0</v>
      </c>
      <c r="AK3199">
        <v>6</v>
      </c>
      <c r="AL3199">
        <v>0</v>
      </c>
      <c r="AM3199">
        <v>0</v>
      </c>
      <c r="AN3199">
        <v>0</v>
      </c>
      <c r="BC3199">
        <v>0</v>
      </c>
      <c r="BD3199">
        <v>26</v>
      </c>
      <c r="BE3199">
        <v>527</v>
      </c>
      <c r="BF3199">
        <v>527</v>
      </c>
      <c r="BG3199">
        <v>704</v>
      </c>
      <c r="BJ3199">
        <v>1</v>
      </c>
      <c r="BL3199" t="s">
        <v>6635</v>
      </c>
      <c r="BM3199" s="4">
        <v>43283.079861111109</v>
      </c>
      <c r="BN3199" s="4">
        <v>43283.089768518519</v>
      </c>
      <c r="BO3199" s="4">
        <v>43283.089768518519</v>
      </c>
      <c r="BP3199" t="s">
        <v>92</v>
      </c>
      <c r="BQ3199" t="s">
        <v>93</v>
      </c>
      <c r="BR3199" t="s">
        <v>94</v>
      </c>
    </row>
    <row r="3200" spans="1:70" x14ac:dyDescent="0.3">
      <c r="A3200" t="str">
        <f>"202295B0100"</f>
        <v>202295B0100</v>
      </c>
      <c r="B3200" t="s">
        <v>6636</v>
      </c>
      <c r="C3200">
        <v>20</v>
      </c>
      <c r="D3200" t="s">
        <v>88</v>
      </c>
      <c r="E3200">
        <v>536</v>
      </c>
      <c r="F3200" t="s">
        <v>6617</v>
      </c>
      <c r="G3200">
        <v>2295</v>
      </c>
      <c r="H3200">
        <v>1</v>
      </c>
      <c r="I3200" t="s">
        <v>90</v>
      </c>
      <c r="J3200">
        <v>0</v>
      </c>
      <c r="K3200">
        <v>2</v>
      </c>
      <c r="L3200">
        <v>5</v>
      </c>
      <c r="M3200">
        <v>202</v>
      </c>
      <c r="N3200">
        <v>389</v>
      </c>
      <c r="O3200">
        <v>1</v>
      </c>
      <c r="P3200">
        <v>389</v>
      </c>
      <c r="Q3200">
        <v>143</v>
      </c>
      <c r="R3200">
        <v>25</v>
      </c>
      <c r="S3200">
        <v>6</v>
      </c>
      <c r="T3200">
        <v>9</v>
      </c>
      <c r="U3200">
        <v>11</v>
      </c>
      <c r="V3200">
        <v>2</v>
      </c>
      <c r="X3200">
        <v>93</v>
      </c>
      <c r="Y3200">
        <v>27</v>
      </c>
      <c r="Z3200">
        <v>0</v>
      </c>
      <c r="AA3200">
        <v>38</v>
      </c>
      <c r="AC3200">
        <v>0</v>
      </c>
      <c r="AD3200">
        <v>2</v>
      </c>
      <c r="AE3200">
        <v>0</v>
      </c>
      <c r="AF3200">
        <v>0</v>
      </c>
      <c r="AG3200">
        <v>1</v>
      </c>
      <c r="AH3200">
        <v>0</v>
      </c>
      <c r="AI3200">
        <v>1</v>
      </c>
      <c r="AJ3200">
        <v>0</v>
      </c>
      <c r="AK3200">
        <v>0</v>
      </c>
      <c r="AL3200">
        <v>1</v>
      </c>
      <c r="AM3200">
        <v>0</v>
      </c>
      <c r="AN3200">
        <v>0</v>
      </c>
      <c r="BC3200">
        <v>0</v>
      </c>
      <c r="BD3200">
        <v>32</v>
      </c>
      <c r="BE3200">
        <v>391</v>
      </c>
      <c r="BF3200">
        <v>391</v>
      </c>
      <c r="BG3200">
        <v>569</v>
      </c>
      <c r="BJ3200">
        <v>1</v>
      </c>
      <c r="BL3200" t="s">
        <v>6637</v>
      </c>
      <c r="BM3200" s="4">
        <v>43283.10833333333</v>
      </c>
      <c r="BN3200" s="4">
        <v>43283.113969907405</v>
      </c>
      <c r="BO3200" s="4">
        <v>43283.113969907405</v>
      </c>
      <c r="BP3200" t="s">
        <v>92</v>
      </c>
      <c r="BQ3200" t="s">
        <v>93</v>
      </c>
      <c r="BR3200" t="s">
        <v>94</v>
      </c>
    </row>
    <row r="3201" spans="1:70" x14ac:dyDescent="0.3">
      <c r="A3201" t="str">
        <f>"202296B0100"</f>
        <v>202296B0100</v>
      </c>
      <c r="B3201" t="s">
        <v>6638</v>
      </c>
      <c r="C3201">
        <v>20</v>
      </c>
      <c r="D3201" t="s">
        <v>88</v>
      </c>
      <c r="E3201">
        <v>536</v>
      </c>
      <c r="F3201" t="s">
        <v>6617</v>
      </c>
      <c r="G3201">
        <v>2296</v>
      </c>
      <c r="H3201">
        <v>1</v>
      </c>
      <c r="I3201" t="s">
        <v>90</v>
      </c>
      <c r="J3201">
        <v>0</v>
      </c>
      <c r="K3201">
        <v>2</v>
      </c>
      <c r="L3201">
        <v>5</v>
      </c>
      <c r="M3201">
        <v>178</v>
      </c>
      <c r="N3201">
        <v>416</v>
      </c>
      <c r="O3201">
        <v>1</v>
      </c>
      <c r="P3201">
        <v>416</v>
      </c>
      <c r="Q3201">
        <v>205</v>
      </c>
      <c r="R3201">
        <v>5</v>
      </c>
      <c r="S3201">
        <v>11</v>
      </c>
      <c r="T3201">
        <v>6</v>
      </c>
      <c r="U3201">
        <v>10</v>
      </c>
      <c r="V3201">
        <v>13</v>
      </c>
      <c r="X3201">
        <v>52</v>
      </c>
      <c r="Y3201">
        <v>25</v>
      </c>
      <c r="Z3201">
        <v>3</v>
      </c>
      <c r="AA3201">
        <v>40</v>
      </c>
      <c r="AC3201">
        <v>5</v>
      </c>
      <c r="AD3201">
        <v>4</v>
      </c>
      <c r="AE3201">
        <v>1</v>
      </c>
      <c r="AF3201">
        <v>1</v>
      </c>
      <c r="AG3201">
        <v>2</v>
      </c>
      <c r="AH3201" t="s">
        <v>105</v>
      </c>
      <c r="AI3201">
        <v>1</v>
      </c>
      <c r="AJ3201" t="s">
        <v>105</v>
      </c>
      <c r="AK3201">
        <v>2</v>
      </c>
      <c r="AL3201">
        <v>3</v>
      </c>
      <c r="AM3201" t="s">
        <v>105</v>
      </c>
      <c r="AN3201">
        <v>1</v>
      </c>
      <c r="BC3201" t="s">
        <v>105</v>
      </c>
      <c r="BD3201">
        <v>27</v>
      </c>
      <c r="BE3201">
        <v>416</v>
      </c>
      <c r="BF3201">
        <v>417</v>
      </c>
      <c r="BG3201">
        <v>572</v>
      </c>
      <c r="BI3201" t="s">
        <v>106</v>
      </c>
      <c r="BJ3201">
        <v>1</v>
      </c>
      <c r="BL3201" t="s">
        <v>6639</v>
      </c>
      <c r="BM3201" s="4">
        <v>43283.134027777778</v>
      </c>
      <c r="BN3201" s="4">
        <v>43283.150868055556</v>
      </c>
      <c r="BO3201" s="4">
        <v>43283.150868055556</v>
      </c>
      <c r="BP3201" t="s">
        <v>92</v>
      </c>
      <c r="BQ3201" t="s">
        <v>93</v>
      </c>
      <c r="BR3201" t="s">
        <v>94</v>
      </c>
    </row>
    <row r="3202" spans="1:70" x14ac:dyDescent="0.3">
      <c r="A3202" t="str">
        <f>"202297B0100"</f>
        <v>202297B0100</v>
      </c>
      <c r="B3202" t="s">
        <v>6640</v>
      </c>
      <c r="C3202">
        <v>20</v>
      </c>
      <c r="D3202" t="s">
        <v>88</v>
      </c>
      <c r="E3202">
        <v>536</v>
      </c>
      <c r="F3202" t="s">
        <v>6617</v>
      </c>
      <c r="G3202">
        <v>2297</v>
      </c>
      <c r="H3202">
        <v>1</v>
      </c>
      <c r="I3202" t="s">
        <v>90</v>
      </c>
      <c r="J3202">
        <v>0</v>
      </c>
      <c r="K3202">
        <v>2</v>
      </c>
      <c r="L3202">
        <v>5</v>
      </c>
      <c r="M3202">
        <v>139</v>
      </c>
      <c r="N3202">
        <v>261</v>
      </c>
      <c r="O3202">
        <v>0</v>
      </c>
      <c r="P3202">
        <v>261</v>
      </c>
      <c r="Q3202">
        <v>106</v>
      </c>
      <c r="R3202">
        <v>15</v>
      </c>
      <c r="S3202">
        <v>5</v>
      </c>
      <c r="T3202">
        <v>2</v>
      </c>
      <c r="U3202">
        <v>13</v>
      </c>
      <c r="V3202">
        <v>3</v>
      </c>
      <c r="X3202">
        <v>25</v>
      </c>
      <c r="Y3202">
        <v>23</v>
      </c>
      <c r="Z3202">
        <v>0</v>
      </c>
      <c r="AA3202">
        <v>42</v>
      </c>
      <c r="AC3202">
        <v>1</v>
      </c>
      <c r="AD3202">
        <v>1</v>
      </c>
      <c r="AE3202">
        <v>0</v>
      </c>
      <c r="AF3202">
        <v>0</v>
      </c>
      <c r="AG3202">
        <v>0</v>
      </c>
      <c r="AH3202">
        <v>0</v>
      </c>
      <c r="AI3202">
        <v>3</v>
      </c>
      <c r="AJ3202">
        <v>0</v>
      </c>
      <c r="AK3202">
        <v>0</v>
      </c>
      <c r="AL3202">
        <v>1</v>
      </c>
      <c r="AM3202">
        <v>0</v>
      </c>
      <c r="AN3202">
        <v>0</v>
      </c>
      <c r="BC3202">
        <v>0</v>
      </c>
      <c r="BD3202">
        <v>21</v>
      </c>
      <c r="BE3202">
        <v>261</v>
      </c>
      <c r="BF3202">
        <v>261</v>
      </c>
      <c r="BG3202">
        <v>378</v>
      </c>
      <c r="BJ3202">
        <v>1</v>
      </c>
      <c r="BL3202" t="s">
        <v>6641</v>
      </c>
      <c r="BM3202" s="4">
        <v>43283.324999999997</v>
      </c>
      <c r="BN3202" s="4">
        <v>43283.351041666669</v>
      </c>
      <c r="BO3202" s="4">
        <v>43283.351041666669</v>
      </c>
      <c r="BP3202" t="s">
        <v>92</v>
      </c>
      <c r="BQ3202" t="s">
        <v>93</v>
      </c>
      <c r="BR3202" t="s">
        <v>94</v>
      </c>
    </row>
    <row r="3203" spans="1:70" x14ac:dyDescent="0.3">
      <c r="A3203" t="str">
        <f>"202297C0100"</f>
        <v>202297C0100</v>
      </c>
      <c r="B3203" t="s">
        <v>6642</v>
      </c>
      <c r="C3203">
        <v>20</v>
      </c>
      <c r="D3203" t="s">
        <v>88</v>
      </c>
      <c r="E3203">
        <v>536</v>
      </c>
      <c r="F3203" t="s">
        <v>6617</v>
      </c>
      <c r="G3203">
        <v>2297</v>
      </c>
      <c r="H3203">
        <v>1</v>
      </c>
      <c r="I3203" t="s">
        <v>98</v>
      </c>
      <c r="J3203">
        <v>0</v>
      </c>
      <c r="K3203">
        <v>2</v>
      </c>
      <c r="L3203">
        <v>5</v>
      </c>
      <c r="BG3203">
        <v>377</v>
      </c>
      <c r="BI3203" t="s">
        <v>365</v>
      </c>
      <c r="BJ3203">
        <v>0</v>
      </c>
      <c r="BL3203" t="s">
        <v>6643</v>
      </c>
      <c r="BM3203" s="4">
        <v>43283.394444444442</v>
      </c>
      <c r="BN3203" s="4">
        <v>43283.402812499997</v>
      </c>
      <c r="BO3203" s="4">
        <v>43283.402812499997</v>
      </c>
      <c r="BP3203" t="s">
        <v>92</v>
      </c>
      <c r="BQ3203" t="s">
        <v>93</v>
      </c>
      <c r="BR3203" t="s">
        <v>94</v>
      </c>
    </row>
    <row r="3204" spans="1:70" x14ac:dyDescent="0.3">
      <c r="A3204" t="str">
        <f>"202298B0100"</f>
        <v>202298B0100</v>
      </c>
      <c r="B3204" t="s">
        <v>6644</v>
      </c>
      <c r="C3204">
        <v>20</v>
      </c>
      <c r="D3204" t="s">
        <v>88</v>
      </c>
      <c r="E3204">
        <v>536</v>
      </c>
      <c r="F3204" t="s">
        <v>6617</v>
      </c>
      <c r="G3204">
        <v>2298</v>
      </c>
      <c r="H3204">
        <v>1</v>
      </c>
      <c r="I3204" t="s">
        <v>90</v>
      </c>
      <c r="J3204">
        <v>0</v>
      </c>
      <c r="K3204">
        <v>2</v>
      </c>
      <c r="L3204">
        <v>5</v>
      </c>
      <c r="M3204">
        <v>286</v>
      </c>
      <c r="N3204">
        <v>304</v>
      </c>
      <c r="O3204">
        <v>1</v>
      </c>
      <c r="P3204">
        <v>304</v>
      </c>
      <c r="Q3204">
        <v>101</v>
      </c>
      <c r="R3204">
        <v>11</v>
      </c>
      <c r="S3204">
        <v>4</v>
      </c>
      <c r="T3204">
        <v>5</v>
      </c>
      <c r="U3204">
        <v>8</v>
      </c>
      <c r="V3204">
        <v>9</v>
      </c>
      <c r="X3204">
        <v>16</v>
      </c>
      <c r="Y3204">
        <v>18</v>
      </c>
      <c r="Z3204">
        <v>2</v>
      </c>
      <c r="AA3204">
        <v>82</v>
      </c>
      <c r="AC3204">
        <v>1</v>
      </c>
      <c r="AD3204">
        <v>2</v>
      </c>
      <c r="AE3204">
        <v>0</v>
      </c>
      <c r="AF3204">
        <v>0</v>
      </c>
      <c r="AG3204">
        <v>0</v>
      </c>
      <c r="AH3204">
        <v>0</v>
      </c>
      <c r="AI3204">
        <v>0</v>
      </c>
      <c r="AJ3204">
        <v>0</v>
      </c>
      <c r="AK3204">
        <v>0</v>
      </c>
      <c r="AL3204">
        <v>0</v>
      </c>
      <c r="AM3204">
        <v>0</v>
      </c>
      <c r="AN3204">
        <v>1</v>
      </c>
      <c r="BC3204">
        <v>0</v>
      </c>
      <c r="BD3204">
        <v>44</v>
      </c>
      <c r="BE3204">
        <v>304</v>
      </c>
      <c r="BF3204">
        <v>304</v>
      </c>
      <c r="BG3204">
        <v>568</v>
      </c>
      <c r="BJ3204">
        <v>1</v>
      </c>
      <c r="BL3204" t="s">
        <v>6645</v>
      </c>
      <c r="BM3204" s="4">
        <v>43283.217361111114</v>
      </c>
      <c r="BN3204" s="4">
        <v>43283.243414351855</v>
      </c>
      <c r="BO3204" s="4">
        <v>43283.243414351855</v>
      </c>
      <c r="BP3204" t="s">
        <v>92</v>
      </c>
      <c r="BQ3204" t="s">
        <v>93</v>
      </c>
      <c r="BR3204" t="s">
        <v>94</v>
      </c>
    </row>
    <row r="3205" spans="1:70" x14ac:dyDescent="0.3">
      <c r="A3205" t="str">
        <f>"202298C0100"</f>
        <v>202298C0100</v>
      </c>
      <c r="B3205" t="s">
        <v>6646</v>
      </c>
      <c r="C3205">
        <v>20</v>
      </c>
      <c r="D3205" t="s">
        <v>88</v>
      </c>
      <c r="E3205">
        <v>536</v>
      </c>
      <c r="F3205" t="s">
        <v>6617</v>
      </c>
      <c r="G3205">
        <v>2298</v>
      </c>
      <c r="H3205">
        <v>1</v>
      </c>
      <c r="I3205" t="s">
        <v>98</v>
      </c>
      <c r="J3205">
        <v>0</v>
      </c>
      <c r="K3205">
        <v>2</v>
      </c>
      <c r="L3205">
        <v>5</v>
      </c>
      <c r="M3205">
        <v>266</v>
      </c>
      <c r="N3205">
        <v>324</v>
      </c>
      <c r="O3205">
        <v>0</v>
      </c>
      <c r="P3205">
        <v>324</v>
      </c>
      <c r="Q3205">
        <v>82</v>
      </c>
      <c r="R3205">
        <v>19</v>
      </c>
      <c r="S3205">
        <v>3</v>
      </c>
      <c r="T3205">
        <v>7</v>
      </c>
      <c r="U3205">
        <v>14</v>
      </c>
      <c r="V3205">
        <v>8</v>
      </c>
      <c r="X3205">
        <v>27</v>
      </c>
      <c r="Y3205">
        <v>25</v>
      </c>
      <c r="Z3205">
        <v>4</v>
      </c>
      <c r="AA3205">
        <v>94</v>
      </c>
      <c r="AC3205">
        <v>1</v>
      </c>
      <c r="AD3205">
        <v>1</v>
      </c>
      <c r="AE3205">
        <v>1</v>
      </c>
      <c r="AF3205">
        <v>0</v>
      </c>
      <c r="AG3205">
        <v>0</v>
      </c>
      <c r="AH3205">
        <v>0</v>
      </c>
      <c r="AI3205">
        <v>1</v>
      </c>
      <c r="AJ3205">
        <v>0</v>
      </c>
      <c r="AK3205">
        <v>0</v>
      </c>
      <c r="AL3205">
        <v>1</v>
      </c>
      <c r="AM3205">
        <v>0</v>
      </c>
      <c r="AN3205">
        <v>0</v>
      </c>
      <c r="BC3205">
        <v>0</v>
      </c>
      <c r="BD3205">
        <v>0</v>
      </c>
      <c r="BE3205">
        <v>324</v>
      </c>
      <c r="BF3205">
        <v>288</v>
      </c>
      <c r="BG3205">
        <v>567</v>
      </c>
      <c r="BJ3205">
        <v>1</v>
      </c>
      <c r="BL3205" t="s">
        <v>6647</v>
      </c>
      <c r="BM3205" s="4">
        <v>43283.217361111114</v>
      </c>
      <c r="BN3205" s="4">
        <v>43283.245416666665</v>
      </c>
      <c r="BO3205" s="4">
        <v>43283.245416666665</v>
      </c>
      <c r="BP3205" t="s">
        <v>92</v>
      </c>
      <c r="BQ3205" t="s">
        <v>93</v>
      </c>
      <c r="BR3205" t="s">
        <v>94</v>
      </c>
    </row>
    <row r="3206" spans="1:70" x14ac:dyDescent="0.3">
      <c r="A3206" t="str">
        <f>"202299B0100"</f>
        <v>202299B0100</v>
      </c>
      <c r="B3206" t="s">
        <v>6648</v>
      </c>
      <c r="C3206">
        <v>20</v>
      </c>
      <c r="D3206" t="s">
        <v>88</v>
      </c>
      <c r="E3206">
        <v>536</v>
      </c>
      <c r="F3206" t="s">
        <v>6617</v>
      </c>
      <c r="G3206">
        <v>2299</v>
      </c>
      <c r="H3206">
        <v>1</v>
      </c>
      <c r="I3206" t="s">
        <v>90</v>
      </c>
      <c r="J3206">
        <v>0</v>
      </c>
      <c r="K3206">
        <v>2</v>
      </c>
      <c r="L3206">
        <v>5</v>
      </c>
      <c r="M3206">
        <v>159</v>
      </c>
      <c r="N3206">
        <v>447</v>
      </c>
      <c r="O3206">
        <v>0</v>
      </c>
      <c r="P3206">
        <v>0</v>
      </c>
      <c r="Q3206">
        <v>101</v>
      </c>
      <c r="R3206">
        <v>10</v>
      </c>
      <c r="S3206">
        <v>5</v>
      </c>
      <c r="T3206">
        <v>1</v>
      </c>
      <c r="U3206">
        <v>25</v>
      </c>
      <c r="V3206">
        <v>6</v>
      </c>
      <c r="X3206">
        <v>32</v>
      </c>
      <c r="Y3206">
        <v>39</v>
      </c>
      <c r="Z3206">
        <v>0</v>
      </c>
      <c r="AA3206">
        <v>66</v>
      </c>
      <c r="AC3206">
        <v>1</v>
      </c>
      <c r="AD3206">
        <v>0</v>
      </c>
      <c r="AE3206">
        <v>1</v>
      </c>
      <c r="AF3206">
        <v>0</v>
      </c>
      <c r="AG3206">
        <v>0</v>
      </c>
      <c r="AH3206">
        <v>0</v>
      </c>
      <c r="AI3206">
        <v>0</v>
      </c>
      <c r="AJ3206">
        <v>0</v>
      </c>
      <c r="AK3206">
        <v>0</v>
      </c>
      <c r="AL3206">
        <v>1</v>
      </c>
      <c r="AM3206">
        <v>0</v>
      </c>
      <c r="AN3206">
        <v>0</v>
      </c>
      <c r="BC3206">
        <v>0</v>
      </c>
      <c r="BD3206">
        <v>22</v>
      </c>
      <c r="BE3206">
        <v>288</v>
      </c>
      <c r="BF3206">
        <v>310</v>
      </c>
      <c r="BG3206">
        <v>425</v>
      </c>
      <c r="BJ3206">
        <v>1</v>
      </c>
      <c r="BL3206" t="s">
        <v>6649</v>
      </c>
      <c r="BM3206" s="4">
        <v>43283.229166666664</v>
      </c>
      <c r="BN3206" s="4">
        <v>43283.256863425922</v>
      </c>
      <c r="BO3206" s="4">
        <v>43283.256863425922</v>
      </c>
      <c r="BP3206" t="s">
        <v>92</v>
      </c>
      <c r="BQ3206" t="s">
        <v>93</v>
      </c>
      <c r="BR3206" t="s">
        <v>254</v>
      </c>
    </row>
    <row r="3207" spans="1:70" x14ac:dyDescent="0.3">
      <c r="A3207" t="str">
        <f>"202299E0100"</f>
        <v>202299E0100</v>
      </c>
      <c r="B3207" s="2" t="s">
        <v>6650</v>
      </c>
      <c r="C3207">
        <v>20</v>
      </c>
      <c r="D3207" t="s">
        <v>88</v>
      </c>
      <c r="E3207">
        <v>536</v>
      </c>
      <c r="F3207" t="s">
        <v>6617</v>
      </c>
      <c r="G3207">
        <v>2299</v>
      </c>
      <c r="H3207">
        <v>1</v>
      </c>
      <c r="I3207" t="s">
        <v>156</v>
      </c>
      <c r="J3207">
        <v>0</v>
      </c>
      <c r="K3207">
        <v>2</v>
      </c>
      <c r="L3207">
        <v>5</v>
      </c>
      <c r="M3207">
        <v>195</v>
      </c>
      <c r="N3207">
        <v>195</v>
      </c>
      <c r="O3207">
        <v>0</v>
      </c>
      <c r="P3207">
        <v>195</v>
      </c>
      <c r="Q3207">
        <v>74</v>
      </c>
      <c r="R3207">
        <v>2</v>
      </c>
      <c r="S3207">
        <v>4</v>
      </c>
      <c r="T3207">
        <v>0</v>
      </c>
      <c r="U3207">
        <v>9</v>
      </c>
      <c r="V3207">
        <v>2</v>
      </c>
      <c r="X3207">
        <v>5</v>
      </c>
      <c r="Y3207">
        <v>13</v>
      </c>
      <c r="Z3207">
        <v>1</v>
      </c>
      <c r="AA3207">
        <v>65</v>
      </c>
      <c r="AC3207">
        <v>3</v>
      </c>
      <c r="AD3207">
        <v>3</v>
      </c>
      <c r="AE3207">
        <v>0</v>
      </c>
      <c r="AF3207">
        <v>0</v>
      </c>
      <c r="AG3207">
        <v>0</v>
      </c>
      <c r="AH3207">
        <v>0</v>
      </c>
      <c r="AI3207">
        <v>0</v>
      </c>
      <c r="AJ3207">
        <v>0</v>
      </c>
      <c r="AK3207">
        <v>1</v>
      </c>
      <c r="AL3207">
        <v>1</v>
      </c>
      <c r="AM3207">
        <v>0</v>
      </c>
      <c r="AN3207">
        <v>0</v>
      </c>
      <c r="BC3207">
        <v>0</v>
      </c>
      <c r="BD3207">
        <v>12</v>
      </c>
      <c r="BE3207">
        <v>195</v>
      </c>
      <c r="BF3207">
        <v>195</v>
      </c>
      <c r="BG3207">
        <v>368</v>
      </c>
      <c r="BJ3207">
        <v>1</v>
      </c>
      <c r="BL3207" t="s">
        <v>6651</v>
      </c>
      <c r="BM3207" s="4">
        <v>43283.134722222225</v>
      </c>
      <c r="BN3207" s="4">
        <v>43283.159699074073</v>
      </c>
      <c r="BO3207" s="4">
        <v>43283.159699074073</v>
      </c>
      <c r="BP3207" t="s">
        <v>92</v>
      </c>
      <c r="BQ3207" t="s">
        <v>93</v>
      </c>
      <c r="BR3207" t="s">
        <v>94</v>
      </c>
    </row>
    <row r="3208" spans="1:70" x14ac:dyDescent="0.3">
      <c r="A3208" t="str">
        <f>"202300B0100"</f>
        <v>202300B0100</v>
      </c>
      <c r="B3208" t="s">
        <v>6652</v>
      </c>
      <c r="C3208">
        <v>20</v>
      </c>
      <c r="D3208" t="s">
        <v>88</v>
      </c>
      <c r="E3208">
        <v>536</v>
      </c>
      <c r="F3208" t="s">
        <v>6617</v>
      </c>
      <c r="G3208">
        <v>2300</v>
      </c>
      <c r="H3208">
        <v>1</v>
      </c>
      <c r="I3208" t="s">
        <v>90</v>
      </c>
      <c r="J3208">
        <v>0</v>
      </c>
      <c r="K3208">
        <v>2</v>
      </c>
      <c r="L3208">
        <v>5</v>
      </c>
      <c r="M3208">
        <v>238</v>
      </c>
      <c r="N3208">
        <v>751</v>
      </c>
      <c r="O3208">
        <v>0</v>
      </c>
      <c r="P3208">
        <v>513</v>
      </c>
      <c r="Q3208">
        <v>109</v>
      </c>
      <c r="R3208">
        <v>12</v>
      </c>
      <c r="S3208">
        <v>6</v>
      </c>
      <c r="T3208">
        <v>4</v>
      </c>
      <c r="U3208">
        <v>29</v>
      </c>
      <c r="V3208">
        <v>16</v>
      </c>
      <c r="X3208">
        <v>54</v>
      </c>
      <c r="Y3208">
        <v>91</v>
      </c>
      <c r="Z3208">
        <v>3</v>
      </c>
      <c r="AA3208">
        <v>91</v>
      </c>
      <c r="AC3208" t="s">
        <v>105</v>
      </c>
      <c r="AD3208" t="s">
        <v>105</v>
      </c>
      <c r="AE3208" t="s">
        <v>105</v>
      </c>
      <c r="AF3208" t="s">
        <v>105</v>
      </c>
      <c r="AG3208" t="s">
        <v>105</v>
      </c>
      <c r="AH3208" t="s">
        <v>105</v>
      </c>
      <c r="AI3208" t="s">
        <v>105</v>
      </c>
      <c r="AJ3208" t="s">
        <v>105</v>
      </c>
      <c r="AK3208" t="s">
        <v>105</v>
      </c>
      <c r="AL3208" t="s">
        <v>105</v>
      </c>
      <c r="AM3208" t="s">
        <v>105</v>
      </c>
      <c r="AN3208" t="s">
        <v>105</v>
      </c>
      <c r="BC3208" t="s">
        <v>105</v>
      </c>
      <c r="BD3208">
        <v>36</v>
      </c>
      <c r="BE3208">
        <v>513</v>
      </c>
      <c r="BF3208">
        <v>451</v>
      </c>
      <c r="BG3208">
        <v>729</v>
      </c>
      <c r="BI3208" t="s">
        <v>106</v>
      </c>
      <c r="BJ3208">
        <v>1</v>
      </c>
      <c r="BL3208" t="s">
        <v>6653</v>
      </c>
      <c r="BM3208" s="4">
        <v>43283.324999999997</v>
      </c>
      <c r="BN3208" s="4">
        <v>43283.351840277777</v>
      </c>
      <c r="BO3208" s="4">
        <v>43283.351840277777</v>
      </c>
      <c r="BP3208" t="s">
        <v>92</v>
      </c>
      <c r="BQ3208" t="s">
        <v>93</v>
      </c>
      <c r="BR3208" t="s">
        <v>94</v>
      </c>
    </row>
    <row r="3209" spans="1:70" x14ac:dyDescent="0.3">
      <c r="A3209" t="str">
        <f>"202300E0100"</f>
        <v>202300E0100</v>
      </c>
      <c r="B3209" s="2" t="s">
        <v>6654</v>
      </c>
      <c r="C3209">
        <v>20</v>
      </c>
      <c r="D3209" t="s">
        <v>88</v>
      </c>
      <c r="E3209">
        <v>536</v>
      </c>
      <c r="F3209" t="s">
        <v>6617</v>
      </c>
      <c r="G3209">
        <v>2300</v>
      </c>
      <c r="H3209">
        <v>1</v>
      </c>
      <c r="I3209" t="s">
        <v>156</v>
      </c>
      <c r="J3209">
        <v>0</v>
      </c>
      <c r="K3209">
        <v>2</v>
      </c>
      <c r="L3209">
        <v>5</v>
      </c>
      <c r="M3209">
        <v>131</v>
      </c>
      <c r="N3209">
        <v>215</v>
      </c>
      <c r="O3209">
        <v>0</v>
      </c>
      <c r="P3209">
        <v>215</v>
      </c>
      <c r="Q3209">
        <v>79</v>
      </c>
      <c r="R3209">
        <v>6</v>
      </c>
      <c r="S3209">
        <v>5</v>
      </c>
      <c r="T3209">
        <v>2</v>
      </c>
      <c r="U3209">
        <v>11</v>
      </c>
      <c r="V3209">
        <v>4</v>
      </c>
      <c r="X3209">
        <v>19</v>
      </c>
      <c r="Y3209">
        <v>52</v>
      </c>
      <c r="Z3209">
        <v>2</v>
      </c>
      <c r="AA3209">
        <v>29</v>
      </c>
      <c r="AC3209">
        <v>0</v>
      </c>
      <c r="AD3209">
        <v>0</v>
      </c>
      <c r="AE3209">
        <v>0</v>
      </c>
      <c r="AF3209">
        <v>0</v>
      </c>
      <c r="AG3209">
        <v>0</v>
      </c>
      <c r="AH3209">
        <v>0</v>
      </c>
      <c r="AI3209">
        <v>0</v>
      </c>
      <c r="AJ3209">
        <v>0</v>
      </c>
      <c r="AK3209">
        <v>0</v>
      </c>
      <c r="AL3209">
        <v>0</v>
      </c>
      <c r="AM3209">
        <v>0</v>
      </c>
      <c r="AN3209">
        <v>0</v>
      </c>
      <c r="BC3209">
        <v>0</v>
      </c>
      <c r="BD3209">
        <v>6</v>
      </c>
      <c r="BE3209">
        <v>215</v>
      </c>
      <c r="BF3209">
        <v>215</v>
      </c>
      <c r="BG3209">
        <v>324</v>
      </c>
      <c r="BJ3209">
        <v>1</v>
      </c>
      <c r="BL3209" t="s">
        <v>6655</v>
      </c>
      <c r="BM3209" s="4">
        <v>43283.324999999997</v>
      </c>
      <c r="BN3209" s="4">
        <v>43283.350277777776</v>
      </c>
      <c r="BO3209" s="4">
        <v>43283.350277777776</v>
      </c>
      <c r="BP3209" t="s">
        <v>92</v>
      </c>
      <c r="BQ3209" t="s">
        <v>93</v>
      </c>
      <c r="BR3209" t="s">
        <v>94</v>
      </c>
    </row>
    <row r="3210" spans="1:70" x14ac:dyDescent="0.3">
      <c r="A3210" t="str">
        <f>"202301B0100"</f>
        <v>202301B0100</v>
      </c>
      <c r="B3210" t="s">
        <v>6656</v>
      </c>
      <c r="C3210">
        <v>20</v>
      </c>
      <c r="D3210" t="s">
        <v>88</v>
      </c>
      <c r="E3210">
        <v>537</v>
      </c>
      <c r="F3210" t="s">
        <v>6657</v>
      </c>
      <c r="G3210">
        <v>2301</v>
      </c>
      <c r="H3210">
        <v>1</v>
      </c>
      <c r="I3210" t="s">
        <v>90</v>
      </c>
      <c r="J3210">
        <v>0</v>
      </c>
      <c r="K3210">
        <v>2</v>
      </c>
      <c r="L3210">
        <v>5</v>
      </c>
      <c r="BG3210">
        <v>654</v>
      </c>
      <c r="BI3210" t="s">
        <v>365</v>
      </c>
      <c r="BJ3210">
        <v>0</v>
      </c>
      <c r="BL3210" t="s">
        <v>6658</v>
      </c>
      <c r="BM3210" s="4">
        <v>43283.492361111108</v>
      </c>
      <c r="BN3210" s="4">
        <v>43283.497349537036</v>
      </c>
      <c r="BO3210" s="4">
        <v>43283.497349537036</v>
      </c>
      <c r="BP3210" t="s">
        <v>92</v>
      </c>
      <c r="BQ3210" t="s">
        <v>93</v>
      </c>
      <c r="BR3210" t="s">
        <v>94</v>
      </c>
    </row>
    <row r="3211" spans="1:70" x14ac:dyDescent="0.3">
      <c r="A3211" t="str">
        <f>"202301C0100"</f>
        <v>202301C0100</v>
      </c>
      <c r="B3211" t="s">
        <v>6659</v>
      </c>
      <c r="C3211">
        <v>20</v>
      </c>
      <c r="D3211" t="s">
        <v>88</v>
      </c>
      <c r="E3211">
        <v>537</v>
      </c>
      <c r="F3211" t="s">
        <v>6657</v>
      </c>
      <c r="G3211">
        <v>2301</v>
      </c>
      <c r="H3211">
        <v>1</v>
      </c>
      <c r="I3211" t="s">
        <v>98</v>
      </c>
      <c r="J3211">
        <v>0</v>
      </c>
      <c r="K3211">
        <v>2</v>
      </c>
      <c r="L3211">
        <v>5</v>
      </c>
      <c r="M3211">
        <v>204</v>
      </c>
      <c r="N3211">
        <v>470</v>
      </c>
      <c r="O3211">
        <v>0</v>
      </c>
      <c r="P3211">
        <v>470</v>
      </c>
      <c r="Q3211">
        <v>8</v>
      </c>
      <c r="R3211">
        <v>62</v>
      </c>
      <c r="S3211">
        <v>48</v>
      </c>
      <c r="T3211">
        <v>6</v>
      </c>
      <c r="U3211">
        <v>39</v>
      </c>
      <c r="V3211">
        <v>5</v>
      </c>
      <c r="X3211">
        <v>114</v>
      </c>
      <c r="Y3211">
        <v>153</v>
      </c>
      <c r="Z3211">
        <v>6</v>
      </c>
      <c r="AA3211">
        <v>4</v>
      </c>
      <c r="AC3211">
        <v>3</v>
      </c>
      <c r="AD3211">
        <v>2</v>
      </c>
      <c r="AE3211">
        <v>0</v>
      </c>
      <c r="AF3211">
        <v>0</v>
      </c>
      <c r="AK3211">
        <v>3</v>
      </c>
      <c r="AL3211">
        <v>1</v>
      </c>
      <c r="AM3211">
        <v>0</v>
      </c>
      <c r="AN3211">
        <v>0</v>
      </c>
      <c r="AT3211">
        <v>2</v>
      </c>
      <c r="BC3211" t="s">
        <v>105</v>
      </c>
      <c r="BD3211">
        <v>14</v>
      </c>
      <c r="BE3211">
        <v>470</v>
      </c>
      <c r="BF3211">
        <v>470</v>
      </c>
      <c r="BG3211">
        <v>654</v>
      </c>
      <c r="BI3211" t="s">
        <v>106</v>
      </c>
      <c r="BJ3211">
        <v>1</v>
      </c>
      <c r="BL3211" t="s">
        <v>6660</v>
      </c>
      <c r="BM3211" s="4">
        <v>43283.228472222225</v>
      </c>
      <c r="BN3211" s="4">
        <v>43283.252928240741</v>
      </c>
      <c r="BO3211" s="4">
        <v>43283.252928240741</v>
      </c>
      <c r="BP3211" t="s">
        <v>92</v>
      </c>
      <c r="BQ3211" t="s">
        <v>93</v>
      </c>
      <c r="BR3211" t="s">
        <v>94</v>
      </c>
    </row>
    <row r="3212" spans="1:70" x14ac:dyDescent="0.3">
      <c r="A3212" t="str">
        <f>"202301C0200"</f>
        <v>202301C0200</v>
      </c>
      <c r="B3212" t="s">
        <v>6661</v>
      </c>
      <c r="C3212">
        <v>20</v>
      </c>
      <c r="D3212" t="s">
        <v>88</v>
      </c>
      <c r="E3212">
        <v>537</v>
      </c>
      <c r="F3212" t="s">
        <v>6657</v>
      </c>
      <c r="G3212">
        <v>2301</v>
      </c>
      <c r="H3212">
        <v>2</v>
      </c>
      <c r="I3212" t="s">
        <v>98</v>
      </c>
      <c r="J3212">
        <v>0</v>
      </c>
      <c r="K3212">
        <v>2</v>
      </c>
      <c r="L3212">
        <v>5</v>
      </c>
      <c r="M3212">
        <v>196</v>
      </c>
      <c r="N3212">
        <v>479</v>
      </c>
      <c r="O3212">
        <v>0</v>
      </c>
      <c r="P3212">
        <v>479</v>
      </c>
      <c r="Q3212">
        <v>14</v>
      </c>
      <c r="R3212">
        <v>58</v>
      </c>
      <c r="S3212">
        <v>83</v>
      </c>
      <c r="T3212">
        <v>7</v>
      </c>
      <c r="U3212">
        <v>35</v>
      </c>
      <c r="V3212">
        <v>6</v>
      </c>
      <c r="X3212">
        <v>87</v>
      </c>
      <c r="Y3212">
        <v>145</v>
      </c>
      <c r="Z3212">
        <v>7</v>
      </c>
      <c r="AA3212">
        <v>2</v>
      </c>
      <c r="AC3212">
        <v>4</v>
      </c>
      <c r="AD3212">
        <v>1</v>
      </c>
      <c r="AE3212">
        <v>0</v>
      </c>
      <c r="AF3212">
        <v>0</v>
      </c>
      <c r="AK3212">
        <v>7</v>
      </c>
      <c r="AL3212">
        <v>5</v>
      </c>
      <c r="AM3212">
        <v>0</v>
      </c>
      <c r="AN3212">
        <v>0</v>
      </c>
      <c r="AT3212">
        <v>4</v>
      </c>
      <c r="BC3212">
        <v>0</v>
      </c>
      <c r="BD3212">
        <v>14</v>
      </c>
      <c r="BE3212">
        <v>479</v>
      </c>
      <c r="BF3212">
        <v>479</v>
      </c>
      <c r="BG3212">
        <v>653</v>
      </c>
      <c r="BJ3212">
        <v>1</v>
      </c>
      <c r="BL3212" t="s">
        <v>6662</v>
      </c>
      <c r="BM3212" s="4">
        <v>43283.227083333331</v>
      </c>
      <c r="BN3212" s="4">
        <v>43283.258599537039</v>
      </c>
      <c r="BO3212" s="4">
        <v>43283.258599537039</v>
      </c>
      <c r="BP3212" t="s">
        <v>92</v>
      </c>
      <c r="BQ3212" t="s">
        <v>93</v>
      </c>
      <c r="BR3212" t="s">
        <v>94</v>
      </c>
    </row>
    <row r="3213" spans="1:70" x14ac:dyDescent="0.3">
      <c r="A3213" t="str">
        <f>"202302B0100"</f>
        <v>202302B0100</v>
      </c>
      <c r="B3213" t="s">
        <v>6663</v>
      </c>
      <c r="C3213">
        <v>20</v>
      </c>
      <c r="D3213" t="s">
        <v>88</v>
      </c>
      <c r="E3213">
        <v>537</v>
      </c>
      <c r="F3213" t="s">
        <v>6657</v>
      </c>
      <c r="G3213">
        <v>2302</v>
      </c>
      <c r="H3213">
        <v>1</v>
      </c>
      <c r="I3213" t="s">
        <v>90</v>
      </c>
      <c r="J3213">
        <v>0</v>
      </c>
      <c r="K3213">
        <v>2</v>
      </c>
      <c r="L3213">
        <v>5</v>
      </c>
      <c r="M3213">
        <v>116</v>
      </c>
      <c r="N3213">
        <v>320</v>
      </c>
      <c r="O3213">
        <v>5</v>
      </c>
      <c r="P3213">
        <v>320</v>
      </c>
      <c r="Q3213">
        <v>10</v>
      </c>
      <c r="R3213">
        <v>19</v>
      </c>
      <c r="S3213">
        <v>27</v>
      </c>
      <c r="T3213">
        <v>1</v>
      </c>
      <c r="U3213">
        <v>39</v>
      </c>
      <c r="V3213">
        <v>5</v>
      </c>
      <c r="X3213">
        <v>27</v>
      </c>
      <c r="Y3213">
        <v>162</v>
      </c>
      <c r="Z3213">
        <v>6</v>
      </c>
      <c r="AA3213">
        <v>2</v>
      </c>
      <c r="AC3213">
        <v>3</v>
      </c>
      <c r="AD3213">
        <v>0</v>
      </c>
      <c r="AE3213">
        <v>0</v>
      </c>
      <c r="AF3213">
        <v>0</v>
      </c>
      <c r="AK3213">
        <v>10</v>
      </c>
      <c r="AL3213">
        <v>4</v>
      </c>
      <c r="AM3213">
        <v>2</v>
      </c>
      <c r="AN3213">
        <v>0</v>
      </c>
      <c r="AT3213">
        <v>0</v>
      </c>
      <c r="BC3213">
        <v>0</v>
      </c>
      <c r="BD3213">
        <v>3</v>
      </c>
      <c r="BE3213">
        <v>320</v>
      </c>
      <c r="BF3213">
        <v>320</v>
      </c>
      <c r="BG3213">
        <v>414</v>
      </c>
      <c r="BJ3213">
        <v>1</v>
      </c>
      <c r="BL3213" t="s">
        <v>6664</v>
      </c>
      <c r="BM3213" s="4">
        <v>43283.227777777778</v>
      </c>
      <c r="BN3213" s="4">
        <v>43283.251423611109</v>
      </c>
      <c r="BO3213" s="4">
        <v>43283.251423611109</v>
      </c>
      <c r="BP3213" t="s">
        <v>92</v>
      </c>
      <c r="BQ3213" t="s">
        <v>93</v>
      </c>
      <c r="BR3213" t="s">
        <v>94</v>
      </c>
    </row>
    <row r="3214" spans="1:70" x14ac:dyDescent="0.3">
      <c r="A3214" t="str">
        <f>"202302C0100"</f>
        <v>202302C0100</v>
      </c>
      <c r="B3214" t="s">
        <v>6665</v>
      </c>
      <c r="C3214">
        <v>20</v>
      </c>
      <c r="D3214" t="s">
        <v>88</v>
      </c>
      <c r="E3214">
        <v>537</v>
      </c>
      <c r="F3214" t="s">
        <v>6657</v>
      </c>
      <c r="G3214">
        <v>2302</v>
      </c>
      <c r="H3214">
        <v>1</v>
      </c>
      <c r="I3214" t="s">
        <v>98</v>
      </c>
      <c r="J3214">
        <v>0</v>
      </c>
      <c r="K3214">
        <v>2</v>
      </c>
      <c r="L3214">
        <v>5</v>
      </c>
      <c r="M3214">
        <v>105</v>
      </c>
      <c r="N3214">
        <v>331</v>
      </c>
      <c r="O3214">
        <v>5</v>
      </c>
      <c r="P3214">
        <v>331</v>
      </c>
      <c r="Q3214">
        <v>9</v>
      </c>
      <c r="R3214">
        <v>21</v>
      </c>
      <c r="S3214">
        <v>13</v>
      </c>
      <c r="T3214">
        <v>1</v>
      </c>
      <c r="U3214">
        <v>38</v>
      </c>
      <c r="V3214">
        <v>6</v>
      </c>
      <c r="X3214" t="s">
        <v>127</v>
      </c>
      <c r="Y3214" t="s">
        <v>127</v>
      </c>
      <c r="Z3214">
        <v>6</v>
      </c>
      <c r="AA3214">
        <v>2</v>
      </c>
      <c r="AC3214">
        <v>5</v>
      </c>
      <c r="AD3214">
        <v>0</v>
      </c>
      <c r="AE3214">
        <v>0</v>
      </c>
      <c r="AF3214">
        <v>1</v>
      </c>
      <c r="AK3214">
        <v>11</v>
      </c>
      <c r="AL3214">
        <v>4</v>
      </c>
      <c r="AM3214">
        <v>0</v>
      </c>
      <c r="AN3214">
        <v>0</v>
      </c>
      <c r="AT3214">
        <v>2</v>
      </c>
      <c r="BC3214">
        <v>0</v>
      </c>
      <c r="BD3214">
        <v>7</v>
      </c>
      <c r="BE3214">
        <v>331</v>
      </c>
      <c r="BF3214">
        <v>126</v>
      </c>
      <c r="BG3214">
        <v>414</v>
      </c>
      <c r="BI3214" t="s">
        <v>106</v>
      </c>
      <c r="BJ3214">
        <v>1</v>
      </c>
      <c r="BL3214" t="s">
        <v>6666</v>
      </c>
      <c r="BM3214" s="4">
        <v>43283.227777777778</v>
      </c>
      <c r="BN3214" s="4">
        <v>43283.254467592589</v>
      </c>
      <c r="BO3214" s="4">
        <v>43283.254467592589</v>
      </c>
      <c r="BP3214" t="s">
        <v>92</v>
      </c>
      <c r="BQ3214" t="s">
        <v>93</v>
      </c>
      <c r="BR3214" t="s">
        <v>94</v>
      </c>
    </row>
    <row r="3215" spans="1:70" x14ac:dyDescent="0.3">
      <c r="A3215" t="str">
        <f>"202303B0100"</f>
        <v>202303B0100</v>
      </c>
      <c r="B3215" t="s">
        <v>6667</v>
      </c>
      <c r="C3215">
        <v>20</v>
      </c>
      <c r="D3215" t="s">
        <v>88</v>
      </c>
      <c r="E3215">
        <v>537</v>
      </c>
      <c r="F3215" t="s">
        <v>6657</v>
      </c>
      <c r="G3215">
        <v>2303</v>
      </c>
      <c r="H3215">
        <v>1</v>
      </c>
      <c r="I3215" t="s">
        <v>90</v>
      </c>
      <c r="J3215">
        <v>0</v>
      </c>
      <c r="K3215">
        <v>2</v>
      </c>
      <c r="L3215">
        <v>5</v>
      </c>
      <c r="M3215">
        <v>15</v>
      </c>
      <c r="N3215">
        <v>547</v>
      </c>
      <c r="O3215">
        <v>0</v>
      </c>
      <c r="P3215">
        <v>544</v>
      </c>
      <c r="Q3215">
        <v>23</v>
      </c>
      <c r="R3215">
        <v>35</v>
      </c>
      <c r="S3215">
        <v>68</v>
      </c>
      <c r="T3215">
        <v>10</v>
      </c>
      <c r="U3215">
        <v>45</v>
      </c>
      <c r="V3215">
        <v>10</v>
      </c>
      <c r="X3215">
        <v>108</v>
      </c>
      <c r="Y3215">
        <v>175</v>
      </c>
      <c r="Z3215">
        <v>11</v>
      </c>
      <c r="AA3215">
        <v>14</v>
      </c>
      <c r="AC3215">
        <v>3</v>
      </c>
      <c r="AD3215">
        <v>3</v>
      </c>
      <c r="AE3215">
        <v>1</v>
      </c>
      <c r="AF3215">
        <v>0</v>
      </c>
      <c r="AK3215">
        <v>14</v>
      </c>
      <c r="AL3215">
        <v>4</v>
      </c>
      <c r="AM3215">
        <v>0</v>
      </c>
      <c r="AN3215">
        <v>1</v>
      </c>
      <c r="AT3215">
        <v>4</v>
      </c>
      <c r="BC3215">
        <v>0</v>
      </c>
      <c r="BD3215">
        <v>15</v>
      </c>
      <c r="BE3215">
        <v>544</v>
      </c>
      <c r="BF3215">
        <v>544</v>
      </c>
      <c r="BG3215">
        <v>739</v>
      </c>
      <c r="BJ3215">
        <v>1</v>
      </c>
      <c r="BL3215" t="s">
        <v>6668</v>
      </c>
      <c r="BM3215" s="4">
        <v>43283.227777777778</v>
      </c>
      <c r="BN3215" s="4">
        <v>43283.254479166666</v>
      </c>
      <c r="BO3215" s="4">
        <v>43283.254479166666</v>
      </c>
      <c r="BP3215" t="s">
        <v>92</v>
      </c>
      <c r="BQ3215" t="s">
        <v>93</v>
      </c>
      <c r="BR3215" t="s">
        <v>94</v>
      </c>
    </row>
    <row r="3216" spans="1:70" x14ac:dyDescent="0.3">
      <c r="A3216" t="str">
        <f>"202303C0100"</f>
        <v>202303C0100</v>
      </c>
      <c r="B3216" t="s">
        <v>6669</v>
      </c>
      <c r="C3216">
        <v>20</v>
      </c>
      <c r="D3216" t="s">
        <v>88</v>
      </c>
      <c r="E3216">
        <v>537</v>
      </c>
      <c r="F3216" t="s">
        <v>6657</v>
      </c>
      <c r="G3216">
        <v>2303</v>
      </c>
      <c r="H3216">
        <v>1</v>
      </c>
      <c r="I3216" t="s">
        <v>98</v>
      </c>
      <c r="J3216">
        <v>0</v>
      </c>
      <c r="K3216">
        <v>2</v>
      </c>
      <c r="L3216">
        <v>5</v>
      </c>
      <c r="M3216">
        <v>221</v>
      </c>
      <c r="N3216">
        <v>539</v>
      </c>
      <c r="O3216">
        <v>1</v>
      </c>
      <c r="P3216">
        <v>532</v>
      </c>
      <c r="Q3216">
        <v>16</v>
      </c>
      <c r="R3216">
        <v>64</v>
      </c>
      <c r="S3216">
        <v>61</v>
      </c>
      <c r="T3216">
        <v>5</v>
      </c>
      <c r="U3216">
        <v>39</v>
      </c>
      <c r="V3216">
        <v>10</v>
      </c>
      <c r="X3216">
        <v>100</v>
      </c>
      <c r="Y3216">
        <v>183</v>
      </c>
      <c r="Z3216">
        <v>15</v>
      </c>
      <c r="AA3216">
        <v>8</v>
      </c>
      <c r="AC3216">
        <v>4</v>
      </c>
      <c r="AD3216">
        <v>1</v>
      </c>
      <c r="AE3216">
        <v>0</v>
      </c>
      <c r="AF3216">
        <v>0</v>
      </c>
      <c r="AK3216">
        <v>4</v>
      </c>
      <c r="AL3216">
        <v>0</v>
      </c>
      <c r="AM3216">
        <v>5</v>
      </c>
      <c r="AN3216">
        <v>0</v>
      </c>
      <c r="AT3216">
        <v>4</v>
      </c>
      <c r="BC3216">
        <v>0</v>
      </c>
      <c r="BD3216">
        <v>21</v>
      </c>
      <c r="BE3216">
        <v>532</v>
      </c>
      <c r="BF3216">
        <v>540</v>
      </c>
      <c r="BG3216">
        <v>739</v>
      </c>
      <c r="BJ3216">
        <v>1</v>
      </c>
      <c r="BL3216" t="s">
        <v>6670</v>
      </c>
      <c r="BM3216" s="4">
        <v>43283.226388888892</v>
      </c>
      <c r="BN3216" s="4">
        <v>43283.251793981479</v>
      </c>
      <c r="BO3216" s="4">
        <v>43283.251793981479</v>
      </c>
      <c r="BP3216" t="s">
        <v>92</v>
      </c>
      <c r="BQ3216" t="s">
        <v>93</v>
      </c>
      <c r="BR3216" t="s">
        <v>94</v>
      </c>
    </row>
    <row r="3217" spans="1:70" x14ac:dyDescent="0.3">
      <c r="A3217" t="str">
        <f>"202305B0100"</f>
        <v>202305B0100</v>
      </c>
      <c r="B3217" t="s">
        <v>6671</v>
      </c>
      <c r="C3217">
        <v>20</v>
      </c>
      <c r="D3217" t="s">
        <v>88</v>
      </c>
      <c r="E3217">
        <v>539</v>
      </c>
      <c r="F3217" t="s">
        <v>6672</v>
      </c>
      <c r="G3217">
        <v>2305</v>
      </c>
      <c r="H3217">
        <v>1</v>
      </c>
      <c r="I3217" t="s">
        <v>90</v>
      </c>
      <c r="J3217">
        <v>0</v>
      </c>
      <c r="K3217">
        <v>1</v>
      </c>
      <c r="L3217">
        <v>5</v>
      </c>
      <c r="M3217">
        <v>222</v>
      </c>
      <c r="N3217">
        <v>534</v>
      </c>
      <c r="O3217">
        <v>1</v>
      </c>
      <c r="P3217">
        <v>534</v>
      </c>
      <c r="Q3217">
        <v>12</v>
      </c>
      <c r="R3217">
        <v>143</v>
      </c>
      <c r="S3217">
        <v>48</v>
      </c>
      <c r="U3217">
        <v>24</v>
      </c>
      <c r="V3217">
        <v>31</v>
      </c>
      <c r="W3217">
        <v>5</v>
      </c>
      <c r="X3217">
        <v>1</v>
      </c>
      <c r="Y3217">
        <v>54</v>
      </c>
      <c r="Z3217">
        <v>2</v>
      </c>
      <c r="AB3217">
        <v>174</v>
      </c>
      <c r="AC3217">
        <v>4</v>
      </c>
      <c r="AD3217">
        <v>0</v>
      </c>
      <c r="AE3217">
        <v>0</v>
      </c>
      <c r="AF3217">
        <v>0</v>
      </c>
      <c r="AK3217">
        <v>3</v>
      </c>
      <c r="AL3217">
        <v>0</v>
      </c>
      <c r="AM3217">
        <v>0</v>
      </c>
      <c r="AN3217">
        <v>0</v>
      </c>
      <c r="BC3217">
        <v>0</v>
      </c>
      <c r="BD3217">
        <v>33</v>
      </c>
      <c r="BE3217">
        <v>534</v>
      </c>
      <c r="BF3217">
        <v>534</v>
      </c>
      <c r="BG3217">
        <v>734</v>
      </c>
      <c r="BJ3217">
        <v>1</v>
      </c>
      <c r="BL3217" t="s">
        <v>6673</v>
      </c>
      <c r="BM3217" s="4">
        <v>43283.120833333334</v>
      </c>
      <c r="BN3217" s="4">
        <v>43283.133287037039</v>
      </c>
      <c r="BO3217" s="4">
        <v>43283.133287037039</v>
      </c>
      <c r="BP3217" t="s">
        <v>92</v>
      </c>
      <c r="BQ3217" t="s">
        <v>93</v>
      </c>
      <c r="BR3217" t="s">
        <v>94</v>
      </c>
    </row>
    <row r="3218" spans="1:70" x14ac:dyDescent="0.3">
      <c r="A3218" t="str">
        <f>"202305C0100"</f>
        <v>202305C0100</v>
      </c>
      <c r="B3218" t="s">
        <v>6674</v>
      </c>
      <c r="C3218">
        <v>20</v>
      </c>
      <c r="D3218" t="s">
        <v>88</v>
      </c>
      <c r="E3218">
        <v>539</v>
      </c>
      <c r="F3218" t="s">
        <v>6672</v>
      </c>
      <c r="G3218">
        <v>2305</v>
      </c>
      <c r="H3218">
        <v>1</v>
      </c>
      <c r="I3218" t="s">
        <v>98</v>
      </c>
      <c r="J3218">
        <v>0</v>
      </c>
      <c r="K3218">
        <v>1</v>
      </c>
      <c r="L3218">
        <v>5</v>
      </c>
      <c r="BG3218">
        <v>734</v>
      </c>
      <c r="BI3218" t="s">
        <v>122</v>
      </c>
      <c r="BJ3218">
        <v>0</v>
      </c>
      <c r="BL3218" t="s">
        <v>6675</v>
      </c>
      <c r="BM3218" s="4">
        <v>43283.300694444442</v>
      </c>
      <c r="BN3218" s="4">
        <v>43283.308136574073</v>
      </c>
      <c r="BO3218" s="4">
        <v>43283.308136574073</v>
      </c>
      <c r="BP3218" t="s">
        <v>92</v>
      </c>
      <c r="BQ3218" t="s">
        <v>93</v>
      </c>
      <c r="BR3218" t="s">
        <v>94</v>
      </c>
    </row>
    <row r="3219" spans="1:70" x14ac:dyDescent="0.3">
      <c r="A3219" t="str">
        <f>"202306B0100"</f>
        <v>202306B0100</v>
      </c>
      <c r="B3219" t="s">
        <v>6676</v>
      </c>
      <c r="C3219">
        <v>20</v>
      </c>
      <c r="D3219" t="s">
        <v>88</v>
      </c>
      <c r="E3219">
        <v>539</v>
      </c>
      <c r="F3219" t="s">
        <v>6672</v>
      </c>
      <c r="G3219">
        <v>2306</v>
      </c>
      <c r="H3219">
        <v>1</v>
      </c>
      <c r="I3219" t="s">
        <v>90</v>
      </c>
      <c r="J3219">
        <v>0</v>
      </c>
      <c r="K3219">
        <v>2</v>
      </c>
      <c r="L3219">
        <v>5</v>
      </c>
      <c r="M3219">
        <v>160</v>
      </c>
      <c r="N3219">
        <v>355</v>
      </c>
      <c r="O3219">
        <v>8</v>
      </c>
      <c r="P3219">
        <v>355</v>
      </c>
      <c r="Q3219">
        <v>11</v>
      </c>
      <c r="R3219">
        <v>118</v>
      </c>
      <c r="S3219">
        <v>29</v>
      </c>
      <c r="U3219">
        <v>34</v>
      </c>
      <c r="V3219">
        <v>21</v>
      </c>
      <c r="W3219">
        <v>6</v>
      </c>
      <c r="X3219">
        <v>0</v>
      </c>
      <c r="Y3219">
        <v>40</v>
      </c>
      <c r="Z3219">
        <v>1</v>
      </c>
      <c r="AB3219">
        <v>78</v>
      </c>
      <c r="AC3219">
        <v>0</v>
      </c>
      <c r="AD3219">
        <v>0</v>
      </c>
      <c r="AE3219">
        <v>0</v>
      </c>
      <c r="AF3219">
        <v>1</v>
      </c>
      <c r="AK3219">
        <v>4</v>
      </c>
      <c r="AL3219">
        <v>2</v>
      </c>
      <c r="AM3219">
        <v>0</v>
      </c>
      <c r="AN3219">
        <v>1</v>
      </c>
      <c r="BC3219">
        <v>0</v>
      </c>
      <c r="BD3219">
        <v>9</v>
      </c>
      <c r="BE3219">
        <v>355</v>
      </c>
      <c r="BF3219">
        <v>355</v>
      </c>
      <c r="BG3219">
        <v>493</v>
      </c>
      <c r="BJ3219">
        <v>1</v>
      </c>
      <c r="BL3219" t="s">
        <v>6677</v>
      </c>
      <c r="BM3219" s="4">
        <v>43283.211111111108</v>
      </c>
      <c r="BN3219" s="4">
        <v>43283.231724537036</v>
      </c>
      <c r="BO3219" s="4">
        <v>43283.231724537036</v>
      </c>
      <c r="BP3219" t="s">
        <v>92</v>
      </c>
      <c r="BQ3219" t="s">
        <v>93</v>
      </c>
      <c r="BR3219" t="s">
        <v>94</v>
      </c>
    </row>
    <row r="3220" spans="1:70" x14ac:dyDescent="0.3">
      <c r="A3220" t="str">
        <f>"202306C0100"</f>
        <v>202306C0100</v>
      </c>
      <c r="B3220" t="s">
        <v>6678</v>
      </c>
      <c r="C3220">
        <v>20</v>
      </c>
      <c r="D3220" t="s">
        <v>88</v>
      </c>
      <c r="E3220">
        <v>539</v>
      </c>
      <c r="F3220" t="s">
        <v>6672</v>
      </c>
      <c r="G3220">
        <v>2306</v>
      </c>
      <c r="H3220">
        <v>1</v>
      </c>
      <c r="I3220" t="s">
        <v>98</v>
      </c>
      <c r="J3220">
        <v>0</v>
      </c>
      <c r="K3220">
        <v>2</v>
      </c>
      <c r="L3220">
        <v>5</v>
      </c>
      <c r="M3220">
        <v>163</v>
      </c>
      <c r="N3220">
        <v>351</v>
      </c>
      <c r="O3220">
        <v>7</v>
      </c>
      <c r="P3220">
        <v>351</v>
      </c>
      <c r="Q3220">
        <v>6</v>
      </c>
      <c r="R3220">
        <v>129</v>
      </c>
      <c r="S3220">
        <v>19</v>
      </c>
      <c r="U3220">
        <v>30</v>
      </c>
      <c r="V3220">
        <v>20</v>
      </c>
      <c r="W3220">
        <v>4</v>
      </c>
      <c r="X3220">
        <v>2</v>
      </c>
      <c r="Y3220">
        <v>44</v>
      </c>
      <c r="Z3220">
        <v>1</v>
      </c>
      <c r="AB3220">
        <v>75</v>
      </c>
      <c r="AC3220">
        <v>4</v>
      </c>
      <c r="AD3220">
        <v>1</v>
      </c>
      <c r="AE3220">
        <v>1</v>
      </c>
      <c r="AF3220">
        <v>1</v>
      </c>
      <c r="AK3220">
        <v>2</v>
      </c>
      <c r="AL3220">
        <v>2</v>
      </c>
      <c r="AM3220">
        <v>0</v>
      </c>
      <c r="AN3220">
        <v>0</v>
      </c>
      <c r="BC3220">
        <v>0</v>
      </c>
      <c r="BD3220">
        <v>10</v>
      </c>
      <c r="BE3220">
        <v>351</v>
      </c>
      <c r="BF3220">
        <v>351</v>
      </c>
      <c r="BG3220">
        <v>492</v>
      </c>
      <c r="BJ3220">
        <v>1</v>
      </c>
      <c r="BL3220" t="s">
        <v>6679</v>
      </c>
      <c r="BM3220" s="4">
        <v>43283.209722222222</v>
      </c>
      <c r="BN3220" s="4">
        <v>43283.230092592596</v>
      </c>
      <c r="BO3220" s="4">
        <v>43283.230092592596</v>
      </c>
      <c r="BP3220" t="s">
        <v>92</v>
      </c>
      <c r="BQ3220" t="s">
        <v>93</v>
      </c>
      <c r="BR3220" t="s">
        <v>94</v>
      </c>
    </row>
    <row r="3221" spans="1:70" x14ac:dyDescent="0.3">
      <c r="A3221" t="str">
        <f>"202306E0100"</f>
        <v>202306E0100</v>
      </c>
      <c r="B3221" s="2" t="s">
        <v>6680</v>
      </c>
      <c r="C3221">
        <v>20</v>
      </c>
      <c r="D3221" t="s">
        <v>88</v>
      </c>
      <c r="E3221">
        <v>539</v>
      </c>
      <c r="F3221" t="s">
        <v>6672</v>
      </c>
      <c r="G3221">
        <v>2306</v>
      </c>
      <c r="H3221">
        <v>1</v>
      </c>
      <c r="I3221" t="s">
        <v>156</v>
      </c>
      <c r="J3221">
        <v>0</v>
      </c>
      <c r="K3221">
        <v>2</v>
      </c>
      <c r="L3221">
        <v>5</v>
      </c>
      <c r="M3221">
        <v>84</v>
      </c>
      <c r="N3221">
        <v>177</v>
      </c>
      <c r="O3221">
        <v>7</v>
      </c>
      <c r="P3221">
        <v>177</v>
      </c>
      <c r="Q3221">
        <v>4</v>
      </c>
      <c r="R3221">
        <v>55</v>
      </c>
      <c r="S3221">
        <v>12</v>
      </c>
      <c r="U3221">
        <v>41</v>
      </c>
      <c r="V3221">
        <v>6</v>
      </c>
      <c r="W3221">
        <v>1</v>
      </c>
      <c r="X3221">
        <v>1</v>
      </c>
      <c r="Y3221">
        <v>18</v>
      </c>
      <c r="Z3221">
        <v>3</v>
      </c>
      <c r="AB3221">
        <v>26</v>
      </c>
      <c r="AC3221">
        <v>0</v>
      </c>
      <c r="AD3221">
        <v>0</v>
      </c>
      <c r="AE3221">
        <v>0</v>
      </c>
      <c r="AF3221">
        <v>0</v>
      </c>
      <c r="AK3221">
        <v>2</v>
      </c>
      <c r="AL3221">
        <v>1</v>
      </c>
      <c r="AM3221">
        <v>1</v>
      </c>
      <c r="AN3221">
        <v>0</v>
      </c>
      <c r="BC3221">
        <v>0</v>
      </c>
      <c r="BD3221">
        <v>6</v>
      </c>
      <c r="BE3221">
        <v>177</v>
      </c>
      <c r="BF3221">
        <v>177</v>
      </c>
      <c r="BG3221">
        <v>239</v>
      </c>
      <c r="BJ3221">
        <v>1</v>
      </c>
      <c r="BL3221" t="s">
        <v>6681</v>
      </c>
      <c r="BM3221" s="4">
        <v>43283.213888888888</v>
      </c>
      <c r="BN3221" s="4">
        <v>43283.234942129631</v>
      </c>
      <c r="BO3221" s="4">
        <v>43283.234942129631</v>
      </c>
      <c r="BP3221" t="s">
        <v>92</v>
      </c>
      <c r="BQ3221" t="s">
        <v>93</v>
      </c>
      <c r="BR3221" t="s">
        <v>94</v>
      </c>
    </row>
    <row r="3222" spans="1:70" x14ac:dyDescent="0.3">
      <c r="A3222" t="str">
        <f>"202307B0100"</f>
        <v>202307B0100</v>
      </c>
      <c r="B3222" t="s">
        <v>6682</v>
      </c>
      <c r="C3222">
        <v>20</v>
      </c>
      <c r="D3222" t="s">
        <v>88</v>
      </c>
      <c r="E3222">
        <v>539</v>
      </c>
      <c r="F3222" t="s">
        <v>6672</v>
      </c>
      <c r="G3222">
        <v>2307</v>
      </c>
      <c r="H3222">
        <v>1</v>
      </c>
      <c r="I3222" t="s">
        <v>90</v>
      </c>
      <c r="J3222">
        <v>0</v>
      </c>
      <c r="K3222">
        <v>1</v>
      </c>
      <c r="L3222">
        <v>5</v>
      </c>
      <c r="M3222">
        <v>130</v>
      </c>
      <c r="N3222">
        <v>328</v>
      </c>
      <c r="O3222">
        <v>5</v>
      </c>
      <c r="P3222">
        <v>328</v>
      </c>
      <c r="Q3222">
        <v>4</v>
      </c>
      <c r="R3222">
        <v>110</v>
      </c>
      <c r="S3222">
        <v>26</v>
      </c>
      <c r="U3222">
        <v>27</v>
      </c>
      <c r="V3222">
        <v>9</v>
      </c>
      <c r="W3222">
        <v>3</v>
      </c>
      <c r="X3222">
        <v>2</v>
      </c>
      <c r="Y3222">
        <v>37</v>
      </c>
      <c r="Z3222">
        <v>0</v>
      </c>
      <c r="AB3222">
        <v>87</v>
      </c>
      <c r="AC3222">
        <v>2</v>
      </c>
      <c r="AD3222">
        <v>1</v>
      </c>
      <c r="AE3222">
        <v>1</v>
      </c>
      <c r="AF3222">
        <v>1</v>
      </c>
      <c r="AK3222">
        <v>3</v>
      </c>
      <c r="AL3222">
        <v>2</v>
      </c>
      <c r="AM3222">
        <v>1</v>
      </c>
      <c r="AN3222">
        <v>0</v>
      </c>
      <c r="BC3222">
        <v>1</v>
      </c>
      <c r="BD3222">
        <v>11</v>
      </c>
      <c r="BE3222">
        <v>328</v>
      </c>
      <c r="BF3222">
        <v>328</v>
      </c>
      <c r="BG3222">
        <v>436</v>
      </c>
      <c r="BJ3222">
        <v>1</v>
      </c>
      <c r="BL3222" t="s">
        <v>6683</v>
      </c>
      <c r="BM3222" s="4">
        <v>43283.026388888888</v>
      </c>
      <c r="BN3222" s="4">
        <v>43283.030289351853</v>
      </c>
      <c r="BO3222" s="4">
        <v>43283.030289351853</v>
      </c>
      <c r="BP3222" t="s">
        <v>92</v>
      </c>
      <c r="BQ3222" t="s">
        <v>93</v>
      </c>
      <c r="BR3222" t="s">
        <v>94</v>
      </c>
    </row>
    <row r="3223" spans="1:70" x14ac:dyDescent="0.3">
      <c r="A3223" t="str">
        <f>"202307C0100"</f>
        <v>202307C0100</v>
      </c>
      <c r="B3223" t="s">
        <v>6684</v>
      </c>
      <c r="C3223">
        <v>20</v>
      </c>
      <c r="D3223" t="s">
        <v>88</v>
      </c>
      <c r="E3223">
        <v>539</v>
      </c>
      <c r="F3223" t="s">
        <v>6672</v>
      </c>
      <c r="G3223">
        <v>2307</v>
      </c>
      <c r="H3223">
        <v>1</v>
      </c>
      <c r="I3223" t="s">
        <v>98</v>
      </c>
      <c r="J3223">
        <v>0</v>
      </c>
      <c r="K3223">
        <v>1</v>
      </c>
      <c r="L3223">
        <v>5</v>
      </c>
      <c r="M3223">
        <v>122</v>
      </c>
      <c r="N3223">
        <v>335</v>
      </c>
      <c r="O3223">
        <v>5</v>
      </c>
      <c r="P3223">
        <v>335</v>
      </c>
      <c r="Q3223">
        <v>6</v>
      </c>
      <c r="R3223">
        <v>98</v>
      </c>
      <c r="S3223">
        <v>23</v>
      </c>
      <c r="U3223">
        <v>56</v>
      </c>
      <c r="V3223">
        <v>12</v>
      </c>
      <c r="W3223">
        <v>1</v>
      </c>
      <c r="X3223">
        <v>1</v>
      </c>
      <c r="Y3223">
        <v>26</v>
      </c>
      <c r="Z3223">
        <v>1</v>
      </c>
      <c r="AB3223">
        <v>94</v>
      </c>
      <c r="AC3223">
        <v>1</v>
      </c>
      <c r="AD3223">
        <v>0</v>
      </c>
      <c r="AE3223">
        <v>0</v>
      </c>
      <c r="AF3223">
        <v>1</v>
      </c>
      <c r="AK3223">
        <v>2</v>
      </c>
      <c r="AL3223">
        <v>4</v>
      </c>
      <c r="AM3223">
        <v>0</v>
      </c>
      <c r="AN3223">
        <v>0</v>
      </c>
      <c r="BC3223" t="s">
        <v>105</v>
      </c>
      <c r="BD3223">
        <v>9</v>
      </c>
      <c r="BE3223" t="s">
        <v>105</v>
      </c>
      <c r="BF3223">
        <v>335</v>
      </c>
      <c r="BG3223">
        <v>435</v>
      </c>
      <c r="BI3223" t="s">
        <v>106</v>
      </c>
      <c r="BJ3223">
        <v>1</v>
      </c>
      <c r="BL3223" t="s">
        <v>6685</v>
      </c>
      <c r="BM3223" s="4">
        <v>43283.040277777778</v>
      </c>
      <c r="BN3223" s="4">
        <v>43283.043645833335</v>
      </c>
      <c r="BO3223" s="4">
        <v>43283.043645833335</v>
      </c>
      <c r="BP3223" t="s">
        <v>92</v>
      </c>
      <c r="BQ3223" t="s">
        <v>93</v>
      </c>
      <c r="BR3223" t="s">
        <v>94</v>
      </c>
    </row>
    <row r="3224" spans="1:70" x14ac:dyDescent="0.3">
      <c r="A3224" t="str">
        <f>"202308B0100"</f>
        <v>202308B0100</v>
      </c>
      <c r="B3224" t="s">
        <v>6686</v>
      </c>
      <c r="C3224">
        <v>20</v>
      </c>
      <c r="D3224" t="s">
        <v>88</v>
      </c>
      <c r="E3224">
        <v>539</v>
      </c>
      <c r="F3224" t="s">
        <v>6672</v>
      </c>
      <c r="G3224">
        <v>2308</v>
      </c>
      <c r="H3224">
        <v>1</v>
      </c>
      <c r="I3224" t="s">
        <v>90</v>
      </c>
      <c r="J3224">
        <v>0</v>
      </c>
      <c r="K3224">
        <v>2</v>
      </c>
      <c r="L3224">
        <v>5</v>
      </c>
      <c r="M3224">
        <v>169</v>
      </c>
      <c r="N3224">
        <v>331</v>
      </c>
      <c r="O3224">
        <v>8</v>
      </c>
      <c r="P3224">
        <v>331</v>
      </c>
      <c r="Q3224">
        <v>8</v>
      </c>
      <c r="R3224">
        <v>134</v>
      </c>
      <c r="S3224">
        <v>23</v>
      </c>
      <c r="U3224">
        <v>40</v>
      </c>
      <c r="V3224">
        <v>4</v>
      </c>
      <c r="W3224">
        <v>1</v>
      </c>
      <c r="X3224">
        <v>0</v>
      </c>
      <c r="Y3224">
        <v>22</v>
      </c>
      <c r="Z3224">
        <v>1</v>
      </c>
      <c r="AB3224">
        <v>78</v>
      </c>
      <c r="AC3224">
        <v>6</v>
      </c>
      <c r="AD3224">
        <v>0</v>
      </c>
      <c r="AE3224">
        <v>0</v>
      </c>
      <c r="AF3224">
        <v>1</v>
      </c>
      <c r="AK3224">
        <v>0</v>
      </c>
      <c r="AL3224">
        <v>2</v>
      </c>
      <c r="AM3224">
        <v>0</v>
      </c>
      <c r="AN3224">
        <v>0</v>
      </c>
      <c r="BC3224">
        <v>0</v>
      </c>
      <c r="BD3224">
        <v>11</v>
      </c>
      <c r="BE3224">
        <v>331</v>
      </c>
      <c r="BF3224">
        <v>331</v>
      </c>
      <c r="BG3224">
        <v>478</v>
      </c>
      <c r="BJ3224">
        <v>1</v>
      </c>
      <c r="BL3224" t="s">
        <v>6687</v>
      </c>
      <c r="BM3224" s="4">
        <v>43283.134722222225</v>
      </c>
      <c r="BN3224" s="4">
        <v>43283.139965277776</v>
      </c>
      <c r="BO3224" s="4">
        <v>43283.139965277776</v>
      </c>
      <c r="BP3224" t="s">
        <v>92</v>
      </c>
      <c r="BQ3224" t="s">
        <v>93</v>
      </c>
      <c r="BR3224" t="s">
        <v>94</v>
      </c>
    </row>
    <row r="3225" spans="1:70" x14ac:dyDescent="0.3">
      <c r="A3225" t="str">
        <f>"202308C0100"</f>
        <v>202308C0100</v>
      </c>
      <c r="B3225" t="s">
        <v>6688</v>
      </c>
      <c r="C3225">
        <v>20</v>
      </c>
      <c r="D3225" t="s">
        <v>88</v>
      </c>
      <c r="E3225">
        <v>539</v>
      </c>
      <c r="F3225" t="s">
        <v>6672</v>
      </c>
      <c r="G3225">
        <v>2308</v>
      </c>
      <c r="H3225">
        <v>1</v>
      </c>
      <c r="I3225" t="s">
        <v>98</v>
      </c>
      <c r="J3225">
        <v>0</v>
      </c>
      <c r="K3225">
        <v>2</v>
      </c>
      <c r="L3225">
        <v>5</v>
      </c>
      <c r="M3225">
        <v>156</v>
      </c>
      <c r="N3225">
        <v>344</v>
      </c>
      <c r="O3225">
        <v>4</v>
      </c>
      <c r="P3225">
        <v>344</v>
      </c>
      <c r="Q3225">
        <v>8</v>
      </c>
      <c r="R3225">
        <v>144</v>
      </c>
      <c r="S3225">
        <v>20</v>
      </c>
      <c r="U3225">
        <v>32</v>
      </c>
      <c r="V3225">
        <v>14</v>
      </c>
      <c r="W3225">
        <v>1</v>
      </c>
      <c r="X3225">
        <v>0</v>
      </c>
      <c r="Y3225">
        <v>32</v>
      </c>
      <c r="Z3225">
        <v>2</v>
      </c>
      <c r="AB3225">
        <v>71</v>
      </c>
      <c r="AC3225">
        <v>1</v>
      </c>
      <c r="AD3225">
        <v>1</v>
      </c>
      <c r="AE3225">
        <v>0</v>
      </c>
      <c r="AF3225">
        <v>2</v>
      </c>
      <c r="AK3225">
        <v>2</v>
      </c>
      <c r="AL3225">
        <v>2</v>
      </c>
      <c r="AM3225">
        <v>0</v>
      </c>
      <c r="AN3225">
        <v>0</v>
      </c>
      <c r="BC3225">
        <v>0</v>
      </c>
      <c r="BD3225">
        <v>12</v>
      </c>
      <c r="BE3225">
        <v>344</v>
      </c>
      <c r="BF3225">
        <v>344</v>
      </c>
      <c r="BG3225">
        <v>478</v>
      </c>
      <c r="BJ3225">
        <v>1</v>
      </c>
      <c r="BL3225" t="s">
        <v>6689</v>
      </c>
      <c r="BM3225" s="4">
        <v>43283.132638888892</v>
      </c>
      <c r="BN3225" s="4">
        <v>43283.153564814813</v>
      </c>
      <c r="BO3225" s="4">
        <v>43283.153564814813</v>
      </c>
      <c r="BP3225" t="s">
        <v>92</v>
      </c>
      <c r="BQ3225" t="s">
        <v>93</v>
      </c>
      <c r="BR3225" t="s">
        <v>94</v>
      </c>
    </row>
    <row r="3226" spans="1:70" x14ac:dyDescent="0.3">
      <c r="A3226" t="str">
        <f>"202309B0100"</f>
        <v>202309B0100</v>
      </c>
      <c r="B3226" t="s">
        <v>6690</v>
      </c>
      <c r="C3226">
        <v>20</v>
      </c>
      <c r="D3226" t="s">
        <v>88</v>
      </c>
      <c r="E3226">
        <v>539</v>
      </c>
      <c r="F3226" t="s">
        <v>6672</v>
      </c>
      <c r="G3226">
        <v>2309</v>
      </c>
      <c r="H3226">
        <v>1</v>
      </c>
      <c r="I3226" t="s">
        <v>90</v>
      </c>
      <c r="J3226">
        <v>0</v>
      </c>
      <c r="K3226">
        <v>1</v>
      </c>
      <c r="L3226">
        <v>5</v>
      </c>
      <c r="M3226">
        <v>130</v>
      </c>
      <c r="N3226">
        <v>349</v>
      </c>
      <c r="O3226">
        <v>6</v>
      </c>
      <c r="P3226">
        <v>349</v>
      </c>
      <c r="Q3226">
        <v>6</v>
      </c>
      <c r="R3226">
        <v>88</v>
      </c>
      <c r="S3226">
        <v>22</v>
      </c>
      <c r="U3226">
        <v>49</v>
      </c>
      <c r="V3226">
        <v>22</v>
      </c>
      <c r="W3226">
        <v>3</v>
      </c>
      <c r="X3226">
        <v>3</v>
      </c>
      <c r="Y3226">
        <v>40</v>
      </c>
      <c r="Z3226">
        <v>1</v>
      </c>
      <c r="AB3226">
        <v>96</v>
      </c>
      <c r="AC3226">
        <v>6</v>
      </c>
      <c r="AD3226">
        <v>1</v>
      </c>
      <c r="AE3226">
        <v>0</v>
      </c>
      <c r="AF3226">
        <v>0</v>
      </c>
      <c r="AK3226">
        <v>0</v>
      </c>
      <c r="AL3226">
        <v>0</v>
      </c>
      <c r="AM3226">
        <v>0</v>
      </c>
      <c r="AN3226">
        <v>0</v>
      </c>
      <c r="BC3226">
        <v>0</v>
      </c>
      <c r="BD3226">
        <v>12</v>
      </c>
      <c r="BE3226">
        <v>349</v>
      </c>
      <c r="BF3226">
        <v>349</v>
      </c>
      <c r="BG3226">
        <v>457</v>
      </c>
      <c r="BJ3226">
        <v>1</v>
      </c>
      <c r="BL3226" t="s">
        <v>6691</v>
      </c>
      <c r="BM3226" s="4">
        <v>43283.051388888889</v>
      </c>
      <c r="BN3226" s="4">
        <v>43283.055092592593</v>
      </c>
      <c r="BO3226" s="4">
        <v>43283.055092592593</v>
      </c>
      <c r="BP3226" t="s">
        <v>92</v>
      </c>
      <c r="BQ3226" t="s">
        <v>93</v>
      </c>
      <c r="BR3226" t="s">
        <v>94</v>
      </c>
    </row>
    <row r="3227" spans="1:70" x14ac:dyDescent="0.3">
      <c r="A3227" t="str">
        <f>"202309C0100"</f>
        <v>202309C0100</v>
      </c>
      <c r="B3227" t="s">
        <v>6692</v>
      </c>
      <c r="C3227">
        <v>20</v>
      </c>
      <c r="D3227" t="s">
        <v>88</v>
      </c>
      <c r="E3227">
        <v>539</v>
      </c>
      <c r="F3227" t="s">
        <v>6672</v>
      </c>
      <c r="G3227">
        <v>2309</v>
      </c>
      <c r="H3227">
        <v>1</v>
      </c>
      <c r="I3227" t="s">
        <v>98</v>
      </c>
      <c r="J3227">
        <v>0</v>
      </c>
      <c r="K3227">
        <v>1</v>
      </c>
      <c r="L3227">
        <v>5</v>
      </c>
      <c r="M3227">
        <v>165</v>
      </c>
      <c r="N3227">
        <v>314</v>
      </c>
      <c r="O3227">
        <v>1</v>
      </c>
      <c r="P3227">
        <v>309</v>
      </c>
      <c r="Q3227">
        <v>8</v>
      </c>
      <c r="R3227">
        <v>91</v>
      </c>
      <c r="S3227">
        <v>30</v>
      </c>
      <c r="U3227">
        <v>42</v>
      </c>
      <c r="V3227">
        <v>26</v>
      </c>
      <c r="W3227">
        <v>0</v>
      </c>
      <c r="X3227">
        <v>6</v>
      </c>
      <c r="Y3227">
        <v>30</v>
      </c>
      <c r="Z3227">
        <v>0</v>
      </c>
      <c r="AB3227">
        <v>66</v>
      </c>
      <c r="AC3227">
        <v>2</v>
      </c>
      <c r="AD3227">
        <v>0</v>
      </c>
      <c r="AE3227">
        <v>0</v>
      </c>
      <c r="AF3227">
        <v>0</v>
      </c>
      <c r="AK3227">
        <v>0</v>
      </c>
      <c r="AL3227">
        <v>5</v>
      </c>
      <c r="AM3227">
        <v>1</v>
      </c>
      <c r="AN3227">
        <v>0</v>
      </c>
      <c r="BC3227">
        <v>0</v>
      </c>
      <c r="BD3227">
        <v>7</v>
      </c>
      <c r="BE3227">
        <v>314</v>
      </c>
      <c r="BF3227">
        <v>314</v>
      </c>
      <c r="BG3227">
        <v>457</v>
      </c>
      <c r="BJ3227">
        <v>1</v>
      </c>
      <c r="BL3227" t="s">
        <v>6693</v>
      </c>
      <c r="BM3227" s="4">
        <v>43283.136111111111</v>
      </c>
      <c r="BN3227" s="4">
        <v>43283.141192129631</v>
      </c>
      <c r="BO3227" s="4">
        <v>43283.141192129631</v>
      </c>
      <c r="BP3227" t="s">
        <v>92</v>
      </c>
      <c r="BQ3227" t="s">
        <v>93</v>
      </c>
      <c r="BR3227" t="s">
        <v>94</v>
      </c>
    </row>
    <row r="3228" spans="1:70" x14ac:dyDescent="0.3">
      <c r="A3228" t="str">
        <f>"202310B0100"</f>
        <v>202310B0100</v>
      </c>
      <c r="B3228" t="s">
        <v>6694</v>
      </c>
      <c r="C3228">
        <v>20</v>
      </c>
      <c r="D3228" t="s">
        <v>88</v>
      </c>
      <c r="E3228">
        <v>539</v>
      </c>
      <c r="F3228" t="s">
        <v>6672</v>
      </c>
      <c r="G3228">
        <v>2310</v>
      </c>
      <c r="H3228">
        <v>1</v>
      </c>
      <c r="I3228" t="s">
        <v>90</v>
      </c>
      <c r="J3228">
        <v>0</v>
      </c>
      <c r="K3228">
        <v>2</v>
      </c>
      <c r="L3228">
        <v>5</v>
      </c>
      <c r="M3228">
        <v>58</v>
      </c>
      <c r="N3228">
        <v>118</v>
      </c>
      <c r="O3228">
        <v>8</v>
      </c>
      <c r="P3228">
        <v>118</v>
      </c>
      <c r="Q3228">
        <v>2</v>
      </c>
      <c r="R3228">
        <v>22</v>
      </c>
      <c r="S3228">
        <v>5</v>
      </c>
      <c r="U3228">
        <v>64</v>
      </c>
      <c r="V3228">
        <v>5</v>
      </c>
      <c r="W3228">
        <v>0</v>
      </c>
      <c r="X3228">
        <v>2</v>
      </c>
      <c r="Y3228">
        <v>9</v>
      </c>
      <c r="Z3228">
        <v>0</v>
      </c>
      <c r="AB3228">
        <v>5</v>
      </c>
      <c r="AC3228">
        <v>0</v>
      </c>
      <c r="AD3228">
        <v>0</v>
      </c>
      <c r="AE3228">
        <v>0</v>
      </c>
      <c r="AF3228">
        <v>0</v>
      </c>
      <c r="AK3228">
        <v>0</v>
      </c>
      <c r="AL3228">
        <v>3</v>
      </c>
      <c r="AM3228">
        <v>0</v>
      </c>
      <c r="AN3228">
        <v>0</v>
      </c>
      <c r="BC3228">
        <v>0</v>
      </c>
      <c r="BD3228">
        <v>1</v>
      </c>
      <c r="BE3228">
        <v>118</v>
      </c>
      <c r="BF3228">
        <v>118</v>
      </c>
      <c r="BG3228">
        <v>154</v>
      </c>
      <c r="BJ3228">
        <v>1</v>
      </c>
      <c r="BL3228" t="s">
        <v>6695</v>
      </c>
      <c r="BM3228" s="4">
        <v>43283.212500000001</v>
      </c>
      <c r="BN3228" s="4">
        <v>43283.23300925926</v>
      </c>
      <c r="BO3228" s="4">
        <v>43283.23300925926</v>
      </c>
      <c r="BP3228" t="s">
        <v>92</v>
      </c>
      <c r="BQ3228" t="s">
        <v>93</v>
      </c>
      <c r="BR3228" t="s">
        <v>94</v>
      </c>
    </row>
    <row r="3229" spans="1:70" x14ac:dyDescent="0.3">
      <c r="A3229" t="str">
        <f>"202321B0100"</f>
        <v>202321B0100</v>
      </c>
      <c r="B3229" t="s">
        <v>6696</v>
      </c>
      <c r="C3229">
        <v>20</v>
      </c>
      <c r="D3229" t="s">
        <v>88</v>
      </c>
      <c r="E3229">
        <v>543</v>
      </c>
      <c r="F3229" t="s">
        <v>6697</v>
      </c>
      <c r="G3229">
        <v>2321</v>
      </c>
      <c r="H3229">
        <v>1</v>
      </c>
      <c r="I3229" t="s">
        <v>90</v>
      </c>
      <c r="J3229">
        <v>0</v>
      </c>
      <c r="K3229">
        <v>2</v>
      </c>
      <c r="L3229">
        <v>5</v>
      </c>
      <c r="M3229">
        <v>156</v>
      </c>
      <c r="N3229">
        <v>558</v>
      </c>
      <c r="O3229">
        <v>2</v>
      </c>
      <c r="P3229">
        <v>558</v>
      </c>
      <c r="Q3229">
        <v>6</v>
      </c>
      <c r="R3229">
        <v>178</v>
      </c>
      <c r="S3229">
        <v>229</v>
      </c>
      <c r="T3229">
        <v>4</v>
      </c>
      <c r="U3229">
        <v>44</v>
      </c>
      <c r="V3229">
        <v>1</v>
      </c>
      <c r="X3229">
        <v>6</v>
      </c>
      <c r="Y3229">
        <v>52</v>
      </c>
      <c r="Z3229">
        <v>4</v>
      </c>
      <c r="AA3229" t="s">
        <v>105</v>
      </c>
      <c r="AC3229">
        <v>3</v>
      </c>
      <c r="AD3229" t="s">
        <v>105</v>
      </c>
      <c r="AE3229" t="s">
        <v>105</v>
      </c>
      <c r="AF3229">
        <v>1</v>
      </c>
      <c r="AG3229">
        <v>5</v>
      </c>
      <c r="AH3229">
        <v>3</v>
      </c>
      <c r="AI3229" t="s">
        <v>105</v>
      </c>
      <c r="AJ3229" t="s">
        <v>105</v>
      </c>
      <c r="AK3229">
        <v>2</v>
      </c>
      <c r="AL3229">
        <v>2</v>
      </c>
      <c r="AM3229" t="s">
        <v>105</v>
      </c>
      <c r="AN3229" t="s">
        <v>105</v>
      </c>
      <c r="BC3229" t="s">
        <v>105</v>
      </c>
      <c r="BD3229">
        <v>18</v>
      </c>
      <c r="BE3229" t="s">
        <v>105</v>
      </c>
      <c r="BF3229">
        <v>558</v>
      </c>
      <c r="BG3229">
        <v>692</v>
      </c>
      <c r="BI3229" t="s">
        <v>106</v>
      </c>
      <c r="BJ3229">
        <v>1</v>
      </c>
      <c r="BL3229" t="s">
        <v>6698</v>
      </c>
      <c r="BM3229" s="4">
        <v>43283.216666666667</v>
      </c>
      <c r="BN3229" s="4">
        <v>43283.238113425927</v>
      </c>
      <c r="BO3229" s="4">
        <v>43283.238113425927</v>
      </c>
      <c r="BP3229" t="s">
        <v>92</v>
      </c>
      <c r="BQ3229" t="s">
        <v>93</v>
      </c>
      <c r="BR3229" t="s">
        <v>94</v>
      </c>
    </row>
    <row r="3230" spans="1:70" x14ac:dyDescent="0.3">
      <c r="A3230" t="str">
        <f>"202322B0100"</f>
        <v>202322B0100</v>
      </c>
      <c r="B3230" t="s">
        <v>6699</v>
      </c>
      <c r="C3230">
        <v>20</v>
      </c>
      <c r="D3230" t="s">
        <v>88</v>
      </c>
      <c r="E3230">
        <v>543</v>
      </c>
      <c r="F3230" t="s">
        <v>6697</v>
      </c>
      <c r="G3230">
        <v>2322</v>
      </c>
      <c r="H3230">
        <v>1</v>
      </c>
      <c r="I3230" t="s">
        <v>90</v>
      </c>
      <c r="J3230">
        <v>0</v>
      </c>
      <c r="K3230">
        <v>2</v>
      </c>
      <c r="L3230">
        <v>5</v>
      </c>
      <c r="M3230">
        <v>86</v>
      </c>
      <c r="N3230">
        <v>314</v>
      </c>
      <c r="O3230">
        <v>3</v>
      </c>
      <c r="P3230">
        <v>314</v>
      </c>
      <c r="Q3230">
        <v>1</v>
      </c>
      <c r="R3230">
        <v>97</v>
      </c>
      <c r="S3230">
        <v>149</v>
      </c>
      <c r="T3230">
        <v>1</v>
      </c>
      <c r="U3230">
        <v>14</v>
      </c>
      <c r="V3230">
        <v>2</v>
      </c>
      <c r="X3230">
        <v>5</v>
      </c>
      <c r="Y3230">
        <v>15</v>
      </c>
      <c r="Z3230">
        <v>1</v>
      </c>
      <c r="AA3230">
        <v>0</v>
      </c>
      <c r="AC3230">
        <v>1</v>
      </c>
      <c r="AD3230">
        <v>7</v>
      </c>
      <c r="AE3230">
        <v>0</v>
      </c>
      <c r="AF3230">
        <v>4</v>
      </c>
      <c r="AG3230">
        <v>2</v>
      </c>
      <c r="AH3230">
        <v>1</v>
      </c>
      <c r="AI3230">
        <v>1</v>
      </c>
      <c r="AJ3230">
        <v>0</v>
      </c>
      <c r="AK3230">
        <v>0</v>
      </c>
      <c r="AL3230">
        <v>0</v>
      </c>
      <c r="AM3230">
        <v>0</v>
      </c>
      <c r="AN3230">
        <v>0</v>
      </c>
      <c r="BC3230">
        <v>0</v>
      </c>
      <c r="BD3230">
        <v>13</v>
      </c>
      <c r="BE3230">
        <v>314</v>
      </c>
      <c r="BF3230">
        <v>314</v>
      </c>
      <c r="BG3230">
        <v>379</v>
      </c>
      <c r="BJ3230">
        <v>1</v>
      </c>
      <c r="BL3230" t="s">
        <v>6700</v>
      </c>
      <c r="BM3230" s="4">
        <v>43283.216666666667</v>
      </c>
      <c r="BN3230" s="4">
        <v>43283.238553240742</v>
      </c>
      <c r="BO3230" s="4">
        <v>43283.238553240742</v>
      </c>
      <c r="BP3230" t="s">
        <v>92</v>
      </c>
      <c r="BQ3230" t="s">
        <v>93</v>
      </c>
      <c r="BR3230" t="s">
        <v>94</v>
      </c>
    </row>
    <row r="3231" spans="1:70" x14ac:dyDescent="0.3">
      <c r="A3231" t="str">
        <f>"202322C0100"</f>
        <v>202322C0100</v>
      </c>
      <c r="B3231" t="s">
        <v>6701</v>
      </c>
      <c r="C3231">
        <v>20</v>
      </c>
      <c r="D3231" t="s">
        <v>88</v>
      </c>
      <c r="E3231">
        <v>543</v>
      </c>
      <c r="F3231" t="s">
        <v>6697</v>
      </c>
      <c r="G3231">
        <v>2322</v>
      </c>
      <c r="H3231">
        <v>1</v>
      </c>
      <c r="I3231" t="s">
        <v>98</v>
      </c>
      <c r="J3231">
        <v>0</v>
      </c>
      <c r="K3231">
        <v>2</v>
      </c>
      <c r="L3231">
        <v>5</v>
      </c>
      <c r="M3231">
        <v>87</v>
      </c>
      <c r="N3231">
        <v>314</v>
      </c>
      <c r="O3231">
        <v>4</v>
      </c>
      <c r="P3231">
        <v>0</v>
      </c>
      <c r="Q3231">
        <v>1</v>
      </c>
      <c r="R3231">
        <v>76</v>
      </c>
      <c r="S3231">
        <v>172</v>
      </c>
      <c r="T3231">
        <v>4</v>
      </c>
      <c r="U3231">
        <v>8</v>
      </c>
      <c r="V3231">
        <v>5</v>
      </c>
      <c r="X3231">
        <v>3</v>
      </c>
      <c r="Y3231">
        <v>18</v>
      </c>
      <c r="Z3231">
        <v>3</v>
      </c>
      <c r="AA3231">
        <v>0</v>
      </c>
      <c r="AC3231">
        <v>4</v>
      </c>
      <c r="AD3231">
        <v>0</v>
      </c>
      <c r="AE3231">
        <v>0</v>
      </c>
      <c r="AF3231">
        <v>2</v>
      </c>
      <c r="AG3231">
        <v>3</v>
      </c>
      <c r="AH3231">
        <v>0</v>
      </c>
      <c r="AI3231">
        <v>1</v>
      </c>
      <c r="AJ3231">
        <v>0</v>
      </c>
      <c r="AK3231">
        <v>0</v>
      </c>
      <c r="AL3231">
        <v>0</v>
      </c>
      <c r="AM3231">
        <v>0</v>
      </c>
      <c r="AN3231">
        <v>0</v>
      </c>
      <c r="BC3231">
        <v>0</v>
      </c>
      <c r="BD3231">
        <v>13</v>
      </c>
      <c r="BE3231">
        <v>313</v>
      </c>
      <c r="BF3231">
        <v>313</v>
      </c>
      <c r="BG3231">
        <v>378</v>
      </c>
      <c r="BJ3231">
        <v>1</v>
      </c>
      <c r="BL3231" t="s">
        <v>6702</v>
      </c>
      <c r="BM3231" s="4">
        <v>43283.216666666667</v>
      </c>
      <c r="BN3231" s="4">
        <v>43283.240300925929</v>
      </c>
      <c r="BO3231" s="4">
        <v>43283.240300925929</v>
      </c>
      <c r="BP3231" t="s">
        <v>92</v>
      </c>
      <c r="BQ3231" t="s">
        <v>93</v>
      </c>
      <c r="BR3231" t="s">
        <v>94</v>
      </c>
    </row>
    <row r="3232" spans="1:70" x14ac:dyDescent="0.3">
      <c r="A3232" t="str">
        <f>"202323B0100"</f>
        <v>202323B0100</v>
      </c>
      <c r="B3232" t="s">
        <v>6703</v>
      </c>
      <c r="C3232">
        <v>20</v>
      </c>
      <c r="D3232" t="s">
        <v>88</v>
      </c>
      <c r="E3232">
        <v>543</v>
      </c>
      <c r="F3232" t="s">
        <v>6697</v>
      </c>
      <c r="G3232">
        <v>2323</v>
      </c>
      <c r="H3232">
        <v>1</v>
      </c>
      <c r="I3232" t="s">
        <v>90</v>
      </c>
      <c r="J3232">
        <v>0</v>
      </c>
      <c r="K3232">
        <v>2</v>
      </c>
      <c r="L3232">
        <v>5</v>
      </c>
      <c r="M3232">
        <v>115</v>
      </c>
      <c r="N3232">
        <v>287</v>
      </c>
      <c r="O3232">
        <v>6</v>
      </c>
      <c r="P3232">
        <v>287</v>
      </c>
      <c r="Q3232">
        <v>2</v>
      </c>
      <c r="R3232">
        <v>87</v>
      </c>
      <c r="S3232">
        <v>106</v>
      </c>
      <c r="T3232">
        <v>2</v>
      </c>
      <c r="U3232">
        <v>20</v>
      </c>
      <c r="V3232">
        <v>3</v>
      </c>
      <c r="X3232">
        <v>6</v>
      </c>
      <c r="Y3232">
        <v>35</v>
      </c>
      <c r="Z3232">
        <v>6</v>
      </c>
      <c r="AA3232">
        <v>2</v>
      </c>
      <c r="AC3232">
        <v>2</v>
      </c>
      <c r="AD3232">
        <v>0</v>
      </c>
      <c r="AE3232">
        <v>0</v>
      </c>
      <c r="AF3232">
        <v>1</v>
      </c>
      <c r="AG3232">
        <v>0</v>
      </c>
      <c r="AH3232">
        <v>0</v>
      </c>
      <c r="AI3232">
        <v>0</v>
      </c>
      <c r="AJ3232">
        <v>0</v>
      </c>
      <c r="AK3232">
        <v>0</v>
      </c>
      <c r="AL3232">
        <v>0</v>
      </c>
      <c r="AM3232">
        <v>0</v>
      </c>
      <c r="AN3232">
        <v>1</v>
      </c>
      <c r="BC3232">
        <v>0</v>
      </c>
      <c r="BD3232">
        <v>14</v>
      </c>
      <c r="BE3232">
        <v>287</v>
      </c>
      <c r="BF3232">
        <v>287</v>
      </c>
      <c r="BG3232">
        <v>380</v>
      </c>
      <c r="BJ3232">
        <v>1</v>
      </c>
      <c r="BL3232" t="s">
        <v>6704</v>
      </c>
      <c r="BM3232" s="4">
        <v>43283.217361111114</v>
      </c>
      <c r="BN3232" s="4">
        <v>43283.239432870374</v>
      </c>
      <c r="BO3232" s="4">
        <v>43283.239432870374</v>
      </c>
      <c r="BP3232" t="s">
        <v>92</v>
      </c>
      <c r="BQ3232" t="s">
        <v>93</v>
      </c>
      <c r="BR3232" t="s">
        <v>94</v>
      </c>
    </row>
    <row r="3233" spans="1:70" x14ac:dyDescent="0.3">
      <c r="A3233" t="str">
        <f>"202325B0100"</f>
        <v>202325B0100</v>
      </c>
      <c r="B3233" t="s">
        <v>6705</v>
      </c>
      <c r="C3233">
        <v>20</v>
      </c>
      <c r="D3233" t="s">
        <v>88</v>
      </c>
      <c r="E3233">
        <v>545</v>
      </c>
      <c r="F3233" t="s">
        <v>6706</v>
      </c>
      <c r="G3233">
        <v>2325</v>
      </c>
      <c r="H3233">
        <v>1</v>
      </c>
      <c r="I3233" t="s">
        <v>90</v>
      </c>
      <c r="J3233">
        <v>0</v>
      </c>
      <c r="K3233">
        <v>2</v>
      </c>
      <c r="L3233">
        <v>5</v>
      </c>
      <c r="M3233">
        <v>217</v>
      </c>
      <c r="N3233">
        <v>664</v>
      </c>
      <c r="O3233">
        <v>0</v>
      </c>
      <c r="P3233">
        <v>447</v>
      </c>
      <c r="Q3233">
        <v>7</v>
      </c>
      <c r="R3233">
        <v>51</v>
      </c>
      <c r="S3233">
        <v>20</v>
      </c>
      <c r="T3233">
        <v>2</v>
      </c>
      <c r="U3233">
        <v>1</v>
      </c>
      <c r="V3233">
        <v>4</v>
      </c>
      <c r="W3233">
        <v>38</v>
      </c>
      <c r="X3233">
        <v>5</v>
      </c>
      <c r="Y3233">
        <v>31</v>
      </c>
      <c r="Z3233">
        <v>9</v>
      </c>
      <c r="AA3233">
        <v>137</v>
      </c>
      <c r="AB3233">
        <v>5</v>
      </c>
      <c r="AC3233">
        <v>0</v>
      </c>
      <c r="AD3233">
        <v>0</v>
      </c>
      <c r="AE3233">
        <v>0</v>
      </c>
      <c r="AF3233">
        <v>0</v>
      </c>
      <c r="AG3233">
        <v>1</v>
      </c>
      <c r="AH3233">
        <v>0</v>
      </c>
      <c r="AI3233">
        <v>1</v>
      </c>
      <c r="AJ3233">
        <v>0</v>
      </c>
      <c r="AK3233">
        <v>1</v>
      </c>
      <c r="AL3233">
        <v>1</v>
      </c>
      <c r="AM3233">
        <v>1</v>
      </c>
      <c r="AN3233">
        <v>1</v>
      </c>
      <c r="AZ3233">
        <v>112</v>
      </c>
      <c r="BC3233">
        <v>0</v>
      </c>
      <c r="BD3233">
        <v>19</v>
      </c>
      <c r="BE3233">
        <v>447</v>
      </c>
      <c r="BF3233">
        <v>447</v>
      </c>
      <c r="BG3233">
        <v>641</v>
      </c>
      <c r="BJ3233">
        <v>1</v>
      </c>
      <c r="BL3233" t="s">
        <v>6707</v>
      </c>
      <c r="BM3233" s="4">
        <v>43283.24722222222</v>
      </c>
      <c r="BN3233" s="4">
        <v>43283.272893518515</v>
      </c>
      <c r="BO3233" s="4">
        <v>43283.272893518515</v>
      </c>
      <c r="BP3233" t="s">
        <v>92</v>
      </c>
      <c r="BQ3233" t="s">
        <v>93</v>
      </c>
      <c r="BR3233" t="s">
        <v>94</v>
      </c>
    </row>
    <row r="3234" spans="1:70" x14ac:dyDescent="0.3">
      <c r="A3234" t="str">
        <f>"202325C0100"</f>
        <v>202325C0100</v>
      </c>
      <c r="B3234" t="s">
        <v>6708</v>
      </c>
      <c r="C3234">
        <v>20</v>
      </c>
      <c r="D3234" t="s">
        <v>88</v>
      </c>
      <c r="E3234">
        <v>545</v>
      </c>
      <c r="F3234" t="s">
        <v>6706</v>
      </c>
      <c r="G3234">
        <v>2325</v>
      </c>
      <c r="H3234">
        <v>1</v>
      </c>
      <c r="I3234" t="s">
        <v>98</v>
      </c>
      <c r="J3234">
        <v>0</v>
      </c>
      <c r="K3234">
        <v>2</v>
      </c>
      <c r="L3234">
        <v>5</v>
      </c>
      <c r="M3234">
        <v>163</v>
      </c>
      <c r="N3234">
        <v>501</v>
      </c>
      <c r="O3234">
        <v>6</v>
      </c>
      <c r="P3234">
        <v>501</v>
      </c>
      <c r="Q3234">
        <v>5</v>
      </c>
      <c r="R3234">
        <v>55</v>
      </c>
      <c r="S3234">
        <v>36</v>
      </c>
      <c r="T3234">
        <v>5</v>
      </c>
      <c r="U3234">
        <v>1</v>
      </c>
      <c r="V3234">
        <v>1</v>
      </c>
      <c r="W3234">
        <v>22</v>
      </c>
      <c r="X3234">
        <v>9</v>
      </c>
      <c r="Y3234">
        <v>46</v>
      </c>
      <c r="Z3234">
        <v>5</v>
      </c>
      <c r="AA3234">
        <v>187</v>
      </c>
      <c r="AB3234">
        <v>14</v>
      </c>
      <c r="AC3234">
        <v>0</v>
      </c>
      <c r="AD3234">
        <v>0</v>
      </c>
      <c r="AE3234">
        <v>1</v>
      </c>
      <c r="AF3234">
        <v>0</v>
      </c>
      <c r="AG3234">
        <v>1</v>
      </c>
      <c r="AH3234">
        <v>1</v>
      </c>
      <c r="AI3234">
        <v>0</v>
      </c>
      <c r="AJ3234">
        <v>0</v>
      </c>
      <c r="AK3234">
        <v>1</v>
      </c>
      <c r="AL3234">
        <v>0</v>
      </c>
      <c r="AM3234">
        <v>0</v>
      </c>
      <c r="AN3234">
        <v>1</v>
      </c>
      <c r="AZ3234">
        <v>101</v>
      </c>
      <c r="BC3234">
        <v>0</v>
      </c>
      <c r="BD3234">
        <v>9</v>
      </c>
      <c r="BE3234">
        <v>501</v>
      </c>
      <c r="BF3234">
        <v>501</v>
      </c>
      <c r="BG3234">
        <v>641</v>
      </c>
      <c r="BJ3234">
        <v>1</v>
      </c>
      <c r="BL3234" t="s">
        <v>6709</v>
      </c>
      <c r="BM3234" s="4">
        <v>43283.249305555553</v>
      </c>
      <c r="BN3234" s="4">
        <v>43283.276307870372</v>
      </c>
      <c r="BO3234" s="4">
        <v>43283.276307870372</v>
      </c>
      <c r="BP3234" t="s">
        <v>92</v>
      </c>
      <c r="BQ3234" t="s">
        <v>93</v>
      </c>
      <c r="BR3234" t="s">
        <v>94</v>
      </c>
    </row>
    <row r="3235" spans="1:70" x14ac:dyDescent="0.3">
      <c r="A3235" t="str">
        <f>"202325S0100"</f>
        <v>202325S0100</v>
      </c>
      <c r="B3235" t="s">
        <v>6710</v>
      </c>
      <c r="C3235">
        <v>20</v>
      </c>
      <c r="D3235" t="s">
        <v>88</v>
      </c>
      <c r="E3235">
        <v>545</v>
      </c>
      <c r="F3235" t="s">
        <v>6706</v>
      </c>
      <c r="G3235">
        <v>2325</v>
      </c>
      <c r="H3235">
        <v>1</v>
      </c>
      <c r="I3235" t="s">
        <v>113</v>
      </c>
      <c r="J3235">
        <v>0</v>
      </c>
      <c r="K3235">
        <v>2</v>
      </c>
      <c r="L3235">
        <v>6</v>
      </c>
      <c r="M3235">
        <v>751</v>
      </c>
      <c r="N3235">
        <v>22</v>
      </c>
      <c r="O3235">
        <v>0</v>
      </c>
      <c r="P3235">
        <v>22</v>
      </c>
      <c r="Q3235">
        <v>0</v>
      </c>
      <c r="R3235">
        <v>2</v>
      </c>
      <c r="S3235">
        <v>0</v>
      </c>
      <c r="T3235">
        <v>0</v>
      </c>
      <c r="U3235">
        <v>0</v>
      </c>
      <c r="V3235">
        <v>0</v>
      </c>
      <c r="W3235">
        <v>2</v>
      </c>
      <c r="X3235">
        <v>1</v>
      </c>
      <c r="Y3235">
        <v>6</v>
      </c>
      <c r="Z3235">
        <v>1</v>
      </c>
      <c r="AA3235">
        <v>3</v>
      </c>
      <c r="AB3235">
        <v>1</v>
      </c>
      <c r="AC3235">
        <v>0</v>
      </c>
      <c r="AD3235">
        <v>0</v>
      </c>
      <c r="AE3235">
        <v>0</v>
      </c>
      <c r="AF3235">
        <v>0</v>
      </c>
      <c r="AG3235">
        <v>0</v>
      </c>
      <c r="AH3235">
        <v>0</v>
      </c>
      <c r="AI3235">
        <v>0</v>
      </c>
      <c r="AJ3235">
        <v>0</v>
      </c>
      <c r="AK3235">
        <v>1</v>
      </c>
      <c r="AL3235">
        <v>0</v>
      </c>
      <c r="AM3235">
        <v>0</v>
      </c>
      <c r="AN3235">
        <v>0</v>
      </c>
      <c r="AZ3235">
        <v>4</v>
      </c>
      <c r="BC3235">
        <v>0</v>
      </c>
      <c r="BD3235">
        <v>1</v>
      </c>
      <c r="BE3235">
        <v>22</v>
      </c>
      <c r="BF3235">
        <v>22</v>
      </c>
      <c r="BG3235">
        <v>0</v>
      </c>
      <c r="BJ3235">
        <v>1</v>
      </c>
      <c r="BL3235" t="s">
        <v>6711</v>
      </c>
      <c r="BM3235" s="4">
        <v>43283.250694444447</v>
      </c>
      <c r="BN3235" s="4">
        <v>43283.280266203707</v>
      </c>
      <c r="BO3235" s="4">
        <v>43283.280266203707</v>
      </c>
      <c r="BP3235" t="s">
        <v>92</v>
      </c>
      <c r="BQ3235" t="s">
        <v>93</v>
      </c>
      <c r="BR3235" t="s">
        <v>94</v>
      </c>
    </row>
    <row r="3236" spans="1:70" x14ac:dyDescent="0.3">
      <c r="A3236" t="str">
        <f>"202326B0100"</f>
        <v>202326B0100</v>
      </c>
      <c r="B3236" t="s">
        <v>6712</v>
      </c>
      <c r="C3236">
        <v>20</v>
      </c>
      <c r="D3236" t="s">
        <v>88</v>
      </c>
      <c r="E3236">
        <v>545</v>
      </c>
      <c r="F3236" t="s">
        <v>6706</v>
      </c>
      <c r="G3236">
        <v>2326</v>
      </c>
      <c r="H3236">
        <v>1</v>
      </c>
      <c r="I3236" t="s">
        <v>90</v>
      </c>
      <c r="J3236">
        <v>0</v>
      </c>
      <c r="K3236">
        <v>2</v>
      </c>
      <c r="L3236">
        <v>5</v>
      </c>
      <c r="M3236">
        <v>197</v>
      </c>
      <c r="N3236">
        <v>484</v>
      </c>
      <c r="O3236">
        <v>2</v>
      </c>
      <c r="P3236">
        <v>484</v>
      </c>
      <c r="Q3236">
        <v>3</v>
      </c>
      <c r="R3236">
        <v>65</v>
      </c>
      <c r="S3236">
        <v>34</v>
      </c>
      <c r="T3236">
        <v>4</v>
      </c>
      <c r="U3236">
        <v>3</v>
      </c>
      <c r="V3236">
        <v>3</v>
      </c>
      <c r="W3236">
        <v>22</v>
      </c>
      <c r="X3236">
        <v>11</v>
      </c>
      <c r="Y3236">
        <v>45</v>
      </c>
      <c r="Z3236">
        <v>6</v>
      </c>
      <c r="AA3236">
        <v>159</v>
      </c>
      <c r="AB3236">
        <v>21</v>
      </c>
      <c r="AC3236">
        <v>0</v>
      </c>
      <c r="AD3236">
        <v>1</v>
      </c>
      <c r="AE3236">
        <v>0</v>
      </c>
      <c r="AF3236">
        <v>1</v>
      </c>
      <c r="AG3236">
        <v>8</v>
      </c>
      <c r="AH3236">
        <v>4</v>
      </c>
      <c r="AI3236">
        <v>2</v>
      </c>
      <c r="AJ3236">
        <v>0</v>
      </c>
      <c r="AK3236">
        <v>2</v>
      </c>
      <c r="AL3236">
        <v>1</v>
      </c>
      <c r="AM3236">
        <v>0</v>
      </c>
      <c r="AN3236">
        <v>1</v>
      </c>
      <c r="AZ3236">
        <v>68</v>
      </c>
      <c r="BC3236">
        <v>0</v>
      </c>
      <c r="BD3236">
        <v>20</v>
      </c>
      <c r="BE3236">
        <v>484</v>
      </c>
      <c r="BF3236">
        <v>484</v>
      </c>
      <c r="BG3236">
        <v>659</v>
      </c>
      <c r="BJ3236">
        <v>1</v>
      </c>
      <c r="BL3236" t="s">
        <v>6713</v>
      </c>
      <c r="BM3236" s="4">
        <v>43283.24722222222</v>
      </c>
      <c r="BN3236" s="4">
        <v>43283.273310185185</v>
      </c>
      <c r="BO3236" s="4">
        <v>43283.273310185185</v>
      </c>
      <c r="BP3236" t="s">
        <v>92</v>
      </c>
      <c r="BQ3236" t="s">
        <v>93</v>
      </c>
      <c r="BR3236" t="s">
        <v>94</v>
      </c>
    </row>
    <row r="3237" spans="1:70" x14ac:dyDescent="0.3">
      <c r="A3237" t="str">
        <f>"202326C0100"</f>
        <v>202326C0100</v>
      </c>
      <c r="B3237" t="s">
        <v>6714</v>
      </c>
      <c r="C3237">
        <v>20</v>
      </c>
      <c r="D3237" t="s">
        <v>88</v>
      </c>
      <c r="E3237">
        <v>545</v>
      </c>
      <c r="F3237" t="s">
        <v>6706</v>
      </c>
      <c r="G3237">
        <v>2326</v>
      </c>
      <c r="H3237">
        <v>1</v>
      </c>
      <c r="I3237" t="s">
        <v>98</v>
      </c>
      <c r="J3237">
        <v>0</v>
      </c>
      <c r="K3237">
        <v>2</v>
      </c>
      <c r="L3237">
        <v>5</v>
      </c>
      <c r="M3237">
        <v>203</v>
      </c>
      <c r="N3237">
        <v>478</v>
      </c>
      <c r="O3237">
        <v>0</v>
      </c>
      <c r="P3237">
        <v>478</v>
      </c>
      <c r="Q3237">
        <v>13</v>
      </c>
      <c r="R3237">
        <v>72</v>
      </c>
      <c r="S3237">
        <v>51</v>
      </c>
      <c r="T3237">
        <v>4</v>
      </c>
      <c r="U3237">
        <v>6</v>
      </c>
      <c r="V3237">
        <v>2</v>
      </c>
      <c r="W3237">
        <v>23</v>
      </c>
      <c r="X3237">
        <v>7</v>
      </c>
      <c r="Y3237">
        <v>33</v>
      </c>
      <c r="Z3237">
        <v>10</v>
      </c>
      <c r="AA3237">
        <v>133</v>
      </c>
      <c r="AB3237">
        <v>18</v>
      </c>
      <c r="AC3237">
        <v>0</v>
      </c>
      <c r="AD3237">
        <v>0</v>
      </c>
      <c r="AE3237">
        <v>0</v>
      </c>
      <c r="AF3237">
        <v>0</v>
      </c>
      <c r="AG3237">
        <v>2</v>
      </c>
      <c r="AH3237">
        <v>0</v>
      </c>
      <c r="AI3237">
        <v>0</v>
      </c>
      <c r="AJ3237">
        <v>0</v>
      </c>
      <c r="AK3237">
        <v>5</v>
      </c>
      <c r="AL3237">
        <v>0</v>
      </c>
      <c r="AM3237">
        <v>0</v>
      </c>
      <c r="AN3237">
        <v>2</v>
      </c>
      <c r="AZ3237">
        <v>65</v>
      </c>
      <c r="BC3237">
        <v>0</v>
      </c>
      <c r="BD3237">
        <v>32</v>
      </c>
      <c r="BE3237">
        <v>478</v>
      </c>
      <c r="BF3237">
        <v>478</v>
      </c>
      <c r="BG3237">
        <v>658</v>
      </c>
      <c r="BJ3237">
        <v>1</v>
      </c>
      <c r="BL3237" t="s">
        <v>6715</v>
      </c>
      <c r="BM3237" s="4">
        <v>43283.25</v>
      </c>
      <c r="BN3237" s="4">
        <v>43283.275578703702</v>
      </c>
      <c r="BO3237" s="4">
        <v>43283.275578703702</v>
      </c>
      <c r="BP3237" t="s">
        <v>92</v>
      </c>
      <c r="BQ3237" t="s">
        <v>93</v>
      </c>
      <c r="BR3237" t="s">
        <v>94</v>
      </c>
    </row>
    <row r="3238" spans="1:70" x14ac:dyDescent="0.3">
      <c r="A3238" t="str">
        <f>"202326C0200"</f>
        <v>202326C0200</v>
      </c>
      <c r="B3238" t="s">
        <v>6716</v>
      </c>
      <c r="C3238">
        <v>20</v>
      </c>
      <c r="D3238" t="s">
        <v>88</v>
      </c>
      <c r="E3238">
        <v>545</v>
      </c>
      <c r="F3238" t="s">
        <v>6706</v>
      </c>
      <c r="G3238">
        <v>2326</v>
      </c>
      <c r="H3238">
        <v>2</v>
      </c>
      <c r="I3238" t="s">
        <v>98</v>
      </c>
      <c r="J3238">
        <v>0</v>
      </c>
      <c r="K3238">
        <v>2</v>
      </c>
      <c r="L3238">
        <v>5</v>
      </c>
      <c r="M3238" t="s">
        <v>105</v>
      </c>
      <c r="N3238" t="s">
        <v>105</v>
      </c>
      <c r="O3238" t="s">
        <v>105</v>
      </c>
      <c r="P3238" t="s">
        <v>105</v>
      </c>
      <c r="Q3238" t="s">
        <v>105</v>
      </c>
      <c r="R3238" t="s">
        <v>105</v>
      </c>
      <c r="S3238" t="s">
        <v>105</v>
      </c>
      <c r="T3238" t="s">
        <v>105</v>
      </c>
      <c r="U3238" t="s">
        <v>105</v>
      </c>
      <c r="V3238" t="s">
        <v>105</v>
      </c>
      <c r="W3238" t="s">
        <v>105</v>
      </c>
      <c r="X3238" t="s">
        <v>105</v>
      </c>
      <c r="Y3238" t="s">
        <v>105</v>
      </c>
      <c r="Z3238" t="s">
        <v>105</v>
      </c>
      <c r="AA3238" t="s">
        <v>105</v>
      </c>
      <c r="AB3238" t="s">
        <v>105</v>
      </c>
      <c r="AC3238" t="s">
        <v>105</v>
      </c>
      <c r="AD3238" t="s">
        <v>105</v>
      </c>
      <c r="AE3238" t="s">
        <v>105</v>
      </c>
      <c r="AF3238" t="s">
        <v>105</v>
      </c>
      <c r="AG3238" t="s">
        <v>105</v>
      </c>
      <c r="AH3238" t="s">
        <v>105</v>
      </c>
      <c r="AI3238" t="s">
        <v>105</v>
      </c>
      <c r="AJ3238" t="s">
        <v>105</v>
      </c>
      <c r="AK3238" t="s">
        <v>105</v>
      </c>
      <c r="AL3238" t="s">
        <v>105</v>
      </c>
      <c r="AM3238" t="s">
        <v>105</v>
      </c>
      <c r="AN3238" t="s">
        <v>105</v>
      </c>
      <c r="AZ3238" t="s">
        <v>105</v>
      </c>
      <c r="BC3238" t="s">
        <v>105</v>
      </c>
      <c r="BD3238" t="s">
        <v>105</v>
      </c>
      <c r="BG3238">
        <v>658</v>
      </c>
      <c r="BI3238" t="s">
        <v>1244</v>
      </c>
      <c r="BJ3238">
        <v>0</v>
      </c>
      <c r="BL3238" t="s">
        <v>6717</v>
      </c>
      <c r="BM3238" s="4">
        <v>43283.249305555553</v>
      </c>
      <c r="BN3238" s="4">
        <v>43283.29179398148</v>
      </c>
      <c r="BO3238" s="4">
        <v>43283.29179398148</v>
      </c>
      <c r="BP3238" t="s">
        <v>92</v>
      </c>
      <c r="BQ3238" t="s">
        <v>93</v>
      </c>
      <c r="BR3238" t="s">
        <v>94</v>
      </c>
    </row>
    <row r="3239" spans="1:70" x14ac:dyDescent="0.3">
      <c r="A3239" t="str">
        <f>"202326E0100"</f>
        <v>202326E0100</v>
      </c>
      <c r="B3239" s="2" t="s">
        <v>6718</v>
      </c>
      <c r="C3239">
        <v>20</v>
      </c>
      <c r="D3239" t="s">
        <v>88</v>
      </c>
      <c r="E3239">
        <v>545</v>
      </c>
      <c r="F3239" t="s">
        <v>6706</v>
      </c>
      <c r="G3239">
        <v>2326</v>
      </c>
      <c r="H3239">
        <v>1</v>
      </c>
      <c r="I3239" t="s">
        <v>156</v>
      </c>
      <c r="J3239">
        <v>0</v>
      </c>
      <c r="K3239">
        <v>2</v>
      </c>
      <c r="L3239">
        <v>5</v>
      </c>
      <c r="M3239">
        <v>37</v>
      </c>
      <c r="N3239">
        <v>92</v>
      </c>
      <c r="O3239">
        <v>3</v>
      </c>
      <c r="P3239">
        <v>92</v>
      </c>
      <c r="Q3239">
        <v>1</v>
      </c>
      <c r="R3239">
        <v>1</v>
      </c>
      <c r="S3239">
        <v>16</v>
      </c>
      <c r="T3239">
        <v>1</v>
      </c>
      <c r="U3239">
        <v>0</v>
      </c>
      <c r="V3239">
        <v>0</v>
      </c>
      <c r="W3239">
        <v>0</v>
      </c>
      <c r="X3239">
        <v>21</v>
      </c>
      <c r="Y3239">
        <v>3</v>
      </c>
      <c r="Z3239">
        <v>0</v>
      </c>
      <c r="AA3239">
        <v>37</v>
      </c>
      <c r="AB3239">
        <v>0</v>
      </c>
      <c r="AC3239">
        <v>0</v>
      </c>
      <c r="AD3239">
        <v>0</v>
      </c>
      <c r="AE3239">
        <v>0</v>
      </c>
      <c r="AF3239">
        <v>0</v>
      </c>
      <c r="AG3239">
        <v>0</v>
      </c>
      <c r="AH3239">
        <v>0</v>
      </c>
      <c r="AI3239">
        <v>0</v>
      </c>
      <c r="AJ3239">
        <v>0</v>
      </c>
      <c r="AK3239">
        <v>0</v>
      </c>
      <c r="AL3239">
        <v>0</v>
      </c>
      <c r="AM3239">
        <v>0</v>
      </c>
      <c r="AN3239">
        <v>0</v>
      </c>
      <c r="AZ3239">
        <v>6</v>
      </c>
      <c r="BC3239">
        <v>0</v>
      </c>
      <c r="BD3239">
        <v>6</v>
      </c>
      <c r="BE3239">
        <v>92</v>
      </c>
      <c r="BF3239">
        <v>92</v>
      </c>
      <c r="BG3239">
        <v>106</v>
      </c>
      <c r="BJ3239">
        <v>1</v>
      </c>
      <c r="BL3239" t="s">
        <v>6719</v>
      </c>
      <c r="BM3239" s="4">
        <v>43283.250694444447</v>
      </c>
      <c r="BN3239" s="4">
        <v>43283.277418981481</v>
      </c>
      <c r="BO3239" s="4">
        <v>43283.277418981481</v>
      </c>
      <c r="BP3239" t="s">
        <v>92</v>
      </c>
      <c r="BQ3239" t="s">
        <v>93</v>
      </c>
      <c r="BR3239" t="s">
        <v>94</v>
      </c>
    </row>
    <row r="3240" spans="1:70" x14ac:dyDescent="0.3">
      <c r="A3240" t="str">
        <f>"202327B0100"</f>
        <v>202327B0100</v>
      </c>
      <c r="B3240" t="s">
        <v>6720</v>
      </c>
      <c r="C3240">
        <v>20</v>
      </c>
      <c r="D3240" t="s">
        <v>88</v>
      </c>
      <c r="E3240">
        <v>545</v>
      </c>
      <c r="F3240" t="s">
        <v>6706</v>
      </c>
      <c r="G3240">
        <v>2327</v>
      </c>
      <c r="H3240">
        <v>1</v>
      </c>
      <c r="I3240" t="s">
        <v>90</v>
      </c>
      <c r="J3240">
        <v>0</v>
      </c>
      <c r="K3240">
        <v>1</v>
      </c>
      <c r="L3240">
        <v>5</v>
      </c>
      <c r="M3240">
        <v>220</v>
      </c>
      <c r="N3240">
        <v>514</v>
      </c>
      <c r="O3240">
        <v>4</v>
      </c>
      <c r="P3240">
        <v>514</v>
      </c>
      <c r="Q3240">
        <v>5</v>
      </c>
      <c r="R3240">
        <v>91</v>
      </c>
      <c r="S3240">
        <v>27</v>
      </c>
      <c r="T3240">
        <v>1</v>
      </c>
      <c r="U3240">
        <v>3</v>
      </c>
      <c r="V3240">
        <v>2</v>
      </c>
      <c r="W3240">
        <v>21</v>
      </c>
      <c r="X3240">
        <v>4</v>
      </c>
      <c r="Y3240">
        <v>42</v>
      </c>
      <c r="Z3240">
        <v>13</v>
      </c>
      <c r="AA3240">
        <v>207</v>
      </c>
      <c r="AB3240">
        <v>1</v>
      </c>
      <c r="AC3240">
        <v>2</v>
      </c>
      <c r="AD3240">
        <v>1</v>
      </c>
      <c r="AE3240">
        <v>0</v>
      </c>
      <c r="AF3240">
        <v>1</v>
      </c>
      <c r="AG3240">
        <v>0</v>
      </c>
      <c r="AH3240">
        <v>0</v>
      </c>
      <c r="AI3240">
        <v>0</v>
      </c>
      <c r="AJ3240">
        <v>0</v>
      </c>
      <c r="AK3240">
        <v>3</v>
      </c>
      <c r="AL3240">
        <v>0</v>
      </c>
      <c r="AM3240">
        <v>0</v>
      </c>
      <c r="AN3240">
        <v>1</v>
      </c>
      <c r="AZ3240">
        <v>73</v>
      </c>
      <c r="BC3240">
        <v>3</v>
      </c>
      <c r="BD3240">
        <v>13</v>
      </c>
      <c r="BE3240">
        <v>514</v>
      </c>
      <c r="BF3240">
        <v>514</v>
      </c>
      <c r="BG3240">
        <v>711</v>
      </c>
      <c r="BJ3240">
        <v>1</v>
      </c>
      <c r="BL3240" t="s">
        <v>6721</v>
      </c>
      <c r="BM3240" s="4">
        <v>43283.25</v>
      </c>
      <c r="BN3240" s="4">
        <v>43283.276030092595</v>
      </c>
      <c r="BO3240" s="4">
        <v>43283.276030092595</v>
      </c>
      <c r="BP3240" t="s">
        <v>92</v>
      </c>
      <c r="BQ3240" t="s">
        <v>93</v>
      </c>
      <c r="BR3240" t="s">
        <v>94</v>
      </c>
    </row>
    <row r="3241" spans="1:70" x14ac:dyDescent="0.3">
      <c r="A3241" t="str">
        <f>"202327C0100"</f>
        <v>202327C0100</v>
      </c>
      <c r="B3241" t="s">
        <v>6722</v>
      </c>
      <c r="C3241">
        <v>20</v>
      </c>
      <c r="D3241" t="s">
        <v>88</v>
      </c>
      <c r="E3241">
        <v>545</v>
      </c>
      <c r="F3241" t="s">
        <v>6706</v>
      </c>
      <c r="G3241">
        <v>2327</v>
      </c>
      <c r="H3241">
        <v>1</v>
      </c>
      <c r="I3241" t="s">
        <v>98</v>
      </c>
      <c r="J3241">
        <v>0</v>
      </c>
      <c r="K3241">
        <v>2</v>
      </c>
      <c r="L3241">
        <v>5</v>
      </c>
      <c r="M3241">
        <v>202</v>
      </c>
      <c r="N3241">
        <v>531</v>
      </c>
      <c r="O3241">
        <v>0</v>
      </c>
      <c r="P3241">
        <v>531</v>
      </c>
      <c r="Q3241">
        <v>6</v>
      </c>
      <c r="R3241">
        <v>45</v>
      </c>
      <c r="S3241">
        <v>39</v>
      </c>
      <c r="T3241">
        <v>0</v>
      </c>
      <c r="U3241">
        <v>3</v>
      </c>
      <c r="V3241">
        <v>3</v>
      </c>
      <c r="W3241">
        <v>13</v>
      </c>
      <c r="X3241">
        <v>8</v>
      </c>
      <c r="Y3241">
        <v>34</v>
      </c>
      <c r="Z3241">
        <v>9</v>
      </c>
      <c r="AA3241">
        <v>236</v>
      </c>
      <c r="AB3241">
        <v>24</v>
      </c>
      <c r="AC3241">
        <v>1</v>
      </c>
      <c r="AD3241">
        <v>0</v>
      </c>
      <c r="AE3241">
        <v>0</v>
      </c>
      <c r="AF3241">
        <v>0</v>
      </c>
      <c r="AG3241">
        <v>6</v>
      </c>
      <c r="AH3241">
        <v>2</v>
      </c>
      <c r="AI3241">
        <v>0</v>
      </c>
      <c r="AJ3241">
        <v>0</v>
      </c>
      <c r="AK3241">
        <v>1</v>
      </c>
      <c r="AL3241">
        <v>0</v>
      </c>
      <c r="AM3241">
        <v>0</v>
      </c>
      <c r="AN3241">
        <v>1</v>
      </c>
      <c r="AZ3241">
        <v>73</v>
      </c>
      <c r="BC3241">
        <v>0</v>
      </c>
      <c r="BD3241">
        <v>27</v>
      </c>
      <c r="BE3241">
        <v>531</v>
      </c>
      <c r="BF3241">
        <v>531</v>
      </c>
      <c r="BG3241">
        <v>711</v>
      </c>
      <c r="BJ3241">
        <v>1</v>
      </c>
      <c r="BL3241" t="s">
        <v>6723</v>
      </c>
      <c r="BM3241" s="4">
        <v>43283.250694444447</v>
      </c>
      <c r="BN3241" s="4">
        <v>43283.27752314815</v>
      </c>
      <c r="BO3241" s="4">
        <v>43283.27752314815</v>
      </c>
      <c r="BP3241" t="s">
        <v>92</v>
      </c>
      <c r="BQ3241" t="s">
        <v>93</v>
      </c>
      <c r="BR3241" t="s">
        <v>94</v>
      </c>
    </row>
    <row r="3242" spans="1:70" x14ac:dyDescent="0.3">
      <c r="A3242" t="str">
        <f>"202328B0100"</f>
        <v>202328B0100</v>
      </c>
      <c r="B3242" t="s">
        <v>6724</v>
      </c>
      <c r="C3242">
        <v>20</v>
      </c>
      <c r="D3242" t="s">
        <v>88</v>
      </c>
      <c r="E3242">
        <v>545</v>
      </c>
      <c r="F3242" t="s">
        <v>6706</v>
      </c>
      <c r="G3242">
        <v>2328</v>
      </c>
      <c r="H3242">
        <v>1</v>
      </c>
      <c r="I3242" t="s">
        <v>90</v>
      </c>
      <c r="J3242">
        <v>0</v>
      </c>
      <c r="K3242">
        <v>2</v>
      </c>
      <c r="L3242">
        <v>5</v>
      </c>
      <c r="M3242">
        <v>149</v>
      </c>
      <c r="N3242">
        <v>379</v>
      </c>
      <c r="O3242">
        <v>0</v>
      </c>
      <c r="P3242">
        <v>379</v>
      </c>
      <c r="Q3242">
        <v>3</v>
      </c>
      <c r="R3242">
        <v>50</v>
      </c>
      <c r="S3242">
        <v>40</v>
      </c>
      <c r="T3242">
        <v>1</v>
      </c>
      <c r="U3242">
        <v>3</v>
      </c>
      <c r="V3242">
        <v>1</v>
      </c>
      <c r="W3242">
        <v>8</v>
      </c>
      <c r="X3242">
        <v>2</v>
      </c>
      <c r="Y3242">
        <v>39</v>
      </c>
      <c r="Z3242">
        <v>6</v>
      </c>
      <c r="AA3242">
        <v>112</v>
      </c>
      <c r="AB3242">
        <v>10</v>
      </c>
      <c r="AC3242">
        <v>1</v>
      </c>
      <c r="AD3242">
        <v>1</v>
      </c>
      <c r="AE3242">
        <v>0</v>
      </c>
      <c r="AF3242">
        <v>0</v>
      </c>
      <c r="AG3242">
        <v>3</v>
      </c>
      <c r="AH3242">
        <v>0</v>
      </c>
      <c r="AI3242">
        <v>0</v>
      </c>
      <c r="AJ3242">
        <v>0</v>
      </c>
      <c r="AK3242">
        <v>0</v>
      </c>
      <c r="AL3242">
        <v>1</v>
      </c>
      <c r="AM3242">
        <v>0</v>
      </c>
      <c r="AN3242">
        <v>0</v>
      </c>
      <c r="AZ3242">
        <v>76</v>
      </c>
      <c r="BC3242">
        <v>1</v>
      </c>
      <c r="BD3242">
        <v>21</v>
      </c>
      <c r="BE3242">
        <v>379</v>
      </c>
      <c r="BF3242">
        <v>379</v>
      </c>
      <c r="BG3242">
        <v>505</v>
      </c>
      <c r="BJ3242">
        <v>1</v>
      </c>
      <c r="BL3242" t="s">
        <v>6725</v>
      </c>
      <c r="BM3242" s="4">
        <v>43283.248611111114</v>
      </c>
      <c r="BN3242" s="4">
        <v>43283.27853009259</v>
      </c>
      <c r="BO3242" s="4">
        <v>43283.27853009259</v>
      </c>
      <c r="BP3242" t="s">
        <v>92</v>
      </c>
      <c r="BQ3242" t="s">
        <v>93</v>
      </c>
      <c r="BR3242" t="s">
        <v>94</v>
      </c>
    </row>
    <row r="3243" spans="1:70" x14ac:dyDescent="0.3">
      <c r="A3243" t="str">
        <f>"202328C0100"</f>
        <v>202328C0100</v>
      </c>
      <c r="B3243" t="s">
        <v>6726</v>
      </c>
      <c r="C3243">
        <v>20</v>
      </c>
      <c r="D3243" t="s">
        <v>88</v>
      </c>
      <c r="E3243">
        <v>545</v>
      </c>
      <c r="F3243" t="s">
        <v>6706</v>
      </c>
      <c r="G3243">
        <v>2328</v>
      </c>
      <c r="H3243">
        <v>1</v>
      </c>
      <c r="I3243" t="s">
        <v>98</v>
      </c>
      <c r="J3243">
        <v>0</v>
      </c>
      <c r="K3243">
        <v>2</v>
      </c>
      <c r="L3243">
        <v>5</v>
      </c>
      <c r="M3243">
        <v>147</v>
      </c>
      <c r="N3243">
        <v>383</v>
      </c>
      <c r="O3243">
        <v>3</v>
      </c>
      <c r="P3243">
        <v>383</v>
      </c>
      <c r="Q3243">
        <v>10</v>
      </c>
      <c r="R3243">
        <v>54</v>
      </c>
      <c r="S3243">
        <v>28</v>
      </c>
      <c r="T3243">
        <v>0</v>
      </c>
      <c r="U3243">
        <v>3</v>
      </c>
      <c r="V3243">
        <v>3</v>
      </c>
      <c r="W3243">
        <v>3</v>
      </c>
      <c r="X3243">
        <v>3</v>
      </c>
      <c r="Y3243">
        <v>28</v>
      </c>
      <c r="Z3243">
        <v>4</v>
      </c>
      <c r="AA3243">
        <v>132</v>
      </c>
      <c r="AB3243">
        <v>15</v>
      </c>
      <c r="AC3243">
        <v>0</v>
      </c>
      <c r="AD3243">
        <v>0</v>
      </c>
      <c r="AE3243">
        <v>0</v>
      </c>
      <c r="AF3243">
        <v>1</v>
      </c>
      <c r="AG3243">
        <v>2</v>
      </c>
      <c r="AH3243">
        <v>1</v>
      </c>
      <c r="AI3243">
        <v>1</v>
      </c>
      <c r="AJ3243">
        <v>1</v>
      </c>
      <c r="AK3243">
        <v>0</v>
      </c>
      <c r="AL3243">
        <v>1</v>
      </c>
      <c r="AM3243">
        <v>0</v>
      </c>
      <c r="AN3243">
        <v>0</v>
      </c>
      <c r="AZ3243">
        <v>77</v>
      </c>
      <c r="BC3243">
        <v>0</v>
      </c>
      <c r="BD3243">
        <v>16</v>
      </c>
      <c r="BE3243" t="s">
        <v>105</v>
      </c>
      <c r="BF3243">
        <v>383</v>
      </c>
      <c r="BG3243">
        <v>505</v>
      </c>
      <c r="BJ3243">
        <v>1</v>
      </c>
      <c r="BL3243" t="s">
        <v>6727</v>
      </c>
      <c r="BM3243" s="4">
        <v>43283.248611111114</v>
      </c>
      <c r="BN3243" s="4">
        <v>43283.274143518516</v>
      </c>
      <c r="BO3243" s="4">
        <v>43283.274143518516</v>
      </c>
      <c r="BP3243" t="s">
        <v>92</v>
      </c>
      <c r="BQ3243" t="s">
        <v>93</v>
      </c>
      <c r="BR3243" t="s">
        <v>94</v>
      </c>
    </row>
    <row r="3244" spans="1:70" x14ac:dyDescent="0.3">
      <c r="A3244" t="str">
        <f>"202328C0200"</f>
        <v>202328C0200</v>
      </c>
      <c r="B3244" t="s">
        <v>6728</v>
      </c>
      <c r="C3244">
        <v>20</v>
      </c>
      <c r="D3244" t="s">
        <v>88</v>
      </c>
      <c r="E3244">
        <v>545</v>
      </c>
      <c r="F3244" t="s">
        <v>6706</v>
      </c>
      <c r="G3244">
        <v>2328</v>
      </c>
      <c r="H3244">
        <v>2</v>
      </c>
      <c r="I3244" t="s">
        <v>98</v>
      </c>
      <c r="J3244">
        <v>0</v>
      </c>
      <c r="K3244">
        <v>2</v>
      </c>
      <c r="L3244">
        <v>5</v>
      </c>
      <c r="M3244">
        <v>152</v>
      </c>
      <c r="N3244">
        <v>376</v>
      </c>
      <c r="O3244">
        <v>1</v>
      </c>
      <c r="P3244">
        <v>376</v>
      </c>
      <c r="Q3244">
        <v>8</v>
      </c>
      <c r="R3244">
        <v>34</v>
      </c>
      <c r="S3244">
        <v>31</v>
      </c>
      <c r="T3244">
        <v>2</v>
      </c>
      <c r="U3244">
        <v>3</v>
      </c>
      <c r="V3244">
        <v>2</v>
      </c>
      <c r="W3244">
        <v>13</v>
      </c>
      <c r="X3244">
        <v>3</v>
      </c>
      <c r="Y3244">
        <v>34</v>
      </c>
      <c r="Z3244">
        <v>8</v>
      </c>
      <c r="AA3244">
        <v>141</v>
      </c>
      <c r="AB3244">
        <v>12</v>
      </c>
      <c r="AC3244">
        <v>1</v>
      </c>
      <c r="AD3244">
        <v>0</v>
      </c>
      <c r="AE3244">
        <v>0</v>
      </c>
      <c r="AF3244">
        <v>1</v>
      </c>
      <c r="AG3244">
        <v>2</v>
      </c>
      <c r="AH3244">
        <v>0</v>
      </c>
      <c r="AI3244">
        <v>2</v>
      </c>
      <c r="AJ3244">
        <v>0</v>
      </c>
      <c r="AK3244">
        <v>3</v>
      </c>
      <c r="AL3244">
        <v>0</v>
      </c>
      <c r="AM3244">
        <v>0</v>
      </c>
      <c r="AN3244">
        <v>0</v>
      </c>
      <c r="AZ3244">
        <v>60</v>
      </c>
      <c r="BC3244" t="s">
        <v>105</v>
      </c>
      <c r="BD3244">
        <v>15</v>
      </c>
      <c r="BE3244">
        <v>375</v>
      </c>
      <c r="BF3244">
        <v>375</v>
      </c>
      <c r="BG3244">
        <v>505</v>
      </c>
      <c r="BI3244" t="s">
        <v>106</v>
      </c>
      <c r="BJ3244">
        <v>1</v>
      </c>
      <c r="BL3244" t="s">
        <v>6729</v>
      </c>
      <c r="BM3244" s="4">
        <v>43283.248611111114</v>
      </c>
      <c r="BN3244" s="4">
        <v>43283.275914351849</v>
      </c>
      <c r="BO3244" s="4">
        <v>43283.275914351849</v>
      </c>
      <c r="BP3244" t="s">
        <v>92</v>
      </c>
      <c r="BQ3244" t="s">
        <v>93</v>
      </c>
      <c r="BR3244" t="s">
        <v>94</v>
      </c>
    </row>
    <row r="3245" spans="1:70" x14ac:dyDescent="0.3">
      <c r="A3245" t="str">
        <f>"202329B0100"</f>
        <v>202329B0100</v>
      </c>
      <c r="B3245" t="s">
        <v>6730</v>
      </c>
      <c r="C3245">
        <v>20</v>
      </c>
      <c r="D3245" t="s">
        <v>88</v>
      </c>
      <c r="E3245">
        <v>545</v>
      </c>
      <c r="F3245" t="s">
        <v>6706</v>
      </c>
      <c r="G3245">
        <v>2329</v>
      </c>
      <c r="H3245">
        <v>1</v>
      </c>
      <c r="I3245" t="s">
        <v>90</v>
      </c>
      <c r="J3245">
        <v>0</v>
      </c>
      <c r="K3245">
        <v>2</v>
      </c>
      <c r="L3245">
        <v>5</v>
      </c>
      <c r="M3245">
        <v>92</v>
      </c>
      <c r="N3245">
        <v>281</v>
      </c>
      <c r="O3245">
        <v>3</v>
      </c>
      <c r="P3245">
        <v>281</v>
      </c>
      <c r="Q3245">
        <v>5</v>
      </c>
      <c r="R3245">
        <v>33</v>
      </c>
      <c r="S3245">
        <v>27</v>
      </c>
      <c r="T3245">
        <v>1</v>
      </c>
      <c r="U3245">
        <v>0</v>
      </c>
      <c r="V3245">
        <v>1</v>
      </c>
      <c r="W3245">
        <v>35</v>
      </c>
      <c r="X3245">
        <v>1</v>
      </c>
      <c r="Y3245">
        <v>4</v>
      </c>
      <c r="Z3245">
        <v>4</v>
      </c>
      <c r="AA3245">
        <v>135</v>
      </c>
      <c r="AB3245">
        <v>0</v>
      </c>
      <c r="AC3245">
        <v>0</v>
      </c>
      <c r="AD3245">
        <v>0</v>
      </c>
      <c r="AE3245">
        <v>1</v>
      </c>
      <c r="AF3245">
        <v>1</v>
      </c>
      <c r="AG3245">
        <v>0</v>
      </c>
      <c r="AH3245">
        <v>0</v>
      </c>
      <c r="AI3245">
        <v>0</v>
      </c>
      <c r="AJ3245">
        <v>0</v>
      </c>
      <c r="AK3245">
        <v>0</v>
      </c>
      <c r="AL3245">
        <v>0</v>
      </c>
      <c r="AM3245">
        <v>0</v>
      </c>
      <c r="AN3245">
        <v>0</v>
      </c>
      <c r="AZ3245">
        <v>7</v>
      </c>
      <c r="BC3245">
        <v>0</v>
      </c>
      <c r="BD3245">
        <v>26</v>
      </c>
      <c r="BE3245">
        <v>281</v>
      </c>
      <c r="BF3245">
        <v>281</v>
      </c>
      <c r="BG3245">
        <v>350</v>
      </c>
      <c r="BJ3245">
        <v>1</v>
      </c>
      <c r="BL3245" t="s">
        <v>6731</v>
      </c>
      <c r="BM3245" s="4">
        <v>43283.248611111114</v>
      </c>
      <c r="BN3245" s="4">
        <v>43283.27270833333</v>
      </c>
      <c r="BO3245" s="4">
        <v>43283.27270833333</v>
      </c>
      <c r="BP3245" t="s">
        <v>92</v>
      </c>
      <c r="BQ3245" t="s">
        <v>93</v>
      </c>
      <c r="BR3245" t="s">
        <v>94</v>
      </c>
    </row>
    <row r="3246" spans="1:70" x14ac:dyDescent="0.3">
      <c r="A3246" t="str">
        <f>"202330B0100"</f>
        <v>202330B0100</v>
      </c>
      <c r="B3246" t="s">
        <v>6732</v>
      </c>
      <c r="C3246">
        <v>20</v>
      </c>
      <c r="D3246" t="s">
        <v>88</v>
      </c>
      <c r="E3246">
        <v>545</v>
      </c>
      <c r="F3246" t="s">
        <v>6706</v>
      </c>
      <c r="G3246">
        <v>2330</v>
      </c>
      <c r="H3246">
        <v>1</v>
      </c>
      <c r="I3246" t="s">
        <v>90</v>
      </c>
      <c r="J3246">
        <v>0</v>
      </c>
      <c r="K3246">
        <v>2</v>
      </c>
      <c r="L3246">
        <v>5</v>
      </c>
      <c r="BG3246">
        <v>424</v>
      </c>
      <c r="BI3246" t="s">
        <v>407</v>
      </c>
      <c r="BJ3246">
        <v>0</v>
      </c>
      <c r="BL3246" t="s">
        <v>6733</v>
      </c>
      <c r="BM3246" s="4">
        <v>43283.251388888886</v>
      </c>
      <c r="BN3246" s="4">
        <v>43283.282604166663</v>
      </c>
      <c r="BO3246" s="4">
        <v>43283.282604166663</v>
      </c>
      <c r="BP3246" t="s">
        <v>92</v>
      </c>
      <c r="BQ3246" t="s">
        <v>93</v>
      </c>
      <c r="BR3246" t="s">
        <v>94</v>
      </c>
    </row>
    <row r="3247" spans="1:70" x14ac:dyDescent="0.3">
      <c r="A3247" t="str">
        <f>"202339B0100"</f>
        <v>202339B0100</v>
      </c>
      <c r="B3247" t="s">
        <v>6734</v>
      </c>
      <c r="C3247">
        <v>20</v>
      </c>
      <c r="D3247" t="s">
        <v>88</v>
      </c>
      <c r="E3247">
        <v>549</v>
      </c>
      <c r="F3247" t="s">
        <v>6735</v>
      </c>
      <c r="G3247">
        <v>2339</v>
      </c>
      <c r="H3247">
        <v>1</v>
      </c>
      <c r="I3247" t="s">
        <v>90</v>
      </c>
      <c r="J3247">
        <v>0</v>
      </c>
      <c r="K3247">
        <v>1</v>
      </c>
      <c r="L3247">
        <v>5</v>
      </c>
      <c r="M3247">
        <v>287</v>
      </c>
      <c r="N3247">
        <v>423</v>
      </c>
      <c r="O3247">
        <v>3</v>
      </c>
      <c r="P3247">
        <v>423</v>
      </c>
      <c r="Q3247">
        <v>47</v>
      </c>
      <c r="R3247">
        <v>160</v>
      </c>
      <c r="S3247">
        <v>132</v>
      </c>
      <c r="T3247">
        <v>1</v>
      </c>
      <c r="U3247">
        <v>3</v>
      </c>
      <c r="V3247">
        <v>0</v>
      </c>
      <c r="X3247">
        <v>2</v>
      </c>
      <c r="Y3247">
        <v>5</v>
      </c>
      <c r="Z3247">
        <v>4</v>
      </c>
      <c r="AC3247">
        <v>1</v>
      </c>
      <c r="AD3247">
        <v>7</v>
      </c>
      <c r="AE3247">
        <v>0</v>
      </c>
      <c r="AF3247">
        <v>0</v>
      </c>
      <c r="AG3247">
        <v>0</v>
      </c>
      <c r="AH3247">
        <v>5</v>
      </c>
      <c r="AI3247">
        <v>0</v>
      </c>
      <c r="AJ3247">
        <v>0</v>
      </c>
      <c r="AK3247">
        <v>1</v>
      </c>
      <c r="AL3247">
        <v>2</v>
      </c>
      <c r="AM3247">
        <v>0</v>
      </c>
      <c r="AN3247">
        <v>0</v>
      </c>
      <c r="BC3247" t="s">
        <v>127</v>
      </c>
      <c r="BD3247">
        <v>13</v>
      </c>
      <c r="BE3247">
        <v>423</v>
      </c>
      <c r="BF3247">
        <v>383</v>
      </c>
      <c r="BG3247">
        <v>688</v>
      </c>
      <c r="BI3247" t="s">
        <v>106</v>
      </c>
      <c r="BJ3247">
        <v>1</v>
      </c>
      <c r="BL3247" t="s">
        <v>6736</v>
      </c>
      <c r="BM3247" s="4">
        <v>43283.129166666666</v>
      </c>
      <c r="BN3247" s="4">
        <v>43283.149687500001</v>
      </c>
      <c r="BO3247" s="4">
        <v>43283.149687500001</v>
      </c>
      <c r="BP3247" t="s">
        <v>92</v>
      </c>
      <c r="BQ3247" t="s">
        <v>93</v>
      </c>
      <c r="BR3247" t="s">
        <v>94</v>
      </c>
    </row>
    <row r="3248" spans="1:70" x14ac:dyDescent="0.3">
      <c r="A3248" t="str">
        <f>"202339C0100"</f>
        <v>202339C0100</v>
      </c>
      <c r="B3248" t="s">
        <v>6737</v>
      </c>
      <c r="C3248">
        <v>20</v>
      </c>
      <c r="D3248" t="s">
        <v>88</v>
      </c>
      <c r="E3248">
        <v>549</v>
      </c>
      <c r="F3248" t="s">
        <v>6735</v>
      </c>
      <c r="G3248">
        <v>2339</v>
      </c>
      <c r="H3248">
        <v>1</v>
      </c>
      <c r="I3248" t="s">
        <v>98</v>
      </c>
      <c r="J3248">
        <v>0</v>
      </c>
      <c r="K3248">
        <v>1</v>
      </c>
      <c r="L3248">
        <v>5</v>
      </c>
      <c r="M3248">
        <v>321</v>
      </c>
      <c r="N3248">
        <v>389</v>
      </c>
      <c r="O3248">
        <v>0</v>
      </c>
      <c r="P3248">
        <v>389</v>
      </c>
      <c r="Q3248">
        <v>39</v>
      </c>
      <c r="R3248">
        <v>128</v>
      </c>
      <c r="S3248">
        <v>135</v>
      </c>
      <c r="T3248">
        <v>0</v>
      </c>
      <c r="U3248">
        <v>3</v>
      </c>
      <c r="V3248">
        <v>0</v>
      </c>
      <c r="X3248">
        <v>1</v>
      </c>
      <c r="Y3248">
        <v>45</v>
      </c>
      <c r="Z3248">
        <v>4</v>
      </c>
      <c r="AC3248">
        <v>6</v>
      </c>
      <c r="AD3248">
        <v>2</v>
      </c>
      <c r="AE3248">
        <v>0</v>
      </c>
      <c r="AF3248">
        <v>1</v>
      </c>
      <c r="AG3248">
        <v>1</v>
      </c>
      <c r="AH3248">
        <v>2</v>
      </c>
      <c r="AI3248">
        <v>2</v>
      </c>
      <c r="AJ3248">
        <v>0</v>
      </c>
      <c r="AK3248">
        <v>2</v>
      </c>
      <c r="AL3248">
        <v>1</v>
      </c>
      <c r="AM3248">
        <v>0</v>
      </c>
      <c r="AN3248">
        <v>0</v>
      </c>
      <c r="BC3248">
        <v>0</v>
      </c>
      <c r="BD3248">
        <v>17</v>
      </c>
      <c r="BE3248">
        <v>389</v>
      </c>
      <c r="BF3248">
        <v>389</v>
      </c>
      <c r="BG3248">
        <v>688</v>
      </c>
      <c r="BJ3248">
        <v>1</v>
      </c>
      <c r="BL3248" t="s">
        <v>6738</v>
      </c>
      <c r="BM3248" s="4">
        <v>43283.130555555559</v>
      </c>
      <c r="BN3248" s="4">
        <v>43283.135636574072</v>
      </c>
      <c r="BO3248" s="4">
        <v>43283.135636574072</v>
      </c>
      <c r="BP3248" t="s">
        <v>92</v>
      </c>
      <c r="BQ3248" t="s">
        <v>93</v>
      </c>
      <c r="BR3248" t="s">
        <v>94</v>
      </c>
    </row>
    <row r="3249" spans="1:70" x14ac:dyDescent="0.3">
      <c r="A3249" t="str">
        <f>"202340B0100"</f>
        <v>202340B0100</v>
      </c>
      <c r="B3249" t="s">
        <v>6739</v>
      </c>
      <c r="C3249">
        <v>20</v>
      </c>
      <c r="D3249" t="s">
        <v>88</v>
      </c>
      <c r="E3249">
        <v>549</v>
      </c>
      <c r="F3249" t="s">
        <v>6735</v>
      </c>
      <c r="G3249">
        <v>2340</v>
      </c>
      <c r="H3249">
        <v>1</v>
      </c>
      <c r="I3249" t="s">
        <v>90</v>
      </c>
      <c r="J3249">
        <v>0</v>
      </c>
      <c r="K3249">
        <v>2</v>
      </c>
      <c r="L3249">
        <v>5</v>
      </c>
      <c r="BG3249">
        <v>479</v>
      </c>
      <c r="BI3249" t="s">
        <v>122</v>
      </c>
      <c r="BJ3249">
        <v>0</v>
      </c>
      <c r="BL3249" t="s">
        <v>6740</v>
      </c>
      <c r="BM3249" s="4">
        <v>43283.345833333333</v>
      </c>
      <c r="BN3249" s="4">
        <v>43283.347777777781</v>
      </c>
      <c r="BO3249" s="4">
        <v>43283.347777777781</v>
      </c>
      <c r="BP3249" t="s">
        <v>92</v>
      </c>
      <c r="BQ3249" t="s">
        <v>93</v>
      </c>
      <c r="BR3249" t="s">
        <v>94</v>
      </c>
    </row>
    <row r="3250" spans="1:70" x14ac:dyDescent="0.3">
      <c r="A3250" t="str">
        <f>"202341B0100"</f>
        <v>202341B0100</v>
      </c>
      <c r="B3250" t="s">
        <v>6741</v>
      </c>
      <c r="C3250">
        <v>20</v>
      </c>
      <c r="D3250" t="s">
        <v>88</v>
      </c>
      <c r="E3250">
        <v>549</v>
      </c>
      <c r="F3250" t="s">
        <v>6735</v>
      </c>
      <c r="G3250">
        <v>2341</v>
      </c>
      <c r="H3250">
        <v>1</v>
      </c>
      <c r="I3250" t="s">
        <v>90</v>
      </c>
      <c r="J3250">
        <v>0</v>
      </c>
      <c r="K3250">
        <v>2</v>
      </c>
      <c r="L3250">
        <v>5</v>
      </c>
      <c r="M3250">
        <v>177</v>
      </c>
      <c r="N3250">
        <v>308</v>
      </c>
      <c r="O3250">
        <v>1</v>
      </c>
      <c r="P3250">
        <v>308</v>
      </c>
      <c r="Q3250">
        <v>23</v>
      </c>
      <c r="R3250">
        <v>119</v>
      </c>
      <c r="S3250">
        <v>106</v>
      </c>
      <c r="T3250">
        <v>2</v>
      </c>
      <c r="U3250">
        <v>8</v>
      </c>
      <c r="V3250">
        <v>1</v>
      </c>
      <c r="X3250">
        <v>0</v>
      </c>
      <c r="Y3250">
        <v>26</v>
      </c>
      <c r="Z3250">
        <v>3</v>
      </c>
      <c r="AC3250">
        <v>1</v>
      </c>
      <c r="AD3250">
        <v>1</v>
      </c>
      <c r="AE3250">
        <v>0</v>
      </c>
      <c r="AF3250">
        <v>0</v>
      </c>
      <c r="AG3250">
        <v>0</v>
      </c>
      <c r="AH3250">
        <v>0</v>
      </c>
      <c r="AI3250">
        <v>0</v>
      </c>
      <c r="AJ3250">
        <v>0</v>
      </c>
      <c r="AK3250">
        <v>4</v>
      </c>
      <c r="AL3250">
        <v>0</v>
      </c>
      <c r="AM3250">
        <v>1</v>
      </c>
      <c r="AN3250">
        <v>0</v>
      </c>
      <c r="BC3250">
        <v>0</v>
      </c>
      <c r="BD3250">
        <v>15</v>
      </c>
      <c r="BE3250">
        <v>310</v>
      </c>
      <c r="BF3250">
        <v>310</v>
      </c>
      <c r="BG3250">
        <v>464</v>
      </c>
      <c r="BJ3250">
        <v>1</v>
      </c>
      <c r="BL3250" t="s">
        <v>6742</v>
      </c>
      <c r="BM3250" s="4">
        <v>43283.099305555559</v>
      </c>
      <c r="BN3250" s="4">
        <v>43283.112164351849</v>
      </c>
      <c r="BO3250" s="4">
        <v>43283.112164351849</v>
      </c>
      <c r="BP3250" t="s">
        <v>92</v>
      </c>
      <c r="BQ3250" t="s">
        <v>93</v>
      </c>
      <c r="BR3250" t="s">
        <v>94</v>
      </c>
    </row>
    <row r="3251" spans="1:70" x14ac:dyDescent="0.3">
      <c r="A3251" t="str">
        <f>"202341C0100"</f>
        <v>202341C0100</v>
      </c>
      <c r="B3251" t="s">
        <v>6743</v>
      </c>
      <c r="C3251">
        <v>20</v>
      </c>
      <c r="D3251" t="s">
        <v>88</v>
      </c>
      <c r="E3251">
        <v>549</v>
      </c>
      <c r="F3251" t="s">
        <v>6735</v>
      </c>
      <c r="G3251">
        <v>2341</v>
      </c>
      <c r="H3251">
        <v>1</v>
      </c>
      <c r="I3251" t="s">
        <v>98</v>
      </c>
      <c r="J3251">
        <v>0</v>
      </c>
      <c r="K3251">
        <v>2</v>
      </c>
      <c r="L3251">
        <v>5</v>
      </c>
      <c r="M3251">
        <v>171</v>
      </c>
      <c r="N3251">
        <v>313</v>
      </c>
      <c r="O3251">
        <v>1</v>
      </c>
      <c r="P3251">
        <v>313</v>
      </c>
      <c r="Q3251">
        <v>38</v>
      </c>
      <c r="R3251">
        <v>101</v>
      </c>
      <c r="S3251">
        <v>120</v>
      </c>
      <c r="T3251">
        <v>0</v>
      </c>
      <c r="U3251">
        <v>5</v>
      </c>
      <c r="V3251">
        <v>1</v>
      </c>
      <c r="X3251">
        <v>2</v>
      </c>
      <c r="Y3251">
        <v>28</v>
      </c>
      <c r="Z3251">
        <v>2</v>
      </c>
      <c r="AC3251">
        <v>1</v>
      </c>
      <c r="AD3251">
        <v>2</v>
      </c>
      <c r="AE3251">
        <v>0</v>
      </c>
      <c r="AF3251">
        <v>1</v>
      </c>
      <c r="AG3251">
        <v>1</v>
      </c>
      <c r="AH3251">
        <v>1</v>
      </c>
      <c r="AI3251">
        <v>0</v>
      </c>
      <c r="AJ3251">
        <v>0</v>
      </c>
      <c r="AK3251">
        <v>1</v>
      </c>
      <c r="AL3251">
        <v>0</v>
      </c>
      <c r="AM3251">
        <v>0</v>
      </c>
      <c r="AN3251">
        <v>0</v>
      </c>
      <c r="BC3251">
        <v>0</v>
      </c>
      <c r="BD3251">
        <v>12</v>
      </c>
      <c r="BE3251">
        <v>316</v>
      </c>
      <c r="BF3251">
        <v>316</v>
      </c>
      <c r="BG3251">
        <v>464</v>
      </c>
      <c r="BJ3251">
        <v>1</v>
      </c>
      <c r="BL3251" t="s">
        <v>6744</v>
      </c>
      <c r="BM3251" s="4">
        <v>43283.101388888892</v>
      </c>
      <c r="BN3251" s="4">
        <v>43283.107164351852</v>
      </c>
      <c r="BO3251" s="4">
        <v>43283.107164351852</v>
      </c>
      <c r="BP3251" t="s">
        <v>92</v>
      </c>
      <c r="BQ3251" t="s">
        <v>93</v>
      </c>
      <c r="BR3251" t="s">
        <v>94</v>
      </c>
    </row>
    <row r="3252" spans="1:70" x14ac:dyDescent="0.3">
      <c r="A3252" t="str">
        <f>"202342B0100"</f>
        <v>202342B0100</v>
      </c>
      <c r="B3252" t="s">
        <v>6745</v>
      </c>
      <c r="C3252">
        <v>20</v>
      </c>
      <c r="D3252" t="s">
        <v>88</v>
      </c>
      <c r="E3252">
        <v>549</v>
      </c>
      <c r="F3252" t="s">
        <v>6735</v>
      </c>
      <c r="G3252">
        <v>2342</v>
      </c>
      <c r="H3252">
        <v>1</v>
      </c>
      <c r="I3252" t="s">
        <v>90</v>
      </c>
      <c r="J3252">
        <v>0</v>
      </c>
      <c r="K3252">
        <v>2</v>
      </c>
      <c r="L3252">
        <v>5</v>
      </c>
      <c r="M3252">
        <v>167</v>
      </c>
      <c r="N3252">
        <v>238</v>
      </c>
      <c r="O3252">
        <v>5</v>
      </c>
      <c r="P3252">
        <v>239</v>
      </c>
      <c r="Q3252">
        <v>12</v>
      </c>
      <c r="R3252">
        <v>155</v>
      </c>
      <c r="S3252">
        <v>43</v>
      </c>
      <c r="T3252">
        <v>1</v>
      </c>
      <c r="U3252">
        <v>4</v>
      </c>
      <c r="V3252">
        <v>0</v>
      </c>
      <c r="X3252">
        <v>0</v>
      </c>
      <c r="Y3252">
        <v>11</v>
      </c>
      <c r="Z3252">
        <v>0</v>
      </c>
      <c r="AC3252">
        <v>1</v>
      </c>
      <c r="AD3252">
        <v>2</v>
      </c>
      <c r="AE3252">
        <v>0</v>
      </c>
      <c r="AF3252">
        <v>0</v>
      </c>
      <c r="AG3252">
        <v>1</v>
      </c>
      <c r="AH3252">
        <v>0</v>
      </c>
      <c r="AI3252">
        <v>0</v>
      </c>
      <c r="AJ3252">
        <v>0</v>
      </c>
      <c r="AK3252">
        <v>1</v>
      </c>
      <c r="AL3252">
        <v>0</v>
      </c>
      <c r="AM3252">
        <v>0</v>
      </c>
      <c r="AN3252">
        <v>0</v>
      </c>
      <c r="BC3252">
        <v>0</v>
      </c>
      <c r="BD3252">
        <v>8</v>
      </c>
      <c r="BE3252">
        <v>239</v>
      </c>
      <c r="BF3252">
        <v>239</v>
      </c>
      <c r="BG3252">
        <v>385</v>
      </c>
      <c r="BJ3252">
        <v>1</v>
      </c>
      <c r="BL3252" t="s">
        <v>6746</v>
      </c>
      <c r="BM3252" s="4">
        <v>43283.133333333331</v>
      </c>
      <c r="BN3252" s="4">
        <v>43283.141458333332</v>
      </c>
      <c r="BO3252" s="4">
        <v>43283.141458333332</v>
      </c>
      <c r="BP3252" t="s">
        <v>92</v>
      </c>
      <c r="BQ3252" t="s">
        <v>93</v>
      </c>
      <c r="BR3252" t="s">
        <v>94</v>
      </c>
    </row>
    <row r="3253" spans="1:70" x14ac:dyDescent="0.3">
      <c r="A3253" t="str">
        <f>"202343B0100"</f>
        <v>202343B0100</v>
      </c>
      <c r="B3253" t="s">
        <v>6747</v>
      </c>
      <c r="C3253">
        <v>20</v>
      </c>
      <c r="D3253" t="s">
        <v>88</v>
      </c>
      <c r="E3253">
        <v>549</v>
      </c>
      <c r="F3253" t="s">
        <v>6735</v>
      </c>
      <c r="G3253">
        <v>2343</v>
      </c>
      <c r="H3253">
        <v>1</v>
      </c>
      <c r="I3253" t="s">
        <v>90</v>
      </c>
      <c r="J3253">
        <v>0</v>
      </c>
      <c r="K3253">
        <v>2</v>
      </c>
      <c r="L3253">
        <v>5</v>
      </c>
      <c r="M3253">
        <v>117</v>
      </c>
      <c r="N3253">
        <v>141</v>
      </c>
      <c r="O3253">
        <v>9</v>
      </c>
      <c r="P3253">
        <v>141</v>
      </c>
      <c r="Q3253">
        <v>10</v>
      </c>
      <c r="R3253">
        <v>66</v>
      </c>
      <c r="S3253">
        <v>32</v>
      </c>
      <c r="T3253">
        <v>1</v>
      </c>
      <c r="U3253">
        <v>2</v>
      </c>
      <c r="V3253">
        <v>1</v>
      </c>
      <c r="X3253">
        <v>0</v>
      </c>
      <c r="Y3253">
        <v>20</v>
      </c>
      <c r="Z3253">
        <v>0</v>
      </c>
      <c r="AC3253">
        <v>0</v>
      </c>
      <c r="AD3253">
        <v>0</v>
      </c>
      <c r="AE3253">
        <v>0</v>
      </c>
      <c r="AF3253">
        <v>0</v>
      </c>
      <c r="AG3253">
        <v>0</v>
      </c>
      <c r="AH3253">
        <v>3</v>
      </c>
      <c r="AI3253">
        <v>0</v>
      </c>
      <c r="AJ3253">
        <v>0</v>
      </c>
      <c r="AK3253">
        <v>0</v>
      </c>
      <c r="AL3253">
        <v>1</v>
      </c>
      <c r="AM3253">
        <v>0</v>
      </c>
      <c r="AN3253">
        <v>0</v>
      </c>
      <c r="BC3253">
        <v>0</v>
      </c>
      <c r="BD3253">
        <v>4</v>
      </c>
      <c r="BE3253">
        <v>140</v>
      </c>
      <c r="BF3253">
        <v>140</v>
      </c>
      <c r="BG3253">
        <v>237</v>
      </c>
      <c r="BJ3253">
        <v>1</v>
      </c>
      <c r="BL3253" t="s">
        <v>6748</v>
      </c>
      <c r="BM3253" s="4">
        <v>43283.245833333334</v>
      </c>
      <c r="BN3253" s="4">
        <v>43283.269780092596</v>
      </c>
      <c r="BO3253" s="4">
        <v>43283.269780092596</v>
      </c>
      <c r="BP3253" t="s">
        <v>92</v>
      </c>
      <c r="BQ3253" t="s">
        <v>93</v>
      </c>
      <c r="BR3253" t="s">
        <v>94</v>
      </c>
    </row>
    <row r="3254" spans="1:70" x14ac:dyDescent="0.3">
      <c r="A3254" t="str">
        <f>"202343E0100"</f>
        <v>202343E0100</v>
      </c>
      <c r="B3254" s="2" t="s">
        <v>6749</v>
      </c>
      <c r="C3254">
        <v>20</v>
      </c>
      <c r="D3254" t="s">
        <v>88</v>
      </c>
      <c r="E3254">
        <v>549</v>
      </c>
      <c r="F3254" t="s">
        <v>6735</v>
      </c>
      <c r="G3254">
        <v>2343</v>
      </c>
      <c r="H3254">
        <v>1</v>
      </c>
      <c r="I3254" t="s">
        <v>156</v>
      </c>
      <c r="J3254">
        <v>0</v>
      </c>
      <c r="K3254">
        <v>2</v>
      </c>
      <c r="L3254">
        <v>5</v>
      </c>
      <c r="M3254">
        <v>94</v>
      </c>
      <c r="N3254">
        <v>159</v>
      </c>
      <c r="O3254">
        <v>5</v>
      </c>
      <c r="P3254">
        <v>159</v>
      </c>
      <c r="Q3254">
        <v>62</v>
      </c>
      <c r="R3254">
        <v>50</v>
      </c>
      <c r="S3254">
        <v>24</v>
      </c>
      <c r="T3254">
        <v>2</v>
      </c>
      <c r="U3254">
        <v>2</v>
      </c>
      <c r="V3254">
        <v>0</v>
      </c>
      <c r="X3254">
        <v>2</v>
      </c>
      <c r="Y3254">
        <v>5</v>
      </c>
      <c r="Z3254">
        <v>0</v>
      </c>
      <c r="AC3254">
        <v>0</v>
      </c>
      <c r="AD3254">
        <v>3</v>
      </c>
      <c r="AE3254">
        <v>0</v>
      </c>
      <c r="AF3254">
        <v>0</v>
      </c>
      <c r="AG3254">
        <v>0</v>
      </c>
      <c r="AH3254">
        <v>0</v>
      </c>
      <c r="AI3254">
        <v>0</v>
      </c>
      <c r="AJ3254">
        <v>0</v>
      </c>
      <c r="AK3254">
        <v>0</v>
      </c>
      <c r="AL3254">
        <v>0</v>
      </c>
      <c r="AM3254">
        <v>0</v>
      </c>
      <c r="AN3254">
        <v>0</v>
      </c>
      <c r="BC3254">
        <v>0</v>
      </c>
      <c r="BD3254">
        <v>9</v>
      </c>
      <c r="BE3254">
        <v>159</v>
      </c>
      <c r="BF3254">
        <v>159</v>
      </c>
      <c r="BG3254">
        <v>231</v>
      </c>
      <c r="BJ3254">
        <v>1</v>
      </c>
      <c r="BL3254" t="s">
        <v>6750</v>
      </c>
      <c r="BM3254" s="4">
        <v>43283.24722222222</v>
      </c>
      <c r="BN3254" s="4">
        <v>43283.270787037036</v>
      </c>
      <c r="BO3254" s="4">
        <v>43283.270787037036</v>
      </c>
      <c r="BP3254" t="s">
        <v>92</v>
      </c>
      <c r="BQ3254" t="s">
        <v>93</v>
      </c>
      <c r="BR3254" t="s">
        <v>94</v>
      </c>
    </row>
    <row r="3255" spans="1:70" x14ac:dyDescent="0.3">
      <c r="A3255" t="str">
        <f>"202344B0100"</f>
        <v>202344B0100</v>
      </c>
      <c r="B3255" t="s">
        <v>6751</v>
      </c>
      <c r="C3255">
        <v>20</v>
      </c>
      <c r="D3255" t="s">
        <v>88</v>
      </c>
      <c r="E3255">
        <v>549</v>
      </c>
      <c r="F3255" t="s">
        <v>6735</v>
      </c>
      <c r="G3255">
        <v>2344</v>
      </c>
      <c r="H3255">
        <v>1</v>
      </c>
      <c r="I3255" t="s">
        <v>90</v>
      </c>
      <c r="J3255">
        <v>0</v>
      </c>
      <c r="K3255">
        <v>2</v>
      </c>
      <c r="L3255">
        <v>5</v>
      </c>
      <c r="M3255">
        <v>388</v>
      </c>
      <c r="N3255">
        <v>365</v>
      </c>
      <c r="O3255">
        <v>1</v>
      </c>
      <c r="P3255">
        <v>300</v>
      </c>
      <c r="Q3255">
        <v>16</v>
      </c>
      <c r="R3255">
        <v>36</v>
      </c>
      <c r="S3255">
        <v>125</v>
      </c>
      <c r="T3255">
        <v>0</v>
      </c>
      <c r="U3255">
        <v>9</v>
      </c>
      <c r="V3255">
        <v>4</v>
      </c>
      <c r="X3255">
        <v>1</v>
      </c>
      <c r="Y3255">
        <v>72</v>
      </c>
      <c r="Z3255">
        <v>5</v>
      </c>
      <c r="AC3255">
        <v>4</v>
      </c>
      <c r="AD3255">
        <v>1</v>
      </c>
      <c r="AE3255">
        <v>0</v>
      </c>
      <c r="AF3255">
        <v>0</v>
      </c>
      <c r="AG3255">
        <v>0</v>
      </c>
      <c r="AH3255">
        <v>1</v>
      </c>
      <c r="AI3255">
        <v>0</v>
      </c>
      <c r="AJ3255">
        <v>0</v>
      </c>
      <c r="AK3255">
        <v>3</v>
      </c>
      <c r="AL3255">
        <v>3</v>
      </c>
      <c r="AM3255">
        <v>0</v>
      </c>
      <c r="AN3255">
        <v>1</v>
      </c>
      <c r="BC3255">
        <v>0</v>
      </c>
      <c r="BD3255">
        <v>12</v>
      </c>
      <c r="BE3255">
        <v>287</v>
      </c>
      <c r="BF3255">
        <v>293</v>
      </c>
      <c r="BG3255">
        <v>642</v>
      </c>
      <c r="BJ3255">
        <v>1</v>
      </c>
      <c r="BL3255" s="2" t="s">
        <v>6752</v>
      </c>
      <c r="BM3255" s="4">
        <v>43283.197222222225</v>
      </c>
      <c r="BN3255" s="4">
        <v>43283.213136574072</v>
      </c>
      <c r="BO3255" s="4">
        <v>43283.213136574072</v>
      </c>
      <c r="BP3255" t="s">
        <v>92</v>
      </c>
      <c r="BQ3255" t="s">
        <v>93</v>
      </c>
      <c r="BR3255" t="s">
        <v>94</v>
      </c>
    </row>
    <row r="3256" spans="1:70" x14ac:dyDescent="0.3">
      <c r="A3256" t="str">
        <f>"202345B0100"</f>
        <v>202345B0100</v>
      </c>
      <c r="B3256" t="s">
        <v>6753</v>
      </c>
      <c r="C3256">
        <v>20</v>
      </c>
      <c r="D3256" t="s">
        <v>88</v>
      </c>
      <c r="E3256">
        <v>549</v>
      </c>
      <c r="F3256" t="s">
        <v>6735</v>
      </c>
      <c r="G3256">
        <v>2345</v>
      </c>
      <c r="H3256">
        <v>1</v>
      </c>
      <c r="I3256" t="s">
        <v>90</v>
      </c>
      <c r="J3256">
        <v>0</v>
      </c>
      <c r="K3256">
        <v>2</v>
      </c>
      <c r="L3256">
        <v>5</v>
      </c>
      <c r="M3256">
        <v>228</v>
      </c>
      <c r="N3256">
        <v>183</v>
      </c>
      <c r="O3256">
        <v>0</v>
      </c>
      <c r="P3256">
        <v>183</v>
      </c>
      <c r="Q3256">
        <v>11</v>
      </c>
      <c r="R3256">
        <v>42</v>
      </c>
      <c r="S3256">
        <v>27</v>
      </c>
      <c r="T3256">
        <v>1</v>
      </c>
      <c r="U3256">
        <v>14</v>
      </c>
      <c r="V3256">
        <v>3</v>
      </c>
      <c r="X3256">
        <v>1</v>
      </c>
      <c r="Y3256">
        <v>59</v>
      </c>
      <c r="Z3256">
        <v>3</v>
      </c>
      <c r="AC3256">
        <v>0</v>
      </c>
      <c r="AD3256">
        <v>0</v>
      </c>
      <c r="AE3256">
        <v>0</v>
      </c>
      <c r="AF3256">
        <v>1</v>
      </c>
      <c r="AG3256">
        <v>0</v>
      </c>
      <c r="AH3256">
        <v>0</v>
      </c>
      <c r="AI3256">
        <v>0</v>
      </c>
      <c r="AJ3256">
        <v>0</v>
      </c>
      <c r="AK3256">
        <v>2</v>
      </c>
      <c r="AL3256">
        <v>3</v>
      </c>
      <c r="AM3256">
        <v>0</v>
      </c>
      <c r="AN3256">
        <v>2</v>
      </c>
      <c r="BC3256">
        <v>0</v>
      </c>
      <c r="BD3256">
        <v>14</v>
      </c>
      <c r="BE3256">
        <v>183</v>
      </c>
      <c r="BF3256">
        <v>183</v>
      </c>
      <c r="BG3256">
        <v>389</v>
      </c>
      <c r="BJ3256">
        <v>1</v>
      </c>
      <c r="BL3256" t="s">
        <v>6754</v>
      </c>
      <c r="BM3256" s="4">
        <v>43283.056944444441</v>
      </c>
      <c r="BN3256" s="4">
        <v>43283.060763888891</v>
      </c>
      <c r="BO3256" s="4">
        <v>43283.060763888891</v>
      </c>
      <c r="BP3256" t="s">
        <v>92</v>
      </c>
      <c r="BQ3256" t="s">
        <v>93</v>
      </c>
      <c r="BR3256" t="s">
        <v>94</v>
      </c>
    </row>
    <row r="3257" spans="1:70" x14ac:dyDescent="0.3">
      <c r="A3257" t="str">
        <f>"202345C0100"</f>
        <v>202345C0100</v>
      </c>
      <c r="B3257" t="s">
        <v>6755</v>
      </c>
      <c r="C3257">
        <v>20</v>
      </c>
      <c r="D3257" t="s">
        <v>88</v>
      </c>
      <c r="E3257">
        <v>549</v>
      </c>
      <c r="F3257" t="s">
        <v>6735</v>
      </c>
      <c r="G3257">
        <v>2345</v>
      </c>
      <c r="H3257">
        <v>1</v>
      </c>
      <c r="I3257" t="s">
        <v>98</v>
      </c>
      <c r="J3257">
        <v>0</v>
      </c>
      <c r="K3257">
        <v>2</v>
      </c>
      <c r="L3257">
        <v>5</v>
      </c>
      <c r="BG3257">
        <v>389</v>
      </c>
      <c r="BI3257" t="s">
        <v>122</v>
      </c>
      <c r="BJ3257">
        <v>0</v>
      </c>
      <c r="BL3257" t="s">
        <v>6756</v>
      </c>
      <c r="BM3257" s="4">
        <v>43283.34652777778</v>
      </c>
      <c r="BN3257" s="4">
        <v>43283.348368055558</v>
      </c>
      <c r="BO3257" s="4">
        <v>43283.348368055558</v>
      </c>
      <c r="BP3257" t="s">
        <v>92</v>
      </c>
      <c r="BQ3257" t="s">
        <v>93</v>
      </c>
      <c r="BR3257" t="s">
        <v>94</v>
      </c>
    </row>
    <row r="3258" spans="1:70" x14ac:dyDescent="0.3">
      <c r="A3258" t="str">
        <f>"202346B0100"</f>
        <v>202346B0100</v>
      </c>
      <c r="B3258" t="s">
        <v>6757</v>
      </c>
      <c r="C3258">
        <v>20</v>
      </c>
      <c r="D3258" t="s">
        <v>88</v>
      </c>
      <c r="E3258">
        <v>549</v>
      </c>
      <c r="F3258" t="s">
        <v>6735</v>
      </c>
      <c r="G3258">
        <v>2346</v>
      </c>
      <c r="H3258">
        <v>1</v>
      </c>
      <c r="I3258" t="s">
        <v>90</v>
      </c>
      <c r="J3258">
        <v>0</v>
      </c>
      <c r="K3258">
        <v>2</v>
      </c>
      <c r="L3258">
        <v>5</v>
      </c>
      <c r="M3258">
        <v>308</v>
      </c>
      <c r="N3258">
        <v>346</v>
      </c>
      <c r="O3258">
        <v>0</v>
      </c>
      <c r="P3258">
        <v>346</v>
      </c>
      <c r="Q3258">
        <v>4</v>
      </c>
      <c r="R3258">
        <v>59</v>
      </c>
      <c r="S3258">
        <v>199</v>
      </c>
      <c r="T3258">
        <v>1</v>
      </c>
      <c r="U3258">
        <v>14</v>
      </c>
      <c r="V3258">
        <v>1</v>
      </c>
      <c r="X3258">
        <v>3</v>
      </c>
      <c r="Y3258">
        <v>37</v>
      </c>
      <c r="Z3258">
        <v>3</v>
      </c>
      <c r="AC3258">
        <v>3</v>
      </c>
      <c r="AD3258">
        <v>0</v>
      </c>
      <c r="AE3258">
        <v>0</v>
      </c>
      <c r="AF3258">
        <v>0</v>
      </c>
      <c r="AG3258">
        <v>1</v>
      </c>
      <c r="AH3258">
        <v>1</v>
      </c>
      <c r="AI3258">
        <v>0</v>
      </c>
      <c r="AJ3258">
        <v>0</v>
      </c>
      <c r="AK3258">
        <v>2</v>
      </c>
      <c r="AL3258">
        <v>0</v>
      </c>
      <c r="AM3258">
        <v>0</v>
      </c>
      <c r="AN3258">
        <v>0</v>
      </c>
      <c r="BC3258">
        <v>0</v>
      </c>
      <c r="BD3258">
        <v>18</v>
      </c>
      <c r="BE3258" t="s">
        <v>105</v>
      </c>
      <c r="BF3258">
        <v>346</v>
      </c>
      <c r="BG3258">
        <v>632</v>
      </c>
      <c r="BJ3258">
        <v>1</v>
      </c>
      <c r="BL3258" t="s">
        <v>6758</v>
      </c>
      <c r="BM3258" s="4">
        <v>43283.199999999997</v>
      </c>
      <c r="BN3258" s="4">
        <v>43283.216435185182</v>
      </c>
      <c r="BO3258" s="4">
        <v>43283.216435185182</v>
      </c>
      <c r="BP3258" t="s">
        <v>92</v>
      </c>
      <c r="BQ3258" t="s">
        <v>93</v>
      </c>
      <c r="BR3258" t="s">
        <v>94</v>
      </c>
    </row>
    <row r="3259" spans="1:70" x14ac:dyDescent="0.3">
      <c r="A3259" t="str">
        <f>"202346C0100"</f>
        <v>202346C0100</v>
      </c>
      <c r="B3259" t="s">
        <v>6759</v>
      </c>
      <c r="C3259">
        <v>20</v>
      </c>
      <c r="D3259" t="s">
        <v>88</v>
      </c>
      <c r="E3259">
        <v>549</v>
      </c>
      <c r="F3259" t="s">
        <v>6735</v>
      </c>
      <c r="G3259">
        <v>2346</v>
      </c>
      <c r="H3259">
        <v>1</v>
      </c>
      <c r="I3259" t="s">
        <v>98</v>
      </c>
      <c r="J3259">
        <v>0</v>
      </c>
      <c r="K3259">
        <v>2</v>
      </c>
      <c r="L3259">
        <v>5</v>
      </c>
      <c r="M3259">
        <v>341</v>
      </c>
      <c r="N3259">
        <v>313</v>
      </c>
      <c r="O3259">
        <v>0</v>
      </c>
      <c r="P3259">
        <v>313</v>
      </c>
      <c r="Q3259">
        <v>9</v>
      </c>
      <c r="R3259">
        <v>50</v>
      </c>
      <c r="S3259">
        <v>151</v>
      </c>
      <c r="T3259">
        <v>3</v>
      </c>
      <c r="U3259">
        <v>19</v>
      </c>
      <c r="V3259">
        <v>6</v>
      </c>
      <c r="X3259">
        <v>2</v>
      </c>
      <c r="Y3259">
        <v>35</v>
      </c>
      <c r="Z3259">
        <v>1</v>
      </c>
      <c r="AC3259">
        <v>1</v>
      </c>
      <c r="AD3259">
        <v>0</v>
      </c>
      <c r="AE3259">
        <v>0</v>
      </c>
      <c r="AF3259">
        <v>1</v>
      </c>
      <c r="AG3259">
        <v>2</v>
      </c>
      <c r="AH3259">
        <v>2</v>
      </c>
      <c r="AI3259">
        <v>0</v>
      </c>
      <c r="AJ3259">
        <v>0</v>
      </c>
      <c r="AK3259">
        <v>0</v>
      </c>
      <c r="AL3259">
        <v>0</v>
      </c>
      <c r="AM3259">
        <v>0</v>
      </c>
      <c r="AN3259">
        <v>0</v>
      </c>
      <c r="BC3259">
        <v>0</v>
      </c>
      <c r="BD3259">
        <v>31</v>
      </c>
      <c r="BE3259">
        <v>312</v>
      </c>
      <c r="BF3259">
        <v>313</v>
      </c>
      <c r="BG3259">
        <v>632</v>
      </c>
      <c r="BJ3259">
        <v>1</v>
      </c>
      <c r="BL3259" t="s">
        <v>6760</v>
      </c>
      <c r="BM3259" s="4">
        <v>43283.20208333333</v>
      </c>
      <c r="BN3259" s="4">
        <v>43283.221493055556</v>
      </c>
      <c r="BO3259" s="4">
        <v>43283.221493055556</v>
      </c>
      <c r="BP3259" t="s">
        <v>92</v>
      </c>
      <c r="BQ3259" t="s">
        <v>93</v>
      </c>
      <c r="BR3259" t="s">
        <v>94</v>
      </c>
    </row>
    <row r="3260" spans="1:70" x14ac:dyDescent="0.3">
      <c r="A3260" t="str">
        <f>"202346C0200"</f>
        <v>202346C0200</v>
      </c>
      <c r="B3260" t="s">
        <v>6761</v>
      </c>
      <c r="C3260">
        <v>20</v>
      </c>
      <c r="D3260" t="s">
        <v>88</v>
      </c>
      <c r="E3260">
        <v>549</v>
      </c>
      <c r="F3260" t="s">
        <v>6735</v>
      </c>
      <c r="G3260">
        <v>2346</v>
      </c>
      <c r="H3260">
        <v>2</v>
      </c>
      <c r="I3260" t="s">
        <v>98</v>
      </c>
      <c r="J3260">
        <v>0</v>
      </c>
      <c r="K3260">
        <v>2</v>
      </c>
      <c r="L3260">
        <v>5</v>
      </c>
      <c r="M3260">
        <v>325</v>
      </c>
      <c r="N3260">
        <v>654</v>
      </c>
      <c r="O3260">
        <v>0</v>
      </c>
      <c r="P3260">
        <v>331</v>
      </c>
      <c r="Q3260">
        <v>3</v>
      </c>
      <c r="R3260">
        <v>56</v>
      </c>
      <c r="S3260">
        <v>152</v>
      </c>
      <c r="T3260">
        <v>2</v>
      </c>
      <c r="U3260">
        <v>22</v>
      </c>
      <c r="V3260">
        <v>1</v>
      </c>
      <c r="X3260">
        <v>2</v>
      </c>
      <c r="Y3260">
        <v>47</v>
      </c>
      <c r="Z3260">
        <v>2</v>
      </c>
      <c r="AC3260">
        <v>2</v>
      </c>
      <c r="AD3260">
        <v>0</v>
      </c>
      <c r="AE3260">
        <v>0</v>
      </c>
      <c r="AF3260">
        <v>2</v>
      </c>
      <c r="AG3260">
        <v>1</v>
      </c>
      <c r="AH3260">
        <v>2</v>
      </c>
      <c r="AI3260">
        <v>0</v>
      </c>
      <c r="AJ3260">
        <v>0</v>
      </c>
      <c r="AK3260">
        <v>3</v>
      </c>
      <c r="AL3260">
        <v>0</v>
      </c>
      <c r="AM3260">
        <v>0</v>
      </c>
      <c r="AN3260">
        <v>1</v>
      </c>
      <c r="BC3260">
        <v>11</v>
      </c>
      <c r="BD3260">
        <v>22</v>
      </c>
      <c r="BE3260">
        <v>331</v>
      </c>
      <c r="BF3260">
        <v>331</v>
      </c>
      <c r="BG3260">
        <v>632</v>
      </c>
      <c r="BJ3260">
        <v>1</v>
      </c>
      <c r="BL3260" t="s">
        <v>6762</v>
      </c>
      <c r="BM3260" s="4">
        <v>43283.199305555558</v>
      </c>
      <c r="BN3260" s="4">
        <v>43283.217175925929</v>
      </c>
      <c r="BO3260" s="4">
        <v>43283.217175925929</v>
      </c>
      <c r="BP3260" t="s">
        <v>92</v>
      </c>
      <c r="BQ3260" t="s">
        <v>93</v>
      </c>
      <c r="BR3260" t="s">
        <v>94</v>
      </c>
    </row>
    <row r="3261" spans="1:70" x14ac:dyDescent="0.3">
      <c r="A3261" t="str">
        <f>"202347B0100"</f>
        <v>202347B0100</v>
      </c>
      <c r="B3261" t="s">
        <v>6763</v>
      </c>
      <c r="C3261">
        <v>20</v>
      </c>
      <c r="D3261" t="s">
        <v>88</v>
      </c>
      <c r="E3261">
        <v>549</v>
      </c>
      <c r="F3261" t="s">
        <v>6735</v>
      </c>
      <c r="G3261">
        <v>2347</v>
      </c>
      <c r="H3261">
        <v>1</v>
      </c>
      <c r="I3261" t="s">
        <v>90</v>
      </c>
      <c r="J3261">
        <v>0</v>
      </c>
      <c r="K3261">
        <v>2</v>
      </c>
      <c r="L3261">
        <v>5</v>
      </c>
      <c r="M3261">
        <v>133</v>
      </c>
      <c r="N3261">
        <v>163</v>
      </c>
      <c r="O3261">
        <v>9</v>
      </c>
      <c r="P3261">
        <v>163</v>
      </c>
      <c r="Q3261">
        <v>18</v>
      </c>
      <c r="R3261">
        <v>38</v>
      </c>
      <c r="S3261">
        <v>36</v>
      </c>
      <c r="T3261">
        <v>1</v>
      </c>
      <c r="U3261">
        <v>7</v>
      </c>
      <c r="V3261">
        <v>0</v>
      </c>
      <c r="X3261">
        <v>2</v>
      </c>
      <c r="Y3261">
        <v>45</v>
      </c>
      <c r="Z3261">
        <v>0</v>
      </c>
      <c r="AC3261">
        <v>0</v>
      </c>
      <c r="AD3261">
        <v>0</v>
      </c>
      <c r="AE3261">
        <v>0</v>
      </c>
      <c r="AF3261">
        <v>0</v>
      </c>
      <c r="AG3261">
        <v>0</v>
      </c>
      <c r="AH3261">
        <v>1</v>
      </c>
      <c r="AI3261">
        <v>0</v>
      </c>
      <c r="AJ3261">
        <v>0</v>
      </c>
      <c r="AK3261">
        <v>2</v>
      </c>
      <c r="AL3261">
        <v>1</v>
      </c>
      <c r="AM3261">
        <v>0</v>
      </c>
      <c r="AN3261">
        <v>0</v>
      </c>
      <c r="BC3261">
        <v>0</v>
      </c>
      <c r="BD3261">
        <v>12</v>
      </c>
      <c r="BE3261">
        <v>163</v>
      </c>
      <c r="BF3261">
        <v>163</v>
      </c>
      <c r="BG3261">
        <v>274</v>
      </c>
      <c r="BJ3261">
        <v>1</v>
      </c>
      <c r="BL3261" t="s">
        <v>6764</v>
      </c>
      <c r="BM3261" s="4">
        <v>43283.243750000001</v>
      </c>
      <c r="BN3261" s="4">
        <v>43283.269756944443</v>
      </c>
      <c r="BO3261" s="4">
        <v>43283.269756944443</v>
      </c>
      <c r="BP3261" t="s">
        <v>92</v>
      </c>
      <c r="BQ3261" t="s">
        <v>93</v>
      </c>
      <c r="BR3261" t="s">
        <v>94</v>
      </c>
    </row>
    <row r="3262" spans="1:70" x14ac:dyDescent="0.3">
      <c r="A3262" t="str">
        <f>"202348B0100"</f>
        <v>202348B0100</v>
      </c>
      <c r="B3262" t="s">
        <v>6765</v>
      </c>
      <c r="C3262">
        <v>20</v>
      </c>
      <c r="D3262" t="s">
        <v>88</v>
      </c>
      <c r="E3262">
        <v>549</v>
      </c>
      <c r="F3262" t="s">
        <v>6735</v>
      </c>
      <c r="G3262">
        <v>2348</v>
      </c>
      <c r="H3262">
        <v>1</v>
      </c>
      <c r="I3262" t="s">
        <v>90</v>
      </c>
      <c r="J3262">
        <v>0</v>
      </c>
      <c r="K3262">
        <v>2</v>
      </c>
      <c r="L3262">
        <v>5</v>
      </c>
      <c r="M3262">
        <v>307</v>
      </c>
      <c r="N3262">
        <v>361</v>
      </c>
      <c r="O3262">
        <v>1</v>
      </c>
      <c r="P3262">
        <v>361</v>
      </c>
      <c r="Q3262">
        <v>10</v>
      </c>
      <c r="R3262">
        <v>56</v>
      </c>
      <c r="S3262">
        <v>127</v>
      </c>
      <c r="T3262">
        <v>1</v>
      </c>
      <c r="U3262">
        <v>19</v>
      </c>
      <c r="V3262">
        <v>3</v>
      </c>
      <c r="X3262" t="s">
        <v>105</v>
      </c>
      <c r="Y3262" t="s">
        <v>105</v>
      </c>
      <c r="Z3262" t="s">
        <v>105</v>
      </c>
      <c r="AC3262" t="s">
        <v>105</v>
      </c>
      <c r="AD3262" t="s">
        <v>105</v>
      </c>
      <c r="AE3262" t="s">
        <v>105</v>
      </c>
      <c r="AF3262" t="s">
        <v>105</v>
      </c>
      <c r="AG3262" t="s">
        <v>105</v>
      </c>
      <c r="AH3262" t="s">
        <v>105</v>
      </c>
      <c r="AI3262" t="s">
        <v>105</v>
      </c>
      <c r="AJ3262" t="s">
        <v>105</v>
      </c>
      <c r="AK3262" t="s">
        <v>105</v>
      </c>
      <c r="AL3262" t="s">
        <v>105</v>
      </c>
      <c r="AM3262" t="s">
        <v>105</v>
      </c>
      <c r="AN3262" t="s">
        <v>105</v>
      </c>
      <c r="BC3262" t="s">
        <v>105</v>
      </c>
      <c r="BD3262" t="s">
        <v>105</v>
      </c>
      <c r="BE3262" t="s">
        <v>105</v>
      </c>
      <c r="BF3262">
        <v>216</v>
      </c>
      <c r="BG3262">
        <v>646</v>
      </c>
      <c r="BI3262" t="s">
        <v>106</v>
      </c>
      <c r="BJ3262">
        <v>1</v>
      </c>
      <c r="BL3262" t="s">
        <v>6766</v>
      </c>
      <c r="BM3262" s="4">
        <v>43283.188194444447</v>
      </c>
      <c r="BN3262" s="4">
        <v>43283.207418981481</v>
      </c>
      <c r="BO3262" s="4">
        <v>43283.207418981481</v>
      </c>
      <c r="BP3262" t="s">
        <v>92</v>
      </c>
      <c r="BQ3262" t="s">
        <v>93</v>
      </c>
      <c r="BR3262" t="s">
        <v>94</v>
      </c>
    </row>
    <row r="3263" spans="1:70" x14ac:dyDescent="0.3">
      <c r="A3263" t="str">
        <f>"202349B0100"</f>
        <v>202349B0100</v>
      </c>
      <c r="B3263" t="s">
        <v>6767</v>
      </c>
      <c r="C3263">
        <v>20</v>
      </c>
      <c r="D3263" t="s">
        <v>88</v>
      </c>
      <c r="E3263">
        <v>549</v>
      </c>
      <c r="F3263" t="s">
        <v>6735</v>
      </c>
      <c r="G3263">
        <v>2349</v>
      </c>
      <c r="H3263">
        <v>1</v>
      </c>
      <c r="I3263" t="s">
        <v>90</v>
      </c>
      <c r="J3263">
        <v>0</v>
      </c>
      <c r="K3263">
        <v>2</v>
      </c>
      <c r="L3263">
        <v>5</v>
      </c>
      <c r="M3263">
        <v>204</v>
      </c>
      <c r="N3263">
        <v>121</v>
      </c>
      <c r="O3263">
        <v>5</v>
      </c>
      <c r="P3263">
        <v>121</v>
      </c>
      <c r="Q3263">
        <v>7</v>
      </c>
      <c r="R3263">
        <v>38</v>
      </c>
      <c r="S3263">
        <v>24</v>
      </c>
      <c r="T3263">
        <v>2</v>
      </c>
      <c r="U3263">
        <v>3</v>
      </c>
      <c r="V3263">
        <v>3</v>
      </c>
      <c r="X3263">
        <v>1</v>
      </c>
      <c r="Y3263">
        <v>24</v>
      </c>
      <c r="Z3263">
        <v>2</v>
      </c>
      <c r="AC3263">
        <v>2</v>
      </c>
      <c r="AD3263">
        <v>2</v>
      </c>
      <c r="AE3263">
        <v>0</v>
      </c>
      <c r="AF3263">
        <v>0</v>
      </c>
      <c r="AG3263">
        <v>3</v>
      </c>
      <c r="AH3263">
        <v>0</v>
      </c>
      <c r="AI3263">
        <v>1</v>
      </c>
      <c r="AJ3263">
        <v>0</v>
      </c>
      <c r="AK3263">
        <v>1</v>
      </c>
      <c r="AL3263">
        <v>0</v>
      </c>
      <c r="AM3263">
        <v>0</v>
      </c>
      <c r="AN3263">
        <v>0</v>
      </c>
      <c r="BC3263">
        <v>1</v>
      </c>
      <c r="BD3263">
        <v>7</v>
      </c>
      <c r="BE3263">
        <v>121</v>
      </c>
      <c r="BF3263">
        <v>121</v>
      </c>
      <c r="BG3263">
        <v>181</v>
      </c>
      <c r="BJ3263">
        <v>1</v>
      </c>
      <c r="BL3263" t="s">
        <v>6768</v>
      </c>
      <c r="BM3263" s="4">
        <v>43283.244444444441</v>
      </c>
      <c r="BN3263" s="4">
        <v>43283.26939814815</v>
      </c>
      <c r="BO3263" s="4">
        <v>43283.26939814815</v>
      </c>
      <c r="BP3263" t="s">
        <v>92</v>
      </c>
      <c r="BQ3263" t="s">
        <v>93</v>
      </c>
      <c r="BR3263" t="s">
        <v>94</v>
      </c>
    </row>
    <row r="3264" spans="1:70" x14ac:dyDescent="0.3">
      <c r="A3264" t="str">
        <f>"202350B0100"</f>
        <v>202350B0100</v>
      </c>
      <c r="B3264" t="s">
        <v>6769</v>
      </c>
      <c r="C3264">
        <v>20</v>
      </c>
      <c r="D3264" t="s">
        <v>88</v>
      </c>
      <c r="E3264">
        <v>549</v>
      </c>
      <c r="F3264" t="s">
        <v>6735</v>
      </c>
      <c r="G3264">
        <v>2350</v>
      </c>
      <c r="H3264">
        <v>1</v>
      </c>
      <c r="I3264" t="s">
        <v>90</v>
      </c>
      <c r="J3264">
        <v>0</v>
      </c>
      <c r="K3264">
        <v>2</v>
      </c>
      <c r="L3264">
        <v>5</v>
      </c>
      <c r="M3264">
        <v>297</v>
      </c>
      <c r="N3264">
        <v>279</v>
      </c>
      <c r="O3264">
        <v>2</v>
      </c>
      <c r="P3264">
        <v>277</v>
      </c>
      <c r="Q3264">
        <v>9</v>
      </c>
      <c r="R3264">
        <v>106</v>
      </c>
      <c r="S3264">
        <v>87</v>
      </c>
      <c r="T3264">
        <v>1</v>
      </c>
      <c r="U3264">
        <v>11</v>
      </c>
      <c r="V3264">
        <v>3</v>
      </c>
      <c r="X3264">
        <v>2</v>
      </c>
      <c r="Y3264">
        <v>33</v>
      </c>
      <c r="Z3264">
        <v>1</v>
      </c>
      <c r="AC3264">
        <v>1</v>
      </c>
      <c r="AD3264">
        <v>1</v>
      </c>
      <c r="AE3264" t="s">
        <v>105</v>
      </c>
      <c r="AF3264" t="s">
        <v>105</v>
      </c>
      <c r="AG3264" t="s">
        <v>105</v>
      </c>
      <c r="AH3264" t="s">
        <v>105</v>
      </c>
      <c r="AI3264" t="s">
        <v>105</v>
      </c>
      <c r="AJ3264" t="s">
        <v>105</v>
      </c>
      <c r="AK3264" t="s">
        <v>105</v>
      </c>
      <c r="AL3264">
        <v>1</v>
      </c>
      <c r="AM3264" t="s">
        <v>105</v>
      </c>
      <c r="AN3264" t="s">
        <v>105</v>
      </c>
      <c r="BC3264" t="s">
        <v>105</v>
      </c>
      <c r="BD3264">
        <v>21</v>
      </c>
      <c r="BE3264">
        <v>279</v>
      </c>
      <c r="BF3264">
        <v>277</v>
      </c>
      <c r="BG3264">
        <v>554</v>
      </c>
      <c r="BI3264" t="s">
        <v>106</v>
      </c>
      <c r="BJ3264">
        <v>1</v>
      </c>
      <c r="BL3264" t="s">
        <v>6770</v>
      </c>
      <c r="BM3264" s="4">
        <v>43283.200694444444</v>
      </c>
      <c r="BN3264" s="4">
        <v>43283.219375000001</v>
      </c>
      <c r="BO3264" s="4">
        <v>43283.219375000001</v>
      </c>
      <c r="BP3264" t="s">
        <v>92</v>
      </c>
      <c r="BQ3264" t="s">
        <v>93</v>
      </c>
      <c r="BR3264" t="s">
        <v>94</v>
      </c>
    </row>
    <row r="3265" spans="1:70" x14ac:dyDescent="0.3">
      <c r="A3265" t="str">
        <f>"202351B0100"</f>
        <v>202351B0100</v>
      </c>
      <c r="B3265" t="s">
        <v>6771</v>
      </c>
      <c r="C3265">
        <v>20</v>
      </c>
      <c r="D3265" t="s">
        <v>88</v>
      </c>
      <c r="E3265">
        <v>549</v>
      </c>
      <c r="F3265" t="s">
        <v>6735</v>
      </c>
      <c r="G3265">
        <v>2351</v>
      </c>
      <c r="H3265">
        <v>1</v>
      </c>
      <c r="I3265" t="s">
        <v>90</v>
      </c>
      <c r="J3265">
        <v>0</v>
      </c>
      <c r="K3265">
        <v>2</v>
      </c>
      <c r="L3265">
        <v>5</v>
      </c>
      <c r="BG3265">
        <v>570</v>
      </c>
      <c r="BI3265" t="s">
        <v>122</v>
      </c>
      <c r="BJ3265">
        <v>0</v>
      </c>
      <c r="BL3265" t="s">
        <v>6772</v>
      </c>
      <c r="BM3265" s="4">
        <v>43283.347222222219</v>
      </c>
      <c r="BN3265" s="4">
        <v>43283.348900462966</v>
      </c>
      <c r="BO3265" s="4">
        <v>43283.348900462966</v>
      </c>
      <c r="BP3265" t="s">
        <v>92</v>
      </c>
      <c r="BQ3265" t="s">
        <v>93</v>
      </c>
      <c r="BR3265" t="s">
        <v>94</v>
      </c>
    </row>
    <row r="3266" spans="1:70" x14ac:dyDescent="0.3">
      <c r="A3266" t="str">
        <f>"202352B0100"</f>
        <v>202352B0100</v>
      </c>
      <c r="B3266" t="s">
        <v>6773</v>
      </c>
      <c r="C3266">
        <v>20</v>
      </c>
      <c r="D3266" t="s">
        <v>88</v>
      </c>
      <c r="E3266">
        <v>550</v>
      </c>
      <c r="F3266" t="s">
        <v>6774</v>
      </c>
      <c r="G3266">
        <v>2352</v>
      </c>
      <c r="H3266">
        <v>1</v>
      </c>
      <c r="I3266" t="s">
        <v>90</v>
      </c>
      <c r="J3266">
        <v>0</v>
      </c>
      <c r="K3266">
        <v>1</v>
      </c>
      <c r="L3266">
        <v>5</v>
      </c>
      <c r="M3266">
        <v>304</v>
      </c>
      <c r="N3266">
        <v>431</v>
      </c>
      <c r="O3266">
        <v>3</v>
      </c>
      <c r="P3266">
        <v>428</v>
      </c>
      <c r="Q3266">
        <v>62</v>
      </c>
      <c r="R3266">
        <v>65</v>
      </c>
      <c r="S3266">
        <v>9</v>
      </c>
      <c r="T3266">
        <v>5</v>
      </c>
      <c r="U3266">
        <v>23</v>
      </c>
      <c r="V3266">
        <v>7</v>
      </c>
      <c r="W3266">
        <v>9</v>
      </c>
      <c r="X3266">
        <v>7</v>
      </c>
      <c r="Y3266">
        <v>195</v>
      </c>
      <c r="Z3266">
        <v>3</v>
      </c>
      <c r="AA3266">
        <v>4</v>
      </c>
      <c r="AB3266">
        <v>18</v>
      </c>
      <c r="AC3266">
        <v>0</v>
      </c>
      <c r="AD3266">
        <v>0</v>
      </c>
      <c r="AE3266">
        <v>0</v>
      </c>
      <c r="AF3266">
        <v>0</v>
      </c>
      <c r="AG3266">
        <v>1</v>
      </c>
      <c r="AH3266">
        <v>1</v>
      </c>
      <c r="AI3266">
        <v>0</v>
      </c>
      <c r="AJ3266">
        <v>1</v>
      </c>
      <c r="AK3266">
        <v>5</v>
      </c>
      <c r="AL3266">
        <v>1</v>
      </c>
      <c r="AM3266">
        <v>0</v>
      </c>
      <c r="AN3266">
        <v>1</v>
      </c>
      <c r="BC3266">
        <v>1</v>
      </c>
      <c r="BD3266">
        <v>10</v>
      </c>
      <c r="BE3266">
        <v>428</v>
      </c>
      <c r="BF3266">
        <v>428</v>
      </c>
      <c r="BG3266">
        <v>711</v>
      </c>
      <c r="BJ3266">
        <v>1</v>
      </c>
      <c r="BL3266" t="s">
        <v>6775</v>
      </c>
      <c r="BM3266" s="4">
        <v>43283.148611111108</v>
      </c>
      <c r="BN3266" s="4">
        <v>43283.158599537041</v>
      </c>
      <c r="BO3266" s="4">
        <v>43283.158599537041</v>
      </c>
      <c r="BP3266" t="s">
        <v>92</v>
      </c>
      <c r="BQ3266" t="s">
        <v>93</v>
      </c>
      <c r="BR3266" t="s">
        <v>94</v>
      </c>
    </row>
    <row r="3267" spans="1:70" x14ac:dyDescent="0.3">
      <c r="A3267" t="str">
        <f>"202352C0100"</f>
        <v>202352C0100</v>
      </c>
      <c r="B3267" t="s">
        <v>6776</v>
      </c>
      <c r="C3267">
        <v>20</v>
      </c>
      <c r="D3267" t="s">
        <v>88</v>
      </c>
      <c r="E3267">
        <v>550</v>
      </c>
      <c r="F3267" t="s">
        <v>6774</v>
      </c>
      <c r="G3267">
        <v>2352</v>
      </c>
      <c r="H3267">
        <v>1</v>
      </c>
      <c r="I3267" t="s">
        <v>98</v>
      </c>
      <c r="J3267">
        <v>0</v>
      </c>
      <c r="K3267">
        <v>1</v>
      </c>
      <c r="L3267">
        <v>5</v>
      </c>
      <c r="M3267">
        <v>292</v>
      </c>
      <c r="N3267">
        <v>440</v>
      </c>
      <c r="O3267">
        <v>4</v>
      </c>
      <c r="P3267">
        <v>439</v>
      </c>
      <c r="Q3267">
        <v>45</v>
      </c>
      <c r="R3267">
        <v>64</v>
      </c>
      <c r="S3267">
        <v>2</v>
      </c>
      <c r="T3267">
        <v>3</v>
      </c>
      <c r="U3267">
        <v>13</v>
      </c>
      <c r="V3267">
        <v>4</v>
      </c>
      <c r="W3267">
        <v>12</v>
      </c>
      <c r="X3267">
        <v>8</v>
      </c>
      <c r="Y3267">
        <v>233</v>
      </c>
      <c r="Z3267">
        <v>4</v>
      </c>
      <c r="AA3267">
        <v>3</v>
      </c>
      <c r="AB3267">
        <v>14</v>
      </c>
      <c r="AC3267">
        <v>1</v>
      </c>
      <c r="AD3267">
        <v>1</v>
      </c>
      <c r="AE3267">
        <v>0</v>
      </c>
      <c r="AF3267">
        <v>0</v>
      </c>
      <c r="AG3267">
        <v>2</v>
      </c>
      <c r="AH3267">
        <v>1</v>
      </c>
      <c r="AI3267">
        <v>0</v>
      </c>
      <c r="AJ3267">
        <v>2</v>
      </c>
      <c r="AK3267">
        <v>11</v>
      </c>
      <c r="AL3267">
        <v>1</v>
      </c>
      <c r="AM3267">
        <v>0</v>
      </c>
      <c r="AN3267">
        <v>0</v>
      </c>
      <c r="BC3267">
        <v>0</v>
      </c>
      <c r="BD3267">
        <v>15</v>
      </c>
      <c r="BE3267">
        <v>439</v>
      </c>
      <c r="BF3267">
        <v>439</v>
      </c>
      <c r="BG3267">
        <v>710</v>
      </c>
      <c r="BJ3267">
        <v>1</v>
      </c>
      <c r="BL3267" t="s">
        <v>6777</v>
      </c>
      <c r="BM3267" s="4">
        <v>43283.148611111108</v>
      </c>
      <c r="BN3267" s="4">
        <v>43283.16684027778</v>
      </c>
      <c r="BO3267" s="4">
        <v>43283.16684027778</v>
      </c>
      <c r="BP3267" t="s">
        <v>92</v>
      </c>
      <c r="BQ3267" t="s">
        <v>93</v>
      </c>
      <c r="BR3267" t="s">
        <v>94</v>
      </c>
    </row>
    <row r="3268" spans="1:70" x14ac:dyDescent="0.3">
      <c r="A3268" t="str">
        <f>"202352C0200"</f>
        <v>202352C0200</v>
      </c>
      <c r="B3268" t="s">
        <v>6778</v>
      </c>
      <c r="C3268">
        <v>20</v>
      </c>
      <c r="D3268" t="s">
        <v>88</v>
      </c>
      <c r="E3268">
        <v>550</v>
      </c>
      <c r="F3268" t="s">
        <v>6774</v>
      </c>
      <c r="G3268">
        <v>2352</v>
      </c>
      <c r="H3268">
        <v>2</v>
      </c>
      <c r="I3268" t="s">
        <v>98</v>
      </c>
      <c r="J3268">
        <v>0</v>
      </c>
      <c r="K3268">
        <v>1</v>
      </c>
      <c r="L3268">
        <v>5</v>
      </c>
      <c r="M3268">
        <v>278</v>
      </c>
      <c r="N3268">
        <v>455</v>
      </c>
      <c r="O3268">
        <v>6</v>
      </c>
      <c r="P3268">
        <v>455</v>
      </c>
      <c r="Q3268">
        <v>53</v>
      </c>
      <c r="R3268">
        <v>75</v>
      </c>
      <c r="S3268">
        <v>5</v>
      </c>
      <c r="T3268">
        <v>3</v>
      </c>
      <c r="U3268">
        <v>29</v>
      </c>
      <c r="V3268">
        <v>16</v>
      </c>
      <c r="W3268">
        <v>7</v>
      </c>
      <c r="X3268">
        <v>9</v>
      </c>
      <c r="Y3268">
        <v>215</v>
      </c>
      <c r="Z3268">
        <v>8</v>
      </c>
      <c r="AA3268">
        <v>0</v>
      </c>
      <c r="AB3268">
        <v>7</v>
      </c>
      <c r="AC3268">
        <v>4</v>
      </c>
      <c r="AD3268">
        <v>2</v>
      </c>
      <c r="AE3268">
        <v>0</v>
      </c>
      <c r="AF3268">
        <v>0</v>
      </c>
      <c r="AG3268">
        <v>3</v>
      </c>
      <c r="AH3268">
        <v>0</v>
      </c>
      <c r="AI3268">
        <v>0</v>
      </c>
      <c r="AJ3268">
        <v>0</v>
      </c>
      <c r="AK3268">
        <v>2</v>
      </c>
      <c r="AL3268">
        <v>4</v>
      </c>
      <c r="AM3268">
        <v>1</v>
      </c>
      <c r="AN3268">
        <v>0</v>
      </c>
      <c r="BC3268">
        <v>0</v>
      </c>
      <c r="BD3268">
        <v>12</v>
      </c>
      <c r="BE3268">
        <v>455</v>
      </c>
      <c r="BF3268">
        <v>455</v>
      </c>
      <c r="BG3268">
        <v>710</v>
      </c>
      <c r="BJ3268">
        <v>1</v>
      </c>
      <c r="BL3268" t="s">
        <v>6779</v>
      </c>
      <c r="BM3268" s="4">
        <v>43283.148611111108</v>
      </c>
      <c r="BN3268" s="4">
        <v>43283.166574074072</v>
      </c>
      <c r="BO3268" s="4">
        <v>43283.166574074072</v>
      </c>
      <c r="BP3268" t="s">
        <v>92</v>
      </c>
      <c r="BQ3268" t="s">
        <v>93</v>
      </c>
      <c r="BR3268" t="s">
        <v>94</v>
      </c>
    </row>
    <row r="3269" spans="1:70" x14ac:dyDescent="0.3">
      <c r="A3269" t="str">
        <f>"202352C0300"</f>
        <v>202352C0300</v>
      </c>
      <c r="B3269" t="s">
        <v>6780</v>
      </c>
      <c r="C3269">
        <v>20</v>
      </c>
      <c r="D3269" t="s">
        <v>88</v>
      </c>
      <c r="E3269">
        <v>550</v>
      </c>
      <c r="F3269" t="s">
        <v>6774</v>
      </c>
      <c r="G3269">
        <v>2352</v>
      </c>
      <c r="H3269">
        <v>3</v>
      </c>
      <c r="I3269" t="s">
        <v>98</v>
      </c>
      <c r="J3269">
        <v>0</v>
      </c>
      <c r="K3269">
        <v>1</v>
      </c>
      <c r="L3269">
        <v>5</v>
      </c>
      <c r="M3269">
        <v>296</v>
      </c>
      <c r="N3269" t="s">
        <v>105</v>
      </c>
      <c r="O3269" t="s">
        <v>105</v>
      </c>
      <c r="P3269">
        <v>435</v>
      </c>
      <c r="Q3269">
        <v>52</v>
      </c>
      <c r="R3269">
        <v>67</v>
      </c>
      <c r="S3269">
        <v>6</v>
      </c>
      <c r="T3269">
        <v>3</v>
      </c>
      <c r="U3269">
        <v>29</v>
      </c>
      <c r="V3269">
        <v>4</v>
      </c>
      <c r="W3269">
        <v>7</v>
      </c>
      <c r="X3269">
        <v>7</v>
      </c>
      <c r="Y3269">
        <v>224</v>
      </c>
      <c r="Z3269">
        <v>8</v>
      </c>
      <c r="AA3269">
        <v>1</v>
      </c>
      <c r="AB3269">
        <v>8</v>
      </c>
      <c r="AC3269">
        <v>0</v>
      </c>
      <c r="AD3269">
        <v>0</v>
      </c>
      <c r="AE3269">
        <v>0</v>
      </c>
      <c r="AF3269">
        <v>0</v>
      </c>
      <c r="AG3269">
        <v>1</v>
      </c>
      <c r="AH3269">
        <v>0</v>
      </c>
      <c r="AI3269">
        <v>0</v>
      </c>
      <c r="AJ3269">
        <v>0</v>
      </c>
      <c r="AK3269">
        <v>5</v>
      </c>
      <c r="AL3269">
        <v>2</v>
      </c>
      <c r="AM3269">
        <v>0</v>
      </c>
      <c r="AN3269">
        <v>0</v>
      </c>
      <c r="BC3269">
        <v>0</v>
      </c>
      <c r="BD3269">
        <v>11</v>
      </c>
      <c r="BE3269">
        <v>435</v>
      </c>
      <c r="BF3269">
        <v>435</v>
      </c>
      <c r="BG3269">
        <v>710</v>
      </c>
      <c r="BJ3269">
        <v>1</v>
      </c>
      <c r="BL3269" t="s">
        <v>6781</v>
      </c>
      <c r="BM3269" s="4">
        <v>43283.148611111108</v>
      </c>
      <c r="BN3269" s="4">
        <v>43283.164039351854</v>
      </c>
      <c r="BO3269" s="4">
        <v>43283.164039351854</v>
      </c>
      <c r="BP3269" t="s">
        <v>92</v>
      </c>
      <c r="BQ3269" t="s">
        <v>93</v>
      </c>
      <c r="BR3269" t="s">
        <v>94</v>
      </c>
    </row>
    <row r="3270" spans="1:70" x14ac:dyDescent="0.3">
      <c r="A3270" t="str">
        <f>"202352C0400"</f>
        <v>202352C0400</v>
      </c>
      <c r="B3270" t="s">
        <v>6782</v>
      </c>
      <c r="C3270">
        <v>20</v>
      </c>
      <c r="D3270" t="s">
        <v>88</v>
      </c>
      <c r="E3270">
        <v>550</v>
      </c>
      <c r="F3270" t="s">
        <v>6774</v>
      </c>
      <c r="G3270">
        <v>2352</v>
      </c>
      <c r="H3270">
        <v>4</v>
      </c>
      <c r="I3270" t="s">
        <v>98</v>
      </c>
      <c r="J3270">
        <v>0</v>
      </c>
      <c r="K3270">
        <v>1</v>
      </c>
      <c r="L3270">
        <v>5</v>
      </c>
      <c r="M3270">
        <v>212</v>
      </c>
      <c r="N3270">
        <v>426</v>
      </c>
      <c r="O3270">
        <v>7</v>
      </c>
      <c r="P3270" t="s">
        <v>105</v>
      </c>
      <c r="Q3270">
        <v>67</v>
      </c>
      <c r="R3270">
        <v>46</v>
      </c>
      <c r="S3270">
        <v>7</v>
      </c>
      <c r="T3270">
        <v>5</v>
      </c>
      <c r="U3270">
        <v>24</v>
      </c>
      <c r="V3270">
        <v>4</v>
      </c>
      <c r="W3270">
        <v>3</v>
      </c>
      <c r="X3270">
        <v>8</v>
      </c>
      <c r="Y3270">
        <v>216</v>
      </c>
      <c r="Z3270">
        <v>4</v>
      </c>
      <c r="AA3270">
        <v>3</v>
      </c>
      <c r="AB3270">
        <v>7</v>
      </c>
      <c r="AC3270">
        <v>1</v>
      </c>
      <c r="AD3270">
        <v>0</v>
      </c>
      <c r="AE3270">
        <v>0</v>
      </c>
      <c r="AF3270">
        <v>0</v>
      </c>
      <c r="AG3270">
        <v>3</v>
      </c>
      <c r="AH3270">
        <v>1</v>
      </c>
      <c r="AI3270">
        <v>0</v>
      </c>
      <c r="AJ3270">
        <v>0</v>
      </c>
      <c r="AK3270">
        <v>9</v>
      </c>
      <c r="AL3270">
        <v>1</v>
      </c>
      <c r="AM3270">
        <v>1</v>
      </c>
      <c r="AN3270">
        <v>1</v>
      </c>
      <c r="BC3270">
        <v>0</v>
      </c>
      <c r="BD3270">
        <v>9</v>
      </c>
      <c r="BE3270">
        <v>420</v>
      </c>
      <c r="BF3270">
        <v>420</v>
      </c>
      <c r="BG3270">
        <v>710</v>
      </c>
      <c r="BJ3270">
        <v>1</v>
      </c>
      <c r="BL3270" t="s">
        <v>6783</v>
      </c>
      <c r="BM3270" s="4">
        <v>43283.148611111108</v>
      </c>
      <c r="BN3270" s="4">
        <v>43283.160127314812</v>
      </c>
      <c r="BO3270" s="4">
        <v>43283.160127314812</v>
      </c>
      <c r="BP3270" t="s">
        <v>92</v>
      </c>
      <c r="BQ3270" t="s">
        <v>93</v>
      </c>
      <c r="BR3270" t="s">
        <v>94</v>
      </c>
    </row>
    <row r="3271" spans="1:70" x14ac:dyDescent="0.3">
      <c r="A3271" t="str">
        <f>"202352C0500"</f>
        <v>202352C0500</v>
      </c>
      <c r="B3271" t="s">
        <v>6784</v>
      </c>
      <c r="C3271">
        <v>20</v>
      </c>
      <c r="D3271" t="s">
        <v>88</v>
      </c>
      <c r="E3271">
        <v>550</v>
      </c>
      <c r="F3271" t="s">
        <v>6774</v>
      </c>
      <c r="G3271">
        <v>2352</v>
      </c>
      <c r="H3271">
        <v>5</v>
      </c>
      <c r="I3271" t="s">
        <v>98</v>
      </c>
      <c r="J3271">
        <v>0</v>
      </c>
      <c r="K3271">
        <v>1</v>
      </c>
      <c r="L3271">
        <v>5</v>
      </c>
      <c r="M3271">
        <v>313</v>
      </c>
      <c r="N3271">
        <v>419</v>
      </c>
      <c r="O3271">
        <v>8</v>
      </c>
      <c r="P3271">
        <v>419</v>
      </c>
      <c r="Q3271">
        <v>74</v>
      </c>
      <c r="R3271">
        <v>61</v>
      </c>
      <c r="S3271">
        <v>4</v>
      </c>
      <c r="T3271">
        <v>5</v>
      </c>
      <c r="U3271">
        <v>25</v>
      </c>
      <c r="V3271">
        <v>26</v>
      </c>
      <c r="W3271">
        <v>5</v>
      </c>
      <c r="X3271">
        <v>10</v>
      </c>
      <c r="Y3271">
        <v>182</v>
      </c>
      <c r="Z3271">
        <v>5</v>
      </c>
      <c r="AA3271">
        <v>2</v>
      </c>
      <c r="AB3271">
        <v>15</v>
      </c>
      <c r="AC3271">
        <v>4</v>
      </c>
      <c r="AD3271">
        <v>0</v>
      </c>
      <c r="AE3271">
        <v>0</v>
      </c>
      <c r="AF3271">
        <v>0</v>
      </c>
      <c r="AG3271">
        <v>1</v>
      </c>
      <c r="AH3271">
        <v>2</v>
      </c>
      <c r="AI3271">
        <v>0</v>
      </c>
      <c r="AJ3271">
        <v>0</v>
      </c>
      <c r="AK3271">
        <v>4</v>
      </c>
      <c r="AL3271">
        <v>3</v>
      </c>
      <c r="AM3271">
        <v>0</v>
      </c>
      <c r="AN3271">
        <v>3</v>
      </c>
      <c r="BC3271">
        <v>0</v>
      </c>
      <c r="BD3271">
        <v>8</v>
      </c>
      <c r="BE3271">
        <v>419</v>
      </c>
      <c r="BF3271">
        <v>439</v>
      </c>
      <c r="BG3271">
        <v>710</v>
      </c>
      <c r="BJ3271">
        <v>1</v>
      </c>
      <c r="BL3271" t="s">
        <v>6785</v>
      </c>
      <c r="BM3271" s="4">
        <v>43283.148611111108</v>
      </c>
      <c r="BN3271" s="4">
        <v>43283.16070601852</v>
      </c>
      <c r="BO3271" s="4">
        <v>43283.16070601852</v>
      </c>
      <c r="BP3271" t="s">
        <v>92</v>
      </c>
      <c r="BQ3271" t="s">
        <v>93</v>
      </c>
      <c r="BR3271" t="s">
        <v>94</v>
      </c>
    </row>
    <row r="3272" spans="1:70" x14ac:dyDescent="0.3">
      <c r="A3272" t="str">
        <f>"202352S0100"</f>
        <v>202352S0100</v>
      </c>
      <c r="B3272" t="s">
        <v>6786</v>
      </c>
      <c r="C3272">
        <v>20</v>
      </c>
      <c r="D3272" t="s">
        <v>88</v>
      </c>
      <c r="E3272">
        <v>550</v>
      </c>
      <c r="F3272" t="s">
        <v>6774</v>
      </c>
      <c r="G3272">
        <v>2352</v>
      </c>
      <c r="H3272">
        <v>1</v>
      </c>
      <c r="I3272" t="s">
        <v>113</v>
      </c>
      <c r="J3272">
        <v>0</v>
      </c>
      <c r="K3272">
        <v>1</v>
      </c>
      <c r="L3272">
        <v>6</v>
      </c>
      <c r="M3272">
        <v>849</v>
      </c>
      <c r="N3272">
        <v>23</v>
      </c>
      <c r="O3272">
        <v>0</v>
      </c>
      <c r="P3272">
        <v>23</v>
      </c>
      <c r="Q3272">
        <v>2</v>
      </c>
      <c r="R3272">
        <v>7</v>
      </c>
      <c r="S3272">
        <v>0</v>
      </c>
      <c r="T3272">
        <v>1</v>
      </c>
      <c r="U3272">
        <v>2</v>
      </c>
      <c r="V3272">
        <v>1</v>
      </c>
      <c r="W3272">
        <v>0</v>
      </c>
      <c r="X3272">
        <v>1</v>
      </c>
      <c r="Y3272">
        <v>7</v>
      </c>
      <c r="Z3272">
        <v>0</v>
      </c>
      <c r="AA3272">
        <v>0</v>
      </c>
      <c r="AB3272">
        <v>2</v>
      </c>
      <c r="AC3272">
        <v>0</v>
      </c>
      <c r="AD3272">
        <v>0</v>
      </c>
      <c r="AE3272">
        <v>0</v>
      </c>
      <c r="AF3272">
        <v>0</v>
      </c>
      <c r="AG3272">
        <v>0</v>
      </c>
      <c r="AH3272">
        <v>0</v>
      </c>
      <c r="AI3272">
        <v>0</v>
      </c>
      <c r="AJ3272">
        <v>0</v>
      </c>
      <c r="AK3272">
        <v>0</v>
      </c>
      <c r="AL3272">
        <v>0</v>
      </c>
      <c r="AM3272">
        <v>0</v>
      </c>
      <c r="AN3272">
        <v>0</v>
      </c>
      <c r="BC3272">
        <v>0</v>
      </c>
      <c r="BD3272">
        <v>0</v>
      </c>
      <c r="BE3272">
        <v>23</v>
      </c>
      <c r="BF3272">
        <v>23</v>
      </c>
      <c r="BG3272">
        <v>0</v>
      </c>
      <c r="BJ3272">
        <v>1</v>
      </c>
      <c r="BL3272" t="s">
        <v>6787</v>
      </c>
      <c r="BM3272" s="4">
        <v>43283.175694444442</v>
      </c>
      <c r="BN3272" s="4">
        <v>43283.196215277778</v>
      </c>
      <c r="BO3272" s="4">
        <v>43283.196215277778</v>
      </c>
      <c r="BP3272" t="s">
        <v>92</v>
      </c>
      <c r="BQ3272" t="s">
        <v>93</v>
      </c>
      <c r="BR3272" t="s">
        <v>94</v>
      </c>
    </row>
    <row r="3273" spans="1:70" x14ac:dyDescent="0.3">
      <c r="A3273" t="str">
        <f>"202353B0100"</f>
        <v>202353B0100</v>
      </c>
      <c r="B3273" t="s">
        <v>6788</v>
      </c>
      <c r="C3273">
        <v>20</v>
      </c>
      <c r="D3273" t="s">
        <v>88</v>
      </c>
      <c r="E3273">
        <v>550</v>
      </c>
      <c r="F3273" t="s">
        <v>6774</v>
      </c>
      <c r="G3273">
        <v>2353</v>
      </c>
      <c r="H3273">
        <v>1</v>
      </c>
      <c r="I3273" t="s">
        <v>90</v>
      </c>
      <c r="J3273">
        <v>0</v>
      </c>
      <c r="K3273">
        <v>2</v>
      </c>
      <c r="L3273">
        <v>5</v>
      </c>
      <c r="M3273">
        <v>263</v>
      </c>
      <c r="N3273">
        <v>329</v>
      </c>
      <c r="O3273">
        <v>4</v>
      </c>
      <c r="P3273">
        <v>328</v>
      </c>
      <c r="Q3273">
        <v>38</v>
      </c>
      <c r="R3273">
        <v>63</v>
      </c>
      <c r="S3273">
        <v>9</v>
      </c>
      <c r="T3273">
        <v>4</v>
      </c>
      <c r="U3273">
        <v>17</v>
      </c>
      <c r="V3273">
        <v>4</v>
      </c>
      <c r="W3273">
        <v>7</v>
      </c>
      <c r="X3273">
        <v>6</v>
      </c>
      <c r="Y3273">
        <v>130</v>
      </c>
      <c r="Z3273">
        <v>7</v>
      </c>
      <c r="AA3273">
        <v>0</v>
      </c>
      <c r="AB3273">
        <v>18</v>
      </c>
      <c r="AC3273">
        <v>2</v>
      </c>
      <c r="AD3273">
        <v>0</v>
      </c>
      <c r="AE3273">
        <v>0</v>
      </c>
      <c r="AF3273">
        <v>0</v>
      </c>
      <c r="AG3273">
        <v>4</v>
      </c>
      <c r="AH3273">
        <v>0</v>
      </c>
      <c r="AI3273">
        <v>2</v>
      </c>
      <c r="AJ3273">
        <v>0</v>
      </c>
      <c r="AK3273">
        <v>0</v>
      </c>
      <c r="AL3273">
        <v>4</v>
      </c>
      <c r="AM3273">
        <v>0</v>
      </c>
      <c r="AN3273">
        <v>2</v>
      </c>
      <c r="BC3273">
        <v>1</v>
      </c>
      <c r="BD3273">
        <v>10</v>
      </c>
      <c r="BE3273">
        <v>328</v>
      </c>
      <c r="BF3273">
        <v>328</v>
      </c>
      <c r="BG3273">
        <v>570</v>
      </c>
      <c r="BJ3273">
        <v>1</v>
      </c>
      <c r="BL3273" t="s">
        <v>6789</v>
      </c>
      <c r="BM3273" s="4">
        <v>43283.148611111108</v>
      </c>
      <c r="BN3273" s="4">
        <v>43283.16033564815</v>
      </c>
      <c r="BO3273" s="4">
        <v>43283.16033564815</v>
      </c>
      <c r="BP3273" t="s">
        <v>92</v>
      </c>
      <c r="BQ3273" t="s">
        <v>93</v>
      </c>
      <c r="BR3273" t="s">
        <v>94</v>
      </c>
    </row>
    <row r="3274" spans="1:70" x14ac:dyDescent="0.3">
      <c r="A3274" t="str">
        <f>"202353C0100"</f>
        <v>202353C0100</v>
      </c>
      <c r="B3274" t="s">
        <v>6790</v>
      </c>
      <c r="C3274">
        <v>20</v>
      </c>
      <c r="D3274" t="s">
        <v>88</v>
      </c>
      <c r="E3274">
        <v>550</v>
      </c>
      <c r="F3274" t="s">
        <v>6774</v>
      </c>
      <c r="G3274">
        <v>2353</v>
      </c>
      <c r="H3274">
        <v>1</v>
      </c>
      <c r="I3274" t="s">
        <v>98</v>
      </c>
      <c r="J3274">
        <v>0</v>
      </c>
      <c r="K3274">
        <v>2</v>
      </c>
      <c r="L3274">
        <v>5</v>
      </c>
      <c r="M3274">
        <v>241</v>
      </c>
      <c r="N3274">
        <v>351</v>
      </c>
      <c r="O3274">
        <v>7</v>
      </c>
      <c r="P3274">
        <v>350</v>
      </c>
      <c r="Q3274">
        <v>37</v>
      </c>
      <c r="R3274">
        <v>70</v>
      </c>
      <c r="S3274">
        <v>7</v>
      </c>
      <c r="T3274">
        <v>2</v>
      </c>
      <c r="U3274">
        <v>9</v>
      </c>
      <c r="V3274">
        <v>7</v>
      </c>
      <c r="W3274">
        <v>6</v>
      </c>
      <c r="X3274">
        <v>5</v>
      </c>
      <c r="Y3274">
        <v>156</v>
      </c>
      <c r="Z3274">
        <v>8</v>
      </c>
      <c r="AA3274">
        <v>2</v>
      </c>
      <c r="AB3274">
        <v>14</v>
      </c>
      <c r="AC3274">
        <v>0</v>
      </c>
      <c r="AD3274">
        <v>1</v>
      </c>
      <c r="AE3274">
        <v>0</v>
      </c>
      <c r="AF3274">
        <v>0</v>
      </c>
      <c r="AG3274">
        <v>3</v>
      </c>
      <c r="AH3274">
        <v>0</v>
      </c>
      <c r="AI3274">
        <v>0</v>
      </c>
      <c r="AJ3274">
        <v>2</v>
      </c>
      <c r="AK3274">
        <v>4</v>
      </c>
      <c r="AL3274">
        <v>2</v>
      </c>
      <c r="AM3274">
        <v>0</v>
      </c>
      <c r="AN3274">
        <v>2</v>
      </c>
      <c r="BC3274">
        <v>1</v>
      </c>
      <c r="BD3274">
        <v>12</v>
      </c>
      <c r="BE3274">
        <v>350</v>
      </c>
      <c r="BF3274">
        <v>350</v>
      </c>
      <c r="BG3274">
        <v>570</v>
      </c>
      <c r="BJ3274">
        <v>1</v>
      </c>
      <c r="BL3274" t="s">
        <v>6791</v>
      </c>
      <c r="BM3274" s="4">
        <v>43283.148611111108</v>
      </c>
      <c r="BN3274" s="4">
        <v>43283.160069444442</v>
      </c>
      <c r="BO3274" s="4">
        <v>43283.160069444442</v>
      </c>
      <c r="BP3274" t="s">
        <v>92</v>
      </c>
      <c r="BQ3274" t="s">
        <v>93</v>
      </c>
      <c r="BR3274" t="s">
        <v>94</v>
      </c>
    </row>
    <row r="3275" spans="1:70" x14ac:dyDescent="0.3">
      <c r="A3275" t="str">
        <f>"202353C0200"</f>
        <v>202353C0200</v>
      </c>
      <c r="B3275" t="s">
        <v>6792</v>
      </c>
      <c r="C3275">
        <v>20</v>
      </c>
      <c r="D3275" t="s">
        <v>88</v>
      </c>
      <c r="E3275">
        <v>550</v>
      </c>
      <c r="F3275" t="s">
        <v>6774</v>
      </c>
      <c r="G3275">
        <v>2353</v>
      </c>
      <c r="H3275">
        <v>2</v>
      </c>
      <c r="I3275" t="s">
        <v>98</v>
      </c>
      <c r="J3275">
        <v>0</v>
      </c>
      <c r="K3275">
        <v>2</v>
      </c>
      <c r="L3275">
        <v>5</v>
      </c>
      <c r="M3275">
        <v>240</v>
      </c>
      <c r="N3275">
        <v>352</v>
      </c>
      <c r="O3275">
        <v>10</v>
      </c>
      <c r="P3275">
        <v>353</v>
      </c>
      <c r="Q3275">
        <v>40</v>
      </c>
      <c r="R3275">
        <v>77</v>
      </c>
      <c r="S3275">
        <v>11</v>
      </c>
      <c r="T3275">
        <v>7</v>
      </c>
      <c r="U3275">
        <v>13</v>
      </c>
      <c r="V3275">
        <v>4</v>
      </c>
      <c r="W3275">
        <v>12</v>
      </c>
      <c r="X3275">
        <v>4</v>
      </c>
      <c r="Y3275">
        <v>132</v>
      </c>
      <c r="Z3275">
        <v>5</v>
      </c>
      <c r="AA3275">
        <v>2</v>
      </c>
      <c r="AB3275">
        <v>15</v>
      </c>
      <c r="AC3275">
        <v>3</v>
      </c>
      <c r="AD3275">
        <v>0</v>
      </c>
      <c r="AE3275">
        <v>1</v>
      </c>
      <c r="AF3275">
        <v>0</v>
      </c>
      <c r="AG3275">
        <v>5</v>
      </c>
      <c r="AH3275">
        <v>3</v>
      </c>
      <c r="AI3275">
        <v>1</v>
      </c>
      <c r="AJ3275">
        <v>0</v>
      </c>
      <c r="AK3275">
        <v>5</v>
      </c>
      <c r="AL3275">
        <v>1</v>
      </c>
      <c r="AM3275">
        <v>1</v>
      </c>
      <c r="AN3275">
        <v>1</v>
      </c>
      <c r="BC3275">
        <v>0</v>
      </c>
      <c r="BD3275">
        <v>10</v>
      </c>
      <c r="BE3275">
        <v>353</v>
      </c>
      <c r="BF3275">
        <v>353</v>
      </c>
      <c r="BG3275">
        <v>570</v>
      </c>
      <c r="BJ3275">
        <v>1</v>
      </c>
      <c r="BL3275" t="s">
        <v>6793</v>
      </c>
      <c r="BM3275" s="4">
        <v>43283.148611111108</v>
      </c>
      <c r="BN3275" s="4">
        <v>43283.161400462966</v>
      </c>
      <c r="BO3275" s="4">
        <v>43283.161400462966</v>
      </c>
      <c r="BP3275" t="s">
        <v>92</v>
      </c>
      <c r="BQ3275" t="s">
        <v>93</v>
      </c>
      <c r="BR3275" t="s">
        <v>94</v>
      </c>
    </row>
    <row r="3276" spans="1:70" x14ac:dyDescent="0.3">
      <c r="A3276" t="str">
        <f>"202353E0100"</f>
        <v>202353E0100</v>
      </c>
      <c r="B3276" s="2" t="s">
        <v>6794</v>
      </c>
      <c r="C3276">
        <v>20</v>
      </c>
      <c r="D3276" t="s">
        <v>88</v>
      </c>
      <c r="E3276">
        <v>550</v>
      </c>
      <c r="F3276" t="s">
        <v>6774</v>
      </c>
      <c r="G3276">
        <v>2353</v>
      </c>
      <c r="H3276">
        <v>1</v>
      </c>
      <c r="I3276" t="s">
        <v>156</v>
      </c>
      <c r="J3276">
        <v>0</v>
      </c>
      <c r="K3276">
        <v>2</v>
      </c>
      <c r="L3276">
        <v>5</v>
      </c>
      <c r="M3276">
        <v>311</v>
      </c>
      <c r="N3276" t="s">
        <v>105</v>
      </c>
      <c r="O3276">
        <v>3</v>
      </c>
      <c r="P3276">
        <v>322</v>
      </c>
      <c r="Q3276">
        <v>40</v>
      </c>
      <c r="R3276">
        <v>68</v>
      </c>
      <c r="S3276">
        <v>1</v>
      </c>
      <c r="T3276">
        <v>12</v>
      </c>
      <c r="U3276">
        <v>15</v>
      </c>
      <c r="V3276">
        <v>6</v>
      </c>
      <c r="W3276">
        <v>3</v>
      </c>
      <c r="X3276">
        <v>10</v>
      </c>
      <c r="Y3276">
        <v>116</v>
      </c>
      <c r="Z3276">
        <v>7</v>
      </c>
      <c r="AA3276">
        <v>3</v>
      </c>
      <c r="AB3276">
        <v>15</v>
      </c>
      <c r="AC3276">
        <v>2</v>
      </c>
      <c r="AD3276">
        <v>0</v>
      </c>
      <c r="AE3276">
        <v>1</v>
      </c>
      <c r="AF3276">
        <v>0</v>
      </c>
      <c r="AG3276">
        <v>2</v>
      </c>
      <c r="AH3276">
        <v>2</v>
      </c>
      <c r="AI3276">
        <v>1</v>
      </c>
      <c r="AJ3276">
        <v>0</v>
      </c>
      <c r="AK3276">
        <v>7</v>
      </c>
      <c r="AL3276">
        <v>2</v>
      </c>
      <c r="AM3276">
        <v>0</v>
      </c>
      <c r="AN3276">
        <v>1</v>
      </c>
      <c r="BC3276">
        <v>0</v>
      </c>
      <c r="BD3276">
        <v>8</v>
      </c>
      <c r="BE3276">
        <v>322</v>
      </c>
      <c r="BF3276">
        <v>322</v>
      </c>
      <c r="BG3276">
        <v>611</v>
      </c>
      <c r="BJ3276">
        <v>1</v>
      </c>
      <c r="BL3276" t="s">
        <v>6795</v>
      </c>
      <c r="BM3276" s="4">
        <v>43283.175694444442</v>
      </c>
      <c r="BN3276" s="4">
        <v>43283.190428240741</v>
      </c>
      <c r="BO3276" s="4">
        <v>43283.190428240741</v>
      </c>
      <c r="BP3276" t="s">
        <v>92</v>
      </c>
      <c r="BQ3276" t="s">
        <v>93</v>
      </c>
      <c r="BR3276" t="s">
        <v>94</v>
      </c>
    </row>
    <row r="3277" spans="1:70" x14ac:dyDescent="0.3">
      <c r="A3277" t="str">
        <f>"202353E0101"</f>
        <v>202353E0101</v>
      </c>
      <c r="B3277" s="2" t="s">
        <v>6796</v>
      </c>
      <c r="C3277">
        <v>20</v>
      </c>
      <c r="D3277" t="s">
        <v>88</v>
      </c>
      <c r="E3277">
        <v>550</v>
      </c>
      <c r="F3277" t="s">
        <v>6774</v>
      </c>
      <c r="G3277">
        <v>2353</v>
      </c>
      <c r="H3277">
        <v>1</v>
      </c>
      <c r="I3277" t="s">
        <v>156</v>
      </c>
      <c r="J3277">
        <v>1</v>
      </c>
      <c r="K3277">
        <v>2</v>
      </c>
      <c r="L3277">
        <v>5</v>
      </c>
      <c r="M3277">
        <v>294</v>
      </c>
      <c r="N3277" t="s">
        <v>127</v>
      </c>
      <c r="O3277">
        <v>0</v>
      </c>
      <c r="P3277">
        <v>338</v>
      </c>
      <c r="Q3277">
        <v>16</v>
      </c>
      <c r="R3277">
        <v>50</v>
      </c>
      <c r="S3277">
        <v>9</v>
      </c>
      <c r="T3277">
        <v>8</v>
      </c>
      <c r="U3277">
        <v>16</v>
      </c>
      <c r="V3277">
        <v>8</v>
      </c>
      <c r="W3277">
        <v>7</v>
      </c>
      <c r="X3277">
        <v>0</v>
      </c>
      <c r="Y3277">
        <v>165</v>
      </c>
      <c r="Z3277">
        <v>8</v>
      </c>
      <c r="AA3277">
        <v>2</v>
      </c>
      <c r="AB3277">
        <v>34</v>
      </c>
      <c r="AC3277">
        <v>0</v>
      </c>
      <c r="AD3277">
        <v>0</v>
      </c>
      <c r="AE3277">
        <v>0</v>
      </c>
      <c r="AF3277">
        <v>0</v>
      </c>
      <c r="AG3277">
        <v>1</v>
      </c>
      <c r="AH3277">
        <v>0</v>
      </c>
      <c r="AI3277">
        <v>0</v>
      </c>
      <c r="AJ3277">
        <v>0</v>
      </c>
      <c r="AK3277">
        <v>4</v>
      </c>
      <c r="AL3277">
        <v>1</v>
      </c>
      <c r="AM3277">
        <v>0</v>
      </c>
      <c r="AN3277">
        <v>0</v>
      </c>
      <c r="BC3277">
        <v>0</v>
      </c>
      <c r="BD3277">
        <v>9</v>
      </c>
      <c r="BE3277">
        <v>338</v>
      </c>
      <c r="BF3277">
        <v>338</v>
      </c>
      <c r="BG3277">
        <v>611</v>
      </c>
      <c r="BJ3277">
        <v>1</v>
      </c>
      <c r="BL3277" t="s">
        <v>6797</v>
      </c>
      <c r="BM3277" s="4">
        <v>43283.148611111108</v>
      </c>
      <c r="BN3277" s="4">
        <v>43283.175636574073</v>
      </c>
      <c r="BO3277" s="4">
        <v>43283.175636574073</v>
      </c>
      <c r="BP3277" t="s">
        <v>92</v>
      </c>
      <c r="BQ3277" t="s">
        <v>93</v>
      </c>
      <c r="BR3277" t="s">
        <v>94</v>
      </c>
    </row>
    <row r="3278" spans="1:70" x14ac:dyDescent="0.3">
      <c r="A3278" t="str">
        <f>"202353E0102"</f>
        <v>202353E0102</v>
      </c>
      <c r="B3278" s="2" t="s">
        <v>6798</v>
      </c>
      <c r="C3278">
        <v>20</v>
      </c>
      <c r="D3278" t="s">
        <v>88</v>
      </c>
      <c r="E3278">
        <v>550</v>
      </c>
      <c r="F3278" t="s">
        <v>6774</v>
      </c>
      <c r="G3278">
        <v>2353</v>
      </c>
      <c r="H3278">
        <v>1</v>
      </c>
      <c r="I3278" t="s">
        <v>156</v>
      </c>
      <c r="J3278">
        <v>2</v>
      </c>
      <c r="K3278">
        <v>2</v>
      </c>
      <c r="L3278">
        <v>5</v>
      </c>
      <c r="M3278">
        <v>295</v>
      </c>
      <c r="N3278">
        <v>337</v>
      </c>
      <c r="O3278" t="s">
        <v>105</v>
      </c>
      <c r="P3278">
        <v>337</v>
      </c>
      <c r="Q3278">
        <v>30</v>
      </c>
      <c r="R3278">
        <v>64</v>
      </c>
      <c r="S3278">
        <v>5</v>
      </c>
      <c r="T3278">
        <v>10</v>
      </c>
      <c r="U3278">
        <v>14</v>
      </c>
      <c r="V3278">
        <v>1</v>
      </c>
      <c r="W3278">
        <v>9</v>
      </c>
      <c r="X3278">
        <v>10</v>
      </c>
      <c r="Y3278">
        <v>150</v>
      </c>
      <c r="Z3278">
        <v>3</v>
      </c>
      <c r="AA3278">
        <v>2</v>
      </c>
      <c r="AB3278">
        <v>15</v>
      </c>
      <c r="AC3278">
        <v>2</v>
      </c>
      <c r="AD3278">
        <v>0</v>
      </c>
      <c r="AE3278">
        <v>1</v>
      </c>
      <c r="AF3278">
        <v>0</v>
      </c>
      <c r="AG3278">
        <v>1</v>
      </c>
      <c r="AH3278">
        <v>1</v>
      </c>
      <c r="AI3278">
        <v>1</v>
      </c>
      <c r="AJ3278">
        <v>0</v>
      </c>
      <c r="AK3278">
        <v>5</v>
      </c>
      <c r="AL3278">
        <v>1</v>
      </c>
      <c r="AM3278">
        <v>0</v>
      </c>
      <c r="AN3278">
        <v>2</v>
      </c>
      <c r="BC3278">
        <v>1</v>
      </c>
      <c r="BD3278">
        <v>9</v>
      </c>
      <c r="BE3278">
        <v>337</v>
      </c>
      <c r="BF3278">
        <v>337</v>
      </c>
      <c r="BG3278">
        <v>610</v>
      </c>
      <c r="BJ3278">
        <v>1</v>
      </c>
      <c r="BL3278" t="s">
        <v>6799</v>
      </c>
      <c r="BM3278" s="4">
        <v>43283.148611111108</v>
      </c>
      <c r="BN3278" s="4">
        <v>43283.163530092592</v>
      </c>
      <c r="BO3278" s="4">
        <v>43283.163530092592</v>
      </c>
      <c r="BP3278" t="s">
        <v>92</v>
      </c>
      <c r="BQ3278" t="s">
        <v>93</v>
      </c>
      <c r="BR3278" t="s">
        <v>94</v>
      </c>
    </row>
    <row r="3279" spans="1:70" x14ac:dyDescent="0.3">
      <c r="A3279" t="str">
        <f>"202353E0103"</f>
        <v>202353E0103</v>
      </c>
      <c r="B3279" s="2" t="s">
        <v>6800</v>
      </c>
      <c r="C3279">
        <v>20</v>
      </c>
      <c r="D3279" t="s">
        <v>88</v>
      </c>
      <c r="E3279">
        <v>550</v>
      </c>
      <c r="F3279" t="s">
        <v>6774</v>
      </c>
      <c r="G3279">
        <v>2353</v>
      </c>
      <c r="H3279">
        <v>1</v>
      </c>
      <c r="I3279" t="s">
        <v>156</v>
      </c>
      <c r="J3279">
        <v>3</v>
      </c>
      <c r="K3279">
        <v>2</v>
      </c>
      <c r="L3279">
        <v>5</v>
      </c>
      <c r="M3279">
        <v>305</v>
      </c>
      <c r="N3279">
        <v>327</v>
      </c>
      <c r="O3279">
        <v>8</v>
      </c>
      <c r="P3279">
        <v>326</v>
      </c>
      <c r="Q3279">
        <v>42</v>
      </c>
      <c r="R3279">
        <v>60</v>
      </c>
      <c r="S3279">
        <v>4</v>
      </c>
      <c r="T3279">
        <v>4</v>
      </c>
      <c r="U3279">
        <v>16</v>
      </c>
      <c r="V3279">
        <v>7</v>
      </c>
      <c r="W3279">
        <v>12</v>
      </c>
      <c r="X3279">
        <v>7</v>
      </c>
      <c r="Y3279">
        <v>132</v>
      </c>
      <c r="Z3279">
        <v>6</v>
      </c>
      <c r="AA3279">
        <v>0</v>
      </c>
      <c r="AB3279">
        <v>15</v>
      </c>
      <c r="AC3279">
        <v>1</v>
      </c>
      <c r="AD3279">
        <v>0</v>
      </c>
      <c r="AE3279">
        <v>0</v>
      </c>
      <c r="AF3279">
        <v>0</v>
      </c>
      <c r="AG3279">
        <v>4</v>
      </c>
      <c r="AH3279">
        <v>2</v>
      </c>
      <c r="AI3279">
        <v>1</v>
      </c>
      <c r="AJ3279">
        <v>0</v>
      </c>
      <c r="AK3279">
        <v>5</v>
      </c>
      <c r="AL3279">
        <v>1</v>
      </c>
      <c r="AM3279">
        <v>0</v>
      </c>
      <c r="AN3279">
        <v>0</v>
      </c>
      <c r="BC3279">
        <v>0</v>
      </c>
      <c r="BD3279">
        <v>7</v>
      </c>
      <c r="BE3279">
        <v>326</v>
      </c>
      <c r="BF3279">
        <v>326</v>
      </c>
      <c r="BG3279">
        <v>610</v>
      </c>
      <c r="BJ3279">
        <v>1</v>
      </c>
      <c r="BL3279" t="s">
        <v>6801</v>
      </c>
      <c r="BM3279" s="4">
        <v>43283.175694444442</v>
      </c>
      <c r="BN3279" s="4">
        <v>43283.198935185188</v>
      </c>
      <c r="BO3279" s="4">
        <v>43283.198935185188</v>
      </c>
      <c r="BP3279" t="s">
        <v>92</v>
      </c>
      <c r="BQ3279" t="s">
        <v>93</v>
      </c>
      <c r="BR3279" t="s">
        <v>94</v>
      </c>
    </row>
    <row r="3280" spans="1:70" x14ac:dyDescent="0.3">
      <c r="A3280" t="str">
        <f>"202354B0100"</f>
        <v>202354B0100</v>
      </c>
      <c r="B3280" t="s">
        <v>6802</v>
      </c>
      <c r="C3280">
        <v>20</v>
      </c>
      <c r="D3280" t="s">
        <v>88</v>
      </c>
      <c r="E3280">
        <v>550</v>
      </c>
      <c r="F3280" t="s">
        <v>6774</v>
      </c>
      <c r="G3280">
        <v>2354</v>
      </c>
      <c r="H3280">
        <v>1</v>
      </c>
      <c r="I3280" t="s">
        <v>90</v>
      </c>
      <c r="J3280">
        <v>0</v>
      </c>
      <c r="K3280">
        <v>1</v>
      </c>
      <c r="L3280">
        <v>5</v>
      </c>
      <c r="M3280">
        <v>310</v>
      </c>
      <c r="N3280">
        <v>415</v>
      </c>
      <c r="O3280">
        <v>7</v>
      </c>
      <c r="P3280">
        <v>417</v>
      </c>
      <c r="Q3280">
        <v>61</v>
      </c>
      <c r="R3280">
        <v>100</v>
      </c>
      <c r="S3280">
        <v>14</v>
      </c>
      <c r="T3280">
        <v>2</v>
      </c>
      <c r="U3280">
        <v>18</v>
      </c>
      <c r="V3280">
        <v>8</v>
      </c>
      <c r="W3280">
        <v>16</v>
      </c>
      <c r="X3280">
        <v>8</v>
      </c>
      <c r="Y3280">
        <v>141</v>
      </c>
      <c r="Z3280">
        <v>8</v>
      </c>
      <c r="AA3280">
        <v>2</v>
      </c>
      <c r="AB3280">
        <v>11</v>
      </c>
      <c r="AC3280">
        <v>1</v>
      </c>
      <c r="AD3280">
        <v>0</v>
      </c>
      <c r="AE3280">
        <v>0</v>
      </c>
      <c r="AF3280">
        <v>0</v>
      </c>
      <c r="AG3280">
        <v>2</v>
      </c>
      <c r="AH3280">
        <v>2</v>
      </c>
      <c r="AI3280">
        <v>0</v>
      </c>
      <c r="AJ3280">
        <v>0</v>
      </c>
      <c r="AK3280">
        <v>7</v>
      </c>
      <c r="AL3280">
        <v>2</v>
      </c>
      <c r="AM3280">
        <v>0</v>
      </c>
      <c r="AN3280">
        <v>0</v>
      </c>
      <c r="BC3280">
        <v>0</v>
      </c>
      <c r="BD3280">
        <v>14</v>
      </c>
      <c r="BE3280">
        <v>417</v>
      </c>
      <c r="BF3280">
        <v>417</v>
      </c>
      <c r="BG3280">
        <v>703</v>
      </c>
      <c r="BJ3280">
        <v>1</v>
      </c>
      <c r="BL3280" t="s">
        <v>6803</v>
      </c>
      <c r="BM3280" s="4">
        <v>43283.175694444442</v>
      </c>
      <c r="BN3280" s="4">
        <v>43283.193749999999</v>
      </c>
      <c r="BO3280" s="4">
        <v>43283.193749999999</v>
      </c>
      <c r="BP3280" t="s">
        <v>92</v>
      </c>
      <c r="BQ3280" t="s">
        <v>93</v>
      </c>
      <c r="BR3280" t="s">
        <v>94</v>
      </c>
    </row>
    <row r="3281" spans="1:70" x14ac:dyDescent="0.3">
      <c r="A3281" t="str">
        <f>"202354C0100"</f>
        <v>202354C0100</v>
      </c>
      <c r="B3281" t="s">
        <v>6804</v>
      </c>
      <c r="C3281">
        <v>20</v>
      </c>
      <c r="D3281" t="s">
        <v>88</v>
      </c>
      <c r="E3281">
        <v>550</v>
      </c>
      <c r="F3281" t="s">
        <v>6774</v>
      </c>
      <c r="G3281">
        <v>2354</v>
      </c>
      <c r="H3281">
        <v>1</v>
      </c>
      <c r="I3281" t="s">
        <v>98</v>
      </c>
      <c r="J3281">
        <v>0</v>
      </c>
      <c r="K3281">
        <v>1</v>
      </c>
      <c r="L3281">
        <v>5</v>
      </c>
      <c r="M3281">
        <v>333</v>
      </c>
      <c r="N3281">
        <v>393</v>
      </c>
      <c r="O3281">
        <v>2</v>
      </c>
      <c r="P3281" t="s">
        <v>105</v>
      </c>
      <c r="Q3281">
        <v>55</v>
      </c>
      <c r="R3281">
        <v>74</v>
      </c>
      <c r="S3281">
        <v>6</v>
      </c>
      <c r="T3281">
        <v>5</v>
      </c>
      <c r="U3281">
        <v>28</v>
      </c>
      <c r="V3281">
        <v>5</v>
      </c>
      <c r="W3281">
        <v>18</v>
      </c>
      <c r="X3281">
        <v>2</v>
      </c>
      <c r="Y3281">
        <v>154</v>
      </c>
      <c r="Z3281">
        <v>10</v>
      </c>
      <c r="AA3281">
        <v>0</v>
      </c>
      <c r="AB3281">
        <v>7</v>
      </c>
      <c r="AC3281">
        <v>0</v>
      </c>
      <c r="AD3281">
        <v>2</v>
      </c>
      <c r="AE3281">
        <v>0</v>
      </c>
      <c r="AF3281">
        <v>0</v>
      </c>
      <c r="AG3281">
        <v>3</v>
      </c>
      <c r="AH3281">
        <v>1</v>
      </c>
      <c r="AI3281">
        <v>0</v>
      </c>
      <c r="AJ3281">
        <v>0</v>
      </c>
      <c r="AK3281">
        <v>4</v>
      </c>
      <c r="AL3281">
        <v>3</v>
      </c>
      <c r="AM3281">
        <v>0</v>
      </c>
      <c r="AN3281">
        <v>1</v>
      </c>
      <c r="BC3281">
        <v>0</v>
      </c>
      <c r="BD3281">
        <v>17</v>
      </c>
      <c r="BE3281">
        <v>392</v>
      </c>
      <c r="BF3281">
        <v>395</v>
      </c>
      <c r="BG3281">
        <v>703</v>
      </c>
      <c r="BJ3281">
        <v>1</v>
      </c>
      <c r="BL3281" t="s">
        <v>6805</v>
      </c>
      <c r="BM3281" s="4">
        <v>43283.175694444442</v>
      </c>
      <c r="BN3281" s="4">
        <v>43283.193564814814</v>
      </c>
      <c r="BO3281" s="4">
        <v>43283.193564814814</v>
      </c>
      <c r="BP3281" t="s">
        <v>92</v>
      </c>
      <c r="BQ3281" t="s">
        <v>93</v>
      </c>
      <c r="BR3281" t="s">
        <v>94</v>
      </c>
    </row>
    <row r="3282" spans="1:70" x14ac:dyDescent="0.3">
      <c r="A3282" t="str">
        <f>"202354C0200"</f>
        <v>202354C0200</v>
      </c>
      <c r="B3282" t="s">
        <v>6806</v>
      </c>
      <c r="C3282">
        <v>20</v>
      </c>
      <c r="D3282" t="s">
        <v>88</v>
      </c>
      <c r="E3282">
        <v>550</v>
      </c>
      <c r="F3282" t="s">
        <v>6774</v>
      </c>
      <c r="G3282">
        <v>2354</v>
      </c>
      <c r="H3282">
        <v>2</v>
      </c>
      <c r="I3282" t="s">
        <v>98</v>
      </c>
      <c r="J3282">
        <v>0</v>
      </c>
      <c r="K3282">
        <v>1</v>
      </c>
      <c r="L3282">
        <v>5</v>
      </c>
      <c r="BG3282">
        <v>703</v>
      </c>
      <c r="BI3282" t="s">
        <v>122</v>
      </c>
      <c r="BJ3282">
        <v>0</v>
      </c>
      <c r="BL3282" t="s">
        <v>6807</v>
      </c>
      <c r="BM3282" s="4">
        <v>43283.605555555558</v>
      </c>
      <c r="BN3282" s="4">
        <v>43283.608912037038</v>
      </c>
      <c r="BO3282" s="4">
        <v>43283.608912037038</v>
      </c>
      <c r="BP3282" t="s">
        <v>92</v>
      </c>
      <c r="BQ3282" t="s">
        <v>93</v>
      </c>
      <c r="BR3282" t="s">
        <v>94</v>
      </c>
    </row>
    <row r="3283" spans="1:70" x14ac:dyDescent="0.3">
      <c r="A3283" t="str">
        <f>"202354C0300"</f>
        <v>202354C0300</v>
      </c>
      <c r="B3283" t="s">
        <v>6808</v>
      </c>
      <c r="C3283">
        <v>20</v>
      </c>
      <c r="D3283" t="s">
        <v>88</v>
      </c>
      <c r="E3283">
        <v>550</v>
      </c>
      <c r="F3283" t="s">
        <v>6774</v>
      </c>
      <c r="G3283">
        <v>2354</v>
      </c>
      <c r="H3283">
        <v>3</v>
      </c>
      <c r="I3283" t="s">
        <v>98</v>
      </c>
      <c r="J3283">
        <v>0</v>
      </c>
      <c r="K3283">
        <v>1</v>
      </c>
      <c r="L3283">
        <v>5</v>
      </c>
      <c r="M3283">
        <v>313</v>
      </c>
      <c r="N3283">
        <v>412</v>
      </c>
      <c r="O3283">
        <v>6</v>
      </c>
      <c r="P3283">
        <v>413</v>
      </c>
      <c r="Q3283">
        <v>52</v>
      </c>
      <c r="R3283">
        <v>83</v>
      </c>
      <c r="S3283">
        <v>9</v>
      </c>
      <c r="T3283">
        <v>3</v>
      </c>
      <c r="U3283">
        <v>18</v>
      </c>
      <c r="V3283">
        <v>3</v>
      </c>
      <c r="W3283">
        <v>8</v>
      </c>
      <c r="X3283">
        <v>9</v>
      </c>
      <c r="Y3283">
        <v>169</v>
      </c>
      <c r="Z3283">
        <v>11</v>
      </c>
      <c r="AA3283">
        <v>2</v>
      </c>
      <c r="AB3283">
        <v>23</v>
      </c>
      <c r="AC3283">
        <v>0</v>
      </c>
      <c r="AD3283">
        <v>0</v>
      </c>
      <c r="AE3283">
        <v>1</v>
      </c>
      <c r="AF3283">
        <v>0</v>
      </c>
      <c r="AG3283">
        <v>3</v>
      </c>
      <c r="AH3283">
        <v>4</v>
      </c>
      <c r="AI3283">
        <v>0</v>
      </c>
      <c r="AJ3283">
        <v>0</v>
      </c>
      <c r="AK3283">
        <v>6</v>
      </c>
      <c r="AL3283">
        <v>0</v>
      </c>
      <c r="AM3283">
        <v>0</v>
      </c>
      <c r="AN3283">
        <v>0</v>
      </c>
      <c r="BC3283">
        <v>0</v>
      </c>
      <c r="BD3283">
        <v>9</v>
      </c>
      <c r="BE3283">
        <v>413</v>
      </c>
      <c r="BF3283">
        <v>413</v>
      </c>
      <c r="BG3283">
        <v>703</v>
      </c>
      <c r="BJ3283">
        <v>1</v>
      </c>
      <c r="BL3283" t="s">
        <v>6809</v>
      </c>
      <c r="BM3283" s="4">
        <v>43283.175694444442</v>
      </c>
      <c r="BN3283" s="4">
        <v>43283.199699074074</v>
      </c>
      <c r="BO3283" s="4">
        <v>43283.199699074074</v>
      </c>
      <c r="BP3283" t="s">
        <v>92</v>
      </c>
      <c r="BQ3283" t="s">
        <v>93</v>
      </c>
      <c r="BR3283" t="s">
        <v>94</v>
      </c>
    </row>
    <row r="3284" spans="1:70" x14ac:dyDescent="0.3">
      <c r="A3284" t="str">
        <f>"202355B0100"</f>
        <v>202355B0100</v>
      </c>
      <c r="B3284" t="s">
        <v>6810</v>
      </c>
      <c r="C3284">
        <v>20</v>
      </c>
      <c r="D3284" t="s">
        <v>88</v>
      </c>
      <c r="E3284">
        <v>550</v>
      </c>
      <c r="F3284" t="s">
        <v>6774</v>
      </c>
      <c r="G3284">
        <v>2355</v>
      </c>
      <c r="H3284">
        <v>1</v>
      </c>
      <c r="I3284" t="s">
        <v>90</v>
      </c>
      <c r="J3284">
        <v>0</v>
      </c>
      <c r="K3284">
        <v>1</v>
      </c>
      <c r="L3284">
        <v>5</v>
      </c>
      <c r="M3284">
        <v>261</v>
      </c>
      <c r="N3284">
        <v>468</v>
      </c>
      <c r="O3284">
        <v>3</v>
      </c>
      <c r="P3284">
        <v>468</v>
      </c>
      <c r="Q3284">
        <v>118</v>
      </c>
      <c r="R3284">
        <v>60</v>
      </c>
      <c r="S3284">
        <v>20</v>
      </c>
      <c r="T3284">
        <v>2</v>
      </c>
      <c r="U3284">
        <v>20</v>
      </c>
      <c r="V3284">
        <v>8</v>
      </c>
      <c r="W3284">
        <v>8</v>
      </c>
      <c r="X3284">
        <v>7</v>
      </c>
      <c r="Y3284">
        <v>167</v>
      </c>
      <c r="Z3284">
        <v>9</v>
      </c>
      <c r="AA3284">
        <v>8</v>
      </c>
      <c r="AB3284">
        <v>15</v>
      </c>
      <c r="AC3284">
        <v>0</v>
      </c>
      <c r="AD3284">
        <v>2</v>
      </c>
      <c r="AE3284">
        <v>0</v>
      </c>
      <c r="AF3284">
        <v>0</v>
      </c>
      <c r="AG3284">
        <v>2</v>
      </c>
      <c r="AH3284">
        <v>0</v>
      </c>
      <c r="AI3284">
        <v>1</v>
      </c>
      <c r="AJ3284">
        <v>0</v>
      </c>
      <c r="AK3284">
        <v>4</v>
      </c>
      <c r="AL3284">
        <v>1</v>
      </c>
      <c r="AM3284">
        <v>0</v>
      </c>
      <c r="AN3284">
        <v>0</v>
      </c>
      <c r="BC3284">
        <v>0</v>
      </c>
      <c r="BD3284">
        <v>16</v>
      </c>
      <c r="BE3284">
        <v>468</v>
      </c>
      <c r="BF3284">
        <v>468</v>
      </c>
      <c r="BG3284">
        <v>692</v>
      </c>
      <c r="BJ3284">
        <v>1</v>
      </c>
      <c r="BL3284" t="s">
        <v>6811</v>
      </c>
      <c r="BM3284" s="4">
        <v>43283.148611111108</v>
      </c>
      <c r="BN3284" s="4">
        <v>43283.163611111115</v>
      </c>
      <c r="BO3284" s="4">
        <v>43283.163611111115</v>
      </c>
      <c r="BP3284" t="s">
        <v>92</v>
      </c>
      <c r="BQ3284" t="s">
        <v>93</v>
      </c>
      <c r="BR3284" t="s">
        <v>94</v>
      </c>
    </row>
    <row r="3285" spans="1:70" x14ac:dyDescent="0.3">
      <c r="A3285" t="str">
        <f>"202355C0100"</f>
        <v>202355C0100</v>
      </c>
      <c r="B3285" t="s">
        <v>6812</v>
      </c>
      <c r="C3285">
        <v>20</v>
      </c>
      <c r="D3285" t="s">
        <v>88</v>
      </c>
      <c r="E3285">
        <v>550</v>
      </c>
      <c r="F3285" t="s">
        <v>6774</v>
      </c>
      <c r="G3285">
        <v>2355</v>
      </c>
      <c r="H3285">
        <v>1</v>
      </c>
      <c r="I3285" t="s">
        <v>98</v>
      </c>
      <c r="J3285">
        <v>0</v>
      </c>
      <c r="K3285">
        <v>1</v>
      </c>
      <c r="L3285">
        <v>5</v>
      </c>
      <c r="M3285">
        <v>258</v>
      </c>
      <c r="N3285">
        <v>456</v>
      </c>
      <c r="O3285">
        <v>3</v>
      </c>
      <c r="P3285">
        <v>455</v>
      </c>
      <c r="Q3285">
        <v>116</v>
      </c>
      <c r="R3285">
        <v>70</v>
      </c>
      <c r="S3285">
        <v>7</v>
      </c>
      <c r="T3285">
        <v>2</v>
      </c>
      <c r="U3285">
        <v>15</v>
      </c>
      <c r="V3285">
        <v>5</v>
      </c>
      <c r="W3285">
        <v>10</v>
      </c>
      <c r="X3285">
        <v>7</v>
      </c>
      <c r="Y3285">
        <v>177</v>
      </c>
      <c r="Z3285">
        <v>6</v>
      </c>
      <c r="AA3285">
        <v>0</v>
      </c>
      <c r="AB3285">
        <v>13</v>
      </c>
      <c r="AC3285">
        <v>0</v>
      </c>
      <c r="AD3285">
        <v>1</v>
      </c>
      <c r="AE3285">
        <v>0</v>
      </c>
      <c r="AF3285">
        <v>1</v>
      </c>
      <c r="AG3285">
        <v>1</v>
      </c>
      <c r="AH3285">
        <v>1</v>
      </c>
      <c r="AI3285">
        <v>1</v>
      </c>
      <c r="AJ3285">
        <v>0</v>
      </c>
      <c r="AK3285">
        <v>4</v>
      </c>
      <c r="AL3285">
        <v>2</v>
      </c>
      <c r="AM3285">
        <v>0</v>
      </c>
      <c r="AN3285">
        <v>0</v>
      </c>
      <c r="BC3285">
        <v>0</v>
      </c>
      <c r="BD3285">
        <v>16</v>
      </c>
      <c r="BE3285">
        <v>455</v>
      </c>
      <c r="BF3285">
        <v>455</v>
      </c>
      <c r="BG3285">
        <v>691</v>
      </c>
      <c r="BJ3285">
        <v>1</v>
      </c>
      <c r="BL3285" t="s">
        <v>6813</v>
      </c>
      <c r="BM3285" s="4">
        <v>43283.148611111108</v>
      </c>
      <c r="BN3285" s="4">
        <v>43283.165648148148</v>
      </c>
      <c r="BO3285" s="4">
        <v>43283.165648148148</v>
      </c>
      <c r="BP3285" t="s">
        <v>92</v>
      </c>
      <c r="BQ3285" t="s">
        <v>93</v>
      </c>
      <c r="BR3285" t="s">
        <v>94</v>
      </c>
    </row>
    <row r="3286" spans="1:70" x14ac:dyDescent="0.3">
      <c r="A3286" t="str">
        <f>"202356B0100"</f>
        <v>202356B0100</v>
      </c>
      <c r="B3286" t="s">
        <v>6814</v>
      </c>
      <c r="C3286">
        <v>20</v>
      </c>
      <c r="D3286" t="s">
        <v>88</v>
      </c>
      <c r="E3286">
        <v>550</v>
      </c>
      <c r="F3286" t="s">
        <v>6774</v>
      </c>
      <c r="G3286">
        <v>2356</v>
      </c>
      <c r="H3286">
        <v>1</v>
      </c>
      <c r="I3286" t="s">
        <v>90</v>
      </c>
      <c r="J3286">
        <v>0</v>
      </c>
      <c r="K3286">
        <v>2</v>
      </c>
      <c r="L3286">
        <v>5</v>
      </c>
      <c r="M3286">
        <v>191</v>
      </c>
      <c r="N3286">
        <v>278</v>
      </c>
      <c r="O3286">
        <v>12</v>
      </c>
      <c r="P3286">
        <v>275</v>
      </c>
      <c r="Q3286">
        <v>78</v>
      </c>
      <c r="R3286">
        <v>46</v>
      </c>
      <c r="S3286">
        <v>8</v>
      </c>
      <c r="T3286">
        <v>3</v>
      </c>
      <c r="U3286">
        <v>10</v>
      </c>
      <c r="V3286">
        <v>3</v>
      </c>
      <c r="W3286">
        <v>9</v>
      </c>
      <c r="X3286">
        <v>1</v>
      </c>
      <c r="Y3286">
        <v>86</v>
      </c>
      <c r="Z3286">
        <v>4</v>
      </c>
      <c r="AA3286">
        <v>0</v>
      </c>
      <c r="AB3286">
        <v>8</v>
      </c>
      <c r="AC3286">
        <v>1</v>
      </c>
      <c r="AD3286">
        <v>3</v>
      </c>
      <c r="AE3286">
        <v>0</v>
      </c>
      <c r="AF3286">
        <v>0</v>
      </c>
      <c r="AG3286">
        <v>2</v>
      </c>
      <c r="AH3286">
        <v>0</v>
      </c>
      <c r="AI3286">
        <v>1</v>
      </c>
      <c r="AJ3286">
        <v>0</v>
      </c>
      <c r="AK3286">
        <v>3</v>
      </c>
      <c r="AL3286">
        <v>0</v>
      </c>
      <c r="AM3286">
        <v>0</v>
      </c>
      <c r="AN3286">
        <v>1</v>
      </c>
      <c r="BC3286">
        <v>0</v>
      </c>
      <c r="BD3286">
        <v>8</v>
      </c>
      <c r="BE3286">
        <v>275</v>
      </c>
      <c r="BF3286">
        <v>275</v>
      </c>
      <c r="BG3286">
        <v>447</v>
      </c>
      <c r="BJ3286">
        <v>1</v>
      </c>
      <c r="BL3286" t="s">
        <v>6815</v>
      </c>
      <c r="BM3286" s="4">
        <v>43283.148611111108</v>
      </c>
      <c r="BN3286" s="4">
        <v>43283.16369212963</v>
      </c>
      <c r="BO3286" s="4">
        <v>43283.16369212963</v>
      </c>
      <c r="BP3286" t="s">
        <v>92</v>
      </c>
      <c r="BQ3286" t="s">
        <v>93</v>
      </c>
      <c r="BR3286" t="s">
        <v>94</v>
      </c>
    </row>
    <row r="3287" spans="1:70" x14ac:dyDescent="0.3">
      <c r="A3287" t="str">
        <f>"202356C0100"</f>
        <v>202356C0100</v>
      </c>
      <c r="B3287" t="s">
        <v>6816</v>
      </c>
      <c r="C3287">
        <v>20</v>
      </c>
      <c r="D3287" t="s">
        <v>88</v>
      </c>
      <c r="E3287">
        <v>550</v>
      </c>
      <c r="F3287" t="s">
        <v>6774</v>
      </c>
      <c r="G3287">
        <v>2356</v>
      </c>
      <c r="H3287">
        <v>1</v>
      </c>
      <c r="I3287" t="s">
        <v>98</v>
      </c>
      <c r="J3287">
        <v>0</v>
      </c>
      <c r="K3287">
        <v>2</v>
      </c>
      <c r="L3287">
        <v>5</v>
      </c>
      <c r="M3287">
        <v>189</v>
      </c>
      <c r="N3287">
        <v>279</v>
      </c>
      <c r="O3287">
        <v>3</v>
      </c>
      <c r="P3287" t="s">
        <v>105</v>
      </c>
      <c r="Q3287">
        <v>71</v>
      </c>
      <c r="R3287">
        <v>44</v>
      </c>
      <c r="S3287">
        <v>5</v>
      </c>
      <c r="T3287">
        <v>2</v>
      </c>
      <c r="U3287">
        <v>15</v>
      </c>
      <c r="V3287">
        <v>5</v>
      </c>
      <c r="W3287">
        <v>5</v>
      </c>
      <c r="X3287">
        <v>5</v>
      </c>
      <c r="Y3287">
        <v>85</v>
      </c>
      <c r="Z3287">
        <v>6</v>
      </c>
      <c r="AA3287">
        <v>1</v>
      </c>
      <c r="AB3287">
        <v>6</v>
      </c>
      <c r="AC3287">
        <v>5</v>
      </c>
      <c r="AD3287">
        <v>1</v>
      </c>
      <c r="AE3287" t="s">
        <v>105</v>
      </c>
      <c r="AF3287" t="s">
        <v>105</v>
      </c>
      <c r="AG3287">
        <v>1</v>
      </c>
      <c r="AH3287">
        <v>1</v>
      </c>
      <c r="AI3287" t="s">
        <v>105</v>
      </c>
      <c r="AJ3287" t="s">
        <v>105</v>
      </c>
      <c r="AK3287">
        <v>7</v>
      </c>
      <c r="AL3287">
        <v>1</v>
      </c>
      <c r="AM3287">
        <v>1</v>
      </c>
      <c r="AN3287">
        <v>1</v>
      </c>
      <c r="BC3287" t="s">
        <v>105</v>
      </c>
      <c r="BD3287">
        <v>11</v>
      </c>
      <c r="BE3287">
        <v>270</v>
      </c>
      <c r="BF3287">
        <v>279</v>
      </c>
      <c r="BG3287">
        <v>446</v>
      </c>
      <c r="BI3287" t="s">
        <v>106</v>
      </c>
      <c r="BJ3287">
        <v>1</v>
      </c>
      <c r="BL3287" t="s">
        <v>6817</v>
      </c>
      <c r="BM3287" s="4">
        <v>43283.148611111108</v>
      </c>
      <c r="BN3287" s="4">
        <v>43283.169108796297</v>
      </c>
      <c r="BO3287" s="4">
        <v>43283.169108796297</v>
      </c>
      <c r="BP3287" t="s">
        <v>92</v>
      </c>
      <c r="BQ3287" t="s">
        <v>93</v>
      </c>
      <c r="BR3287" t="s">
        <v>94</v>
      </c>
    </row>
    <row r="3288" spans="1:70" x14ac:dyDescent="0.3">
      <c r="A3288" t="str">
        <f>"202356E0100"</f>
        <v>202356E0100</v>
      </c>
      <c r="B3288" s="2" t="s">
        <v>6818</v>
      </c>
      <c r="C3288">
        <v>20</v>
      </c>
      <c r="D3288" t="s">
        <v>88</v>
      </c>
      <c r="E3288">
        <v>550</v>
      </c>
      <c r="F3288" t="s">
        <v>6774</v>
      </c>
      <c r="G3288">
        <v>2356</v>
      </c>
      <c r="H3288">
        <v>1</v>
      </c>
      <c r="I3288" t="s">
        <v>156</v>
      </c>
      <c r="J3288">
        <v>0</v>
      </c>
      <c r="K3288">
        <v>2</v>
      </c>
      <c r="L3288">
        <v>5</v>
      </c>
      <c r="M3288">
        <v>57</v>
      </c>
      <c r="N3288">
        <v>177</v>
      </c>
      <c r="O3288">
        <v>7</v>
      </c>
      <c r="P3288">
        <v>177</v>
      </c>
      <c r="Q3288">
        <v>53</v>
      </c>
      <c r="R3288">
        <v>78</v>
      </c>
      <c r="S3288">
        <v>1</v>
      </c>
      <c r="T3288">
        <v>0</v>
      </c>
      <c r="U3288">
        <v>8</v>
      </c>
      <c r="V3288">
        <v>3</v>
      </c>
      <c r="W3288">
        <v>1</v>
      </c>
      <c r="X3288">
        <v>0</v>
      </c>
      <c r="Y3288">
        <v>19</v>
      </c>
      <c r="Z3288">
        <v>0</v>
      </c>
      <c r="AA3288">
        <v>0</v>
      </c>
      <c r="AB3288">
        <v>1</v>
      </c>
      <c r="AC3288">
        <v>1</v>
      </c>
      <c r="AD3288">
        <v>1</v>
      </c>
      <c r="AE3288">
        <v>0</v>
      </c>
      <c r="AF3288">
        <v>0</v>
      </c>
      <c r="AG3288">
        <v>1</v>
      </c>
      <c r="AH3288">
        <v>2</v>
      </c>
      <c r="AI3288">
        <v>1</v>
      </c>
      <c r="AJ3288">
        <v>0</v>
      </c>
      <c r="AK3288">
        <v>1</v>
      </c>
      <c r="AL3288">
        <v>1</v>
      </c>
      <c r="AM3288">
        <v>0</v>
      </c>
      <c r="AN3288">
        <v>0</v>
      </c>
      <c r="BC3288">
        <v>0</v>
      </c>
      <c r="BD3288">
        <v>5</v>
      </c>
      <c r="BE3288">
        <v>177</v>
      </c>
      <c r="BF3288">
        <v>177</v>
      </c>
      <c r="BG3288">
        <v>212</v>
      </c>
      <c r="BJ3288">
        <v>1</v>
      </c>
      <c r="BL3288" t="s">
        <v>6819</v>
      </c>
      <c r="BM3288" s="4">
        <v>43283.148611111108</v>
      </c>
      <c r="BN3288" s="4">
        <v>43283.161863425928</v>
      </c>
      <c r="BO3288" s="4">
        <v>43283.161863425928</v>
      </c>
      <c r="BP3288" t="s">
        <v>92</v>
      </c>
      <c r="BQ3288" t="s">
        <v>93</v>
      </c>
      <c r="BR3288" t="s">
        <v>94</v>
      </c>
    </row>
    <row r="3289" spans="1:70" x14ac:dyDescent="0.3">
      <c r="A3289" t="str">
        <f>"202357B0100"</f>
        <v>202357B0100</v>
      </c>
      <c r="B3289" t="s">
        <v>6820</v>
      </c>
      <c r="C3289">
        <v>20</v>
      </c>
      <c r="D3289" t="s">
        <v>88</v>
      </c>
      <c r="E3289">
        <v>550</v>
      </c>
      <c r="F3289" t="s">
        <v>6774</v>
      </c>
      <c r="G3289">
        <v>2357</v>
      </c>
      <c r="H3289">
        <v>1</v>
      </c>
      <c r="I3289" t="s">
        <v>90</v>
      </c>
      <c r="J3289">
        <v>0</v>
      </c>
      <c r="K3289">
        <v>1</v>
      </c>
      <c r="L3289">
        <v>5</v>
      </c>
      <c r="M3289">
        <v>259</v>
      </c>
      <c r="N3289">
        <v>446</v>
      </c>
      <c r="O3289">
        <v>15</v>
      </c>
      <c r="P3289">
        <v>418</v>
      </c>
      <c r="Q3289">
        <v>137</v>
      </c>
      <c r="R3289">
        <v>77</v>
      </c>
      <c r="S3289">
        <v>18</v>
      </c>
      <c r="T3289">
        <v>8</v>
      </c>
      <c r="U3289">
        <v>15</v>
      </c>
      <c r="V3289">
        <v>5</v>
      </c>
      <c r="W3289">
        <v>6</v>
      </c>
      <c r="X3289">
        <v>5</v>
      </c>
      <c r="Y3289">
        <v>120</v>
      </c>
      <c r="Z3289">
        <v>2</v>
      </c>
      <c r="AA3289">
        <v>0</v>
      </c>
      <c r="AB3289">
        <v>14</v>
      </c>
      <c r="AC3289">
        <v>1</v>
      </c>
      <c r="AD3289">
        <v>1</v>
      </c>
      <c r="AE3289">
        <v>2</v>
      </c>
      <c r="AF3289">
        <v>0</v>
      </c>
      <c r="AG3289">
        <v>0</v>
      </c>
      <c r="AH3289">
        <v>1</v>
      </c>
      <c r="AI3289">
        <v>3</v>
      </c>
      <c r="AJ3289">
        <v>0</v>
      </c>
      <c r="AK3289">
        <v>7</v>
      </c>
      <c r="AL3289">
        <v>3</v>
      </c>
      <c r="AM3289">
        <v>0</v>
      </c>
      <c r="AN3289">
        <v>2</v>
      </c>
      <c r="BC3289">
        <v>2</v>
      </c>
      <c r="BD3289">
        <v>17</v>
      </c>
      <c r="BE3289">
        <v>446</v>
      </c>
      <c r="BF3289">
        <v>446</v>
      </c>
      <c r="BG3289">
        <v>684</v>
      </c>
      <c r="BJ3289">
        <v>1</v>
      </c>
      <c r="BL3289" t="s">
        <v>6821</v>
      </c>
      <c r="BM3289" s="4">
        <v>43283.148611111108</v>
      </c>
      <c r="BN3289" s="4">
        <v>43283.165891203702</v>
      </c>
      <c r="BO3289" s="4">
        <v>43283.165891203702</v>
      </c>
      <c r="BP3289" t="s">
        <v>92</v>
      </c>
      <c r="BQ3289" t="s">
        <v>93</v>
      </c>
      <c r="BR3289" t="s">
        <v>94</v>
      </c>
    </row>
    <row r="3290" spans="1:70" x14ac:dyDescent="0.3">
      <c r="A3290" t="str">
        <f>"202357C0100"</f>
        <v>202357C0100</v>
      </c>
      <c r="B3290" t="s">
        <v>6822</v>
      </c>
      <c r="C3290">
        <v>20</v>
      </c>
      <c r="D3290" t="s">
        <v>88</v>
      </c>
      <c r="E3290">
        <v>550</v>
      </c>
      <c r="F3290" t="s">
        <v>6774</v>
      </c>
      <c r="G3290">
        <v>2357</v>
      </c>
      <c r="H3290">
        <v>1</v>
      </c>
      <c r="I3290" t="s">
        <v>98</v>
      </c>
      <c r="J3290">
        <v>0</v>
      </c>
      <c r="K3290">
        <v>1</v>
      </c>
      <c r="L3290">
        <v>5</v>
      </c>
      <c r="M3290">
        <v>239</v>
      </c>
      <c r="N3290">
        <v>466</v>
      </c>
      <c r="O3290">
        <v>7</v>
      </c>
      <c r="P3290">
        <v>468</v>
      </c>
      <c r="Q3290">
        <v>133</v>
      </c>
      <c r="R3290">
        <v>95</v>
      </c>
      <c r="S3290">
        <v>23</v>
      </c>
      <c r="T3290">
        <v>6</v>
      </c>
      <c r="U3290">
        <v>22</v>
      </c>
      <c r="V3290">
        <v>5</v>
      </c>
      <c r="W3290">
        <v>12</v>
      </c>
      <c r="X3290">
        <v>1</v>
      </c>
      <c r="Y3290">
        <v>125</v>
      </c>
      <c r="Z3290">
        <v>5</v>
      </c>
      <c r="AA3290">
        <v>1</v>
      </c>
      <c r="AB3290">
        <v>12</v>
      </c>
      <c r="AC3290">
        <v>3</v>
      </c>
      <c r="AD3290">
        <v>3</v>
      </c>
      <c r="AE3290">
        <v>0</v>
      </c>
      <c r="AF3290">
        <v>0</v>
      </c>
      <c r="AG3290">
        <v>0</v>
      </c>
      <c r="AH3290">
        <v>1</v>
      </c>
      <c r="AI3290">
        <v>1</v>
      </c>
      <c r="AJ3290">
        <v>0</v>
      </c>
      <c r="AK3290">
        <v>1</v>
      </c>
      <c r="AL3290">
        <v>3</v>
      </c>
      <c r="AM3290">
        <v>1</v>
      </c>
      <c r="AN3290">
        <v>1</v>
      </c>
      <c r="BC3290">
        <v>0</v>
      </c>
      <c r="BD3290">
        <v>14</v>
      </c>
      <c r="BE3290">
        <v>468</v>
      </c>
      <c r="BF3290">
        <v>468</v>
      </c>
      <c r="BG3290">
        <v>683</v>
      </c>
      <c r="BJ3290">
        <v>1</v>
      </c>
      <c r="BL3290" t="s">
        <v>6823</v>
      </c>
      <c r="BM3290" s="4">
        <v>43283.148611111108</v>
      </c>
      <c r="BN3290" s="4">
        <v>43283.164826388886</v>
      </c>
      <c r="BO3290" s="4">
        <v>43283.164826388886</v>
      </c>
      <c r="BP3290" t="s">
        <v>92</v>
      </c>
      <c r="BQ3290" t="s">
        <v>93</v>
      </c>
      <c r="BR3290" t="s">
        <v>94</v>
      </c>
    </row>
    <row r="3291" spans="1:70" x14ac:dyDescent="0.3">
      <c r="A3291" t="str">
        <f>"202358B0100"</f>
        <v>202358B0100</v>
      </c>
      <c r="B3291" t="s">
        <v>6824</v>
      </c>
      <c r="C3291">
        <v>20</v>
      </c>
      <c r="D3291" t="s">
        <v>88</v>
      </c>
      <c r="E3291">
        <v>550</v>
      </c>
      <c r="F3291" t="s">
        <v>6774</v>
      </c>
      <c r="G3291">
        <v>2358</v>
      </c>
      <c r="H3291">
        <v>1</v>
      </c>
      <c r="I3291" t="s">
        <v>90</v>
      </c>
      <c r="J3291">
        <v>0</v>
      </c>
      <c r="K3291">
        <v>2</v>
      </c>
      <c r="L3291">
        <v>5</v>
      </c>
      <c r="M3291">
        <v>260</v>
      </c>
      <c r="N3291">
        <v>356</v>
      </c>
      <c r="O3291">
        <v>3</v>
      </c>
      <c r="P3291">
        <v>355</v>
      </c>
      <c r="Q3291">
        <v>78</v>
      </c>
      <c r="R3291">
        <v>74</v>
      </c>
      <c r="S3291">
        <v>7</v>
      </c>
      <c r="T3291">
        <v>1</v>
      </c>
      <c r="U3291">
        <v>17</v>
      </c>
      <c r="V3291">
        <v>3</v>
      </c>
      <c r="W3291">
        <v>8</v>
      </c>
      <c r="X3291">
        <v>5</v>
      </c>
      <c r="Y3291">
        <v>120</v>
      </c>
      <c r="Z3291">
        <v>5</v>
      </c>
      <c r="AA3291">
        <v>3</v>
      </c>
      <c r="AB3291">
        <v>12</v>
      </c>
      <c r="AC3291">
        <v>1</v>
      </c>
      <c r="AD3291">
        <v>0</v>
      </c>
      <c r="AE3291">
        <v>0</v>
      </c>
      <c r="AF3291">
        <v>1</v>
      </c>
      <c r="AG3291">
        <v>1</v>
      </c>
      <c r="AH3291">
        <v>1</v>
      </c>
      <c r="AI3291">
        <v>1</v>
      </c>
      <c r="AJ3291">
        <v>0</v>
      </c>
      <c r="AK3291">
        <v>2</v>
      </c>
      <c r="AL3291">
        <v>0</v>
      </c>
      <c r="AM3291">
        <v>1</v>
      </c>
      <c r="AN3291">
        <v>0</v>
      </c>
      <c r="BC3291">
        <v>0</v>
      </c>
      <c r="BD3291">
        <v>14</v>
      </c>
      <c r="BE3291">
        <v>355</v>
      </c>
      <c r="BF3291">
        <v>355</v>
      </c>
      <c r="BG3291">
        <v>593</v>
      </c>
      <c r="BJ3291">
        <v>1</v>
      </c>
      <c r="BL3291" t="s">
        <v>6825</v>
      </c>
      <c r="BM3291" s="4">
        <v>43283.175694444442</v>
      </c>
      <c r="BN3291" s="4">
        <v>43283.192013888889</v>
      </c>
      <c r="BO3291" s="4">
        <v>43283.192013888889</v>
      </c>
      <c r="BP3291" t="s">
        <v>92</v>
      </c>
      <c r="BQ3291" t="s">
        <v>93</v>
      </c>
      <c r="BR3291" t="s">
        <v>94</v>
      </c>
    </row>
    <row r="3292" spans="1:70" x14ac:dyDescent="0.3">
      <c r="A3292" t="str">
        <f>"202358C0100"</f>
        <v>202358C0100</v>
      </c>
      <c r="B3292" t="s">
        <v>6826</v>
      </c>
      <c r="C3292">
        <v>20</v>
      </c>
      <c r="D3292" t="s">
        <v>88</v>
      </c>
      <c r="E3292">
        <v>550</v>
      </c>
      <c r="F3292" t="s">
        <v>6774</v>
      </c>
      <c r="G3292">
        <v>2358</v>
      </c>
      <c r="H3292">
        <v>1</v>
      </c>
      <c r="I3292" t="s">
        <v>98</v>
      </c>
      <c r="J3292">
        <v>0</v>
      </c>
      <c r="K3292">
        <v>2</v>
      </c>
      <c r="L3292">
        <v>5</v>
      </c>
      <c r="M3292">
        <v>274</v>
      </c>
      <c r="N3292">
        <v>341</v>
      </c>
      <c r="O3292">
        <v>3</v>
      </c>
      <c r="P3292">
        <v>341</v>
      </c>
      <c r="Q3292">
        <v>67</v>
      </c>
      <c r="R3292">
        <v>66</v>
      </c>
      <c r="S3292">
        <v>9</v>
      </c>
      <c r="T3292">
        <v>5</v>
      </c>
      <c r="U3292">
        <v>20</v>
      </c>
      <c r="V3292">
        <v>3</v>
      </c>
      <c r="W3292">
        <v>9</v>
      </c>
      <c r="X3292">
        <v>9</v>
      </c>
      <c r="Y3292">
        <v>109</v>
      </c>
      <c r="Z3292">
        <v>2</v>
      </c>
      <c r="AA3292">
        <v>2</v>
      </c>
      <c r="AB3292">
        <v>16</v>
      </c>
      <c r="AC3292">
        <v>0</v>
      </c>
      <c r="AD3292">
        <v>2</v>
      </c>
      <c r="AE3292">
        <v>0</v>
      </c>
      <c r="AF3292">
        <v>0</v>
      </c>
      <c r="AG3292">
        <v>3</v>
      </c>
      <c r="AH3292">
        <v>1</v>
      </c>
      <c r="AI3292">
        <v>1</v>
      </c>
      <c r="AJ3292">
        <v>0</v>
      </c>
      <c r="AK3292">
        <v>2</v>
      </c>
      <c r="AL3292">
        <v>0</v>
      </c>
      <c r="AM3292">
        <v>1</v>
      </c>
      <c r="AN3292">
        <v>2</v>
      </c>
      <c r="BC3292">
        <v>1</v>
      </c>
      <c r="BD3292">
        <v>11</v>
      </c>
      <c r="BE3292">
        <v>341</v>
      </c>
      <c r="BF3292">
        <v>341</v>
      </c>
      <c r="BG3292">
        <v>593</v>
      </c>
      <c r="BJ3292">
        <v>1</v>
      </c>
      <c r="BL3292" t="s">
        <v>6827</v>
      </c>
      <c r="BM3292" s="4">
        <v>43283.175694444442</v>
      </c>
      <c r="BN3292" s="4">
        <v>43283.193877314814</v>
      </c>
      <c r="BO3292" s="4">
        <v>43283.193877314814</v>
      </c>
      <c r="BP3292" t="s">
        <v>92</v>
      </c>
      <c r="BQ3292" t="s">
        <v>93</v>
      </c>
      <c r="BR3292" t="s">
        <v>94</v>
      </c>
    </row>
    <row r="3293" spans="1:70" x14ac:dyDescent="0.3">
      <c r="A3293" t="str">
        <f>"202358C0200"</f>
        <v>202358C0200</v>
      </c>
      <c r="B3293" t="s">
        <v>6828</v>
      </c>
      <c r="C3293">
        <v>20</v>
      </c>
      <c r="D3293" t="s">
        <v>88</v>
      </c>
      <c r="E3293">
        <v>550</v>
      </c>
      <c r="F3293" t="s">
        <v>6774</v>
      </c>
      <c r="G3293">
        <v>2358</v>
      </c>
      <c r="H3293">
        <v>2</v>
      </c>
      <c r="I3293" t="s">
        <v>98</v>
      </c>
      <c r="J3293">
        <v>0</v>
      </c>
      <c r="K3293">
        <v>2</v>
      </c>
      <c r="L3293">
        <v>5</v>
      </c>
      <c r="M3293">
        <v>238</v>
      </c>
      <c r="N3293">
        <v>377</v>
      </c>
      <c r="O3293">
        <v>3</v>
      </c>
      <c r="P3293">
        <v>22</v>
      </c>
      <c r="Q3293">
        <v>78</v>
      </c>
      <c r="R3293">
        <v>71</v>
      </c>
      <c r="S3293">
        <v>8</v>
      </c>
      <c r="T3293">
        <v>5</v>
      </c>
      <c r="U3293">
        <v>23</v>
      </c>
      <c r="V3293">
        <v>3</v>
      </c>
      <c r="W3293">
        <v>6</v>
      </c>
      <c r="X3293">
        <v>5</v>
      </c>
      <c r="Y3293">
        <v>136</v>
      </c>
      <c r="Z3293">
        <v>3</v>
      </c>
      <c r="AA3293">
        <v>1</v>
      </c>
      <c r="AB3293">
        <v>14</v>
      </c>
      <c r="AC3293">
        <v>1</v>
      </c>
      <c r="AD3293">
        <v>0</v>
      </c>
      <c r="AE3293">
        <v>0</v>
      </c>
      <c r="AF3293">
        <v>0</v>
      </c>
      <c r="AG3293">
        <v>1</v>
      </c>
      <c r="AH3293">
        <v>0</v>
      </c>
      <c r="AI3293">
        <v>0</v>
      </c>
      <c r="AJ3293">
        <v>0</v>
      </c>
      <c r="AK3293">
        <v>10</v>
      </c>
      <c r="AL3293">
        <v>3</v>
      </c>
      <c r="AM3293">
        <v>0</v>
      </c>
      <c r="AN3293">
        <v>0</v>
      </c>
      <c r="BC3293">
        <v>0</v>
      </c>
      <c r="BD3293">
        <v>9</v>
      </c>
      <c r="BE3293">
        <v>377</v>
      </c>
      <c r="BF3293">
        <v>377</v>
      </c>
      <c r="BG3293">
        <v>593</v>
      </c>
      <c r="BJ3293">
        <v>1</v>
      </c>
      <c r="BL3293" t="s">
        <v>6829</v>
      </c>
      <c r="BM3293" s="4">
        <v>43283.175694444442</v>
      </c>
      <c r="BN3293" s="4">
        <v>43283.191678240742</v>
      </c>
      <c r="BO3293" s="4">
        <v>43283.191678240742</v>
      </c>
      <c r="BP3293" t="s">
        <v>92</v>
      </c>
      <c r="BQ3293" t="s">
        <v>93</v>
      </c>
      <c r="BR3293" t="s">
        <v>94</v>
      </c>
    </row>
    <row r="3294" spans="1:70" x14ac:dyDescent="0.3">
      <c r="A3294" t="str">
        <f>"202359B0100"</f>
        <v>202359B0100</v>
      </c>
      <c r="B3294" t="s">
        <v>6830</v>
      </c>
      <c r="C3294">
        <v>20</v>
      </c>
      <c r="D3294" t="s">
        <v>88</v>
      </c>
      <c r="E3294">
        <v>550</v>
      </c>
      <c r="F3294" t="s">
        <v>6774</v>
      </c>
      <c r="G3294">
        <v>2359</v>
      </c>
      <c r="H3294">
        <v>1</v>
      </c>
      <c r="I3294" t="s">
        <v>90</v>
      </c>
      <c r="J3294">
        <v>0</v>
      </c>
      <c r="K3294">
        <v>1</v>
      </c>
      <c r="L3294">
        <v>5</v>
      </c>
      <c r="M3294">
        <v>229</v>
      </c>
      <c r="N3294">
        <v>366</v>
      </c>
      <c r="O3294">
        <v>2</v>
      </c>
      <c r="P3294">
        <v>355</v>
      </c>
      <c r="Q3294">
        <v>132</v>
      </c>
      <c r="R3294">
        <v>72</v>
      </c>
      <c r="S3294">
        <v>11</v>
      </c>
      <c r="T3294">
        <v>3</v>
      </c>
      <c r="U3294">
        <v>16</v>
      </c>
      <c r="V3294">
        <v>2</v>
      </c>
      <c r="W3294">
        <v>3</v>
      </c>
      <c r="X3294">
        <v>1</v>
      </c>
      <c r="Y3294">
        <v>99</v>
      </c>
      <c r="Z3294">
        <v>3</v>
      </c>
      <c r="AA3294">
        <v>2</v>
      </c>
      <c r="AB3294">
        <v>3</v>
      </c>
      <c r="AC3294">
        <v>1</v>
      </c>
      <c r="AD3294">
        <v>3</v>
      </c>
      <c r="AE3294">
        <v>0</v>
      </c>
      <c r="AF3294">
        <v>0</v>
      </c>
      <c r="AG3294">
        <v>0</v>
      </c>
      <c r="AH3294">
        <v>0</v>
      </c>
      <c r="AI3294">
        <v>1</v>
      </c>
      <c r="AJ3294">
        <v>0</v>
      </c>
      <c r="AK3294">
        <v>3</v>
      </c>
      <c r="AL3294">
        <v>3</v>
      </c>
      <c r="AM3294">
        <v>0</v>
      </c>
      <c r="AN3294">
        <v>0</v>
      </c>
      <c r="BC3294">
        <v>0</v>
      </c>
      <c r="BD3294">
        <v>6</v>
      </c>
      <c r="BE3294">
        <v>366</v>
      </c>
      <c r="BF3294">
        <v>364</v>
      </c>
      <c r="BG3294">
        <v>573</v>
      </c>
      <c r="BJ3294">
        <v>1</v>
      </c>
      <c r="BL3294" t="s">
        <v>6831</v>
      </c>
      <c r="BM3294" s="4">
        <v>43283.175694444442</v>
      </c>
      <c r="BN3294" s="4">
        <v>43283.198194444441</v>
      </c>
      <c r="BO3294" s="4">
        <v>43283.198194444441</v>
      </c>
      <c r="BP3294" t="s">
        <v>92</v>
      </c>
      <c r="BQ3294" t="s">
        <v>93</v>
      </c>
      <c r="BR3294" t="s">
        <v>94</v>
      </c>
    </row>
    <row r="3295" spans="1:70" x14ac:dyDescent="0.3">
      <c r="A3295" t="str">
        <f>"202360B0100"</f>
        <v>202360B0100</v>
      </c>
      <c r="B3295" t="s">
        <v>6832</v>
      </c>
      <c r="C3295">
        <v>20</v>
      </c>
      <c r="D3295" t="s">
        <v>88</v>
      </c>
      <c r="E3295">
        <v>550</v>
      </c>
      <c r="F3295" t="s">
        <v>6774</v>
      </c>
      <c r="G3295">
        <v>2360</v>
      </c>
      <c r="H3295">
        <v>1</v>
      </c>
      <c r="I3295" t="s">
        <v>90</v>
      </c>
      <c r="J3295">
        <v>0</v>
      </c>
      <c r="K3295">
        <v>2</v>
      </c>
      <c r="L3295">
        <v>5</v>
      </c>
      <c r="M3295">
        <v>257</v>
      </c>
      <c r="N3295">
        <v>207</v>
      </c>
      <c r="O3295">
        <v>6</v>
      </c>
      <c r="P3295">
        <v>207</v>
      </c>
      <c r="Q3295">
        <v>35</v>
      </c>
      <c r="R3295">
        <v>61</v>
      </c>
      <c r="S3295">
        <v>5</v>
      </c>
      <c r="T3295">
        <v>4</v>
      </c>
      <c r="U3295">
        <v>11</v>
      </c>
      <c r="V3295">
        <v>3</v>
      </c>
      <c r="W3295">
        <v>2</v>
      </c>
      <c r="X3295">
        <v>4</v>
      </c>
      <c r="Y3295">
        <v>62</v>
      </c>
      <c r="Z3295">
        <v>2</v>
      </c>
      <c r="AA3295">
        <v>0</v>
      </c>
      <c r="AB3295">
        <v>3</v>
      </c>
      <c r="AC3295">
        <v>0</v>
      </c>
      <c r="AD3295">
        <v>0</v>
      </c>
      <c r="AE3295">
        <v>0</v>
      </c>
      <c r="AF3295">
        <v>0</v>
      </c>
      <c r="AG3295">
        <v>1</v>
      </c>
      <c r="AH3295">
        <v>3</v>
      </c>
      <c r="AI3295">
        <v>1</v>
      </c>
      <c r="AJ3295">
        <v>0</v>
      </c>
      <c r="AK3295">
        <v>4</v>
      </c>
      <c r="AL3295">
        <v>0</v>
      </c>
      <c r="AM3295">
        <v>0</v>
      </c>
      <c r="AN3295">
        <v>0</v>
      </c>
      <c r="BC3295">
        <v>0</v>
      </c>
      <c r="BD3295">
        <v>6</v>
      </c>
      <c r="BE3295">
        <v>207</v>
      </c>
      <c r="BF3295">
        <v>207</v>
      </c>
      <c r="BG3295">
        <v>442</v>
      </c>
      <c r="BJ3295">
        <v>1</v>
      </c>
      <c r="BL3295" t="s">
        <v>6833</v>
      </c>
      <c r="BM3295" s="4">
        <v>43283.175694444442</v>
      </c>
      <c r="BN3295" s="4">
        <v>43283.193310185183</v>
      </c>
      <c r="BO3295" s="4">
        <v>43283.193310185183</v>
      </c>
      <c r="BP3295" t="s">
        <v>92</v>
      </c>
      <c r="BQ3295" t="s">
        <v>93</v>
      </c>
      <c r="BR3295" t="s">
        <v>94</v>
      </c>
    </row>
    <row r="3296" spans="1:70" x14ac:dyDescent="0.3">
      <c r="A3296" t="str">
        <f>"202360C0100"</f>
        <v>202360C0100</v>
      </c>
      <c r="B3296" t="s">
        <v>6834</v>
      </c>
      <c r="C3296">
        <v>20</v>
      </c>
      <c r="D3296" t="s">
        <v>88</v>
      </c>
      <c r="E3296">
        <v>550</v>
      </c>
      <c r="F3296" t="s">
        <v>6774</v>
      </c>
      <c r="G3296">
        <v>2360</v>
      </c>
      <c r="H3296">
        <v>1</v>
      </c>
      <c r="I3296" t="s">
        <v>98</v>
      </c>
      <c r="J3296">
        <v>0</v>
      </c>
      <c r="K3296">
        <v>2</v>
      </c>
      <c r="L3296">
        <v>5</v>
      </c>
      <c r="M3296">
        <v>260</v>
      </c>
      <c r="N3296">
        <v>203</v>
      </c>
      <c r="O3296">
        <v>5</v>
      </c>
      <c r="P3296">
        <v>203</v>
      </c>
      <c r="Q3296">
        <v>34</v>
      </c>
      <c r="R3296">
        <v>64</v>
      </c>
      <c r="S3296">
        <v>2</v>
      </c>
      <c r="T3296">
        <v>5</v>
      </c>
      <c r="U3296">
        <v>13</v>
      </c>
      <c r="V3296">
        <v>4</v>
      </c>
      <c r="W3296">
        <v>3</v>
      </c>
      <c r="X3296">
        <v>2</v>
      </c>
      <c r="Y3296">
        <v>52</v>
      </c>
      <c r="Z3296">
        <v>3</v>
      </c>
      <c r="AA3296">
        <v>1</v>
      </c>
      <c r="AB3296">
        <v>8</v>
      </c>
      <c r="AC3296">
        <v>1</v>
      </c>
      <c r="AD3296">
        <v>0</v>
      </c>
      <c r="AE3296">
        <v>0</v>
      </c>
      <c r="AF3296">
        <v>0</v>
      </c>
      <c r="AG3296">
        <v>1</v>
      </c>
      <c r="AH3296">
        <v>1</v>
      </c>
      <c r="AI3296">
        <v>0</v>
      </c>
      <c r="AJ3296">
        <v>0</v>
      </c>
      <c r="AK3296">
        <v>3</v>
      </c>
      <c r="AL3296">
        <v>0</v>
      </c>
      <c r="AM3296">
        <v>0</v>
      </c>
      <c r="AN3296">
        <v>0</v>
      </c>
      <c r="BC3296">
        <v>0</v>
      </c>
      <c r="BD3296">
        <v>6</v>
      </c>
      <c r="BE3296">
        <v>203</v>
      </c>
      <c r="BF3296">
        <v>203</v>
      </c>
      <c r="BG3296">
        <v>441</v>
      </c>
      <c r="BJ3296">
        <v>1</v>
      </c>
      <c r="BL3296" t="s">
        <v>6835</v>
      </c>
      <c r="BM3296" s="4">
        <v>43283.228472222225</v>
      </c>
      <c r="BN3296" s="4">
        <v>43283.25141203704</v>
      </c>
      <c r="BO3296" s="4">
        <v>43283.25141203704</v>
      </c>
      <c r="BP3296" t="s">
        <v>92</v>
      </c>
      <c r="BQ3296" t="s">
        <v>93</v>
      </c>
      <c r="BR3296" t="s">
        <v>94</v>
      </c>
    </row>
    <row r="3297" spans="1:70" x14ac:dyDescent="0.3">
      <c r="A3297" t="str">
        <f>"202361B0100"</f>
        <v>202361B0100</v>
      </c>
      <c r="B3297" t="s">
        <v>6836</v>
      </c>
      <c r="C3297">
        <v>20</v>
      </c>
      <c r="D3297" t="s">
        <v>88</v>
      </c>
      <c r="E3297">
        <v>550</v>
      </c>
      <c r="F3297" t="s">
        <v>6774</v>
      </c>
      <c r="G3297">
        <v>2361</v>
      </c>
      <c r="H3297">
        <v>1</v>
      </c>
      <c r="I3297" t="s">
        <v>90</v>
      </c>
      <c r="J3297">
        <v>0</v>
      </c>
      <c r="K3297">
        <v>2</v>
      </c>
      <c r="L3297">
        <v>5</v>
      </c>
      <c r="M3297">
        <v>159</v>
      </c>
      <c r="N3297">
        <v>214</v>
      </c>
      <c r="O3297">
        <v>2</v>
      </c>
      <c r="P3297">
        <v>214</v>
      </c>
      <c r="Q3297">
        <v>16</v>
      </c>
      <c r="R3297">
        <v>90</v>
      </c>
      <c r="S3297">
        <v>3</v>
      </c>
      <c r="T3297">
        <v>6</v>
      </c>
      <c r="U3297">
        <v>10</v>
      </c>
      <c r="V3297">
        <v>1</v>
      </c>
      <c r="W3297">
        <v>9</v>
      </c>
      <c r="X3297">
        <v>9</v>
      </c>
      <c r="Y3297">
        <v>29</v>
      </c>
      <c r="Z3297">
        <v>6</v>
      </c>
      <c r="AA3297">
        <v>3</v>
      </c>
      <c r="AB3297">
        <v>15</v>
      </c>
      <c r="AC3297">
        <v>1</v>
      </c>
      <c r="AD3297">
        <v>0</v>
      </c>
      <c r="AE3297">
        <v>0</v>
      </c>
      <c r="AF3297">
        <v>0</v>
      </c>
      <c r="AG3297">
        <v>0</v>
      </c>
      <c r="AH3297">
        <v>2</v>
      </c>
      <c r="AI3297">
        <v>2</v>
      </c>
      <c r="AJ3297">
        <v>0</v>
      </c>
      <c r="AK3297">
        <v>2</v>
      </c>
      <c r="AL3297">
        <v>0</v>
      </c>
      <c r="AM3297">
        <v>0</v>
      </c>
      <c r="AN3297">
        <v>1</v>
      </c>
      <c r="BC3297">
        <v>0</v>
      </c>
      <c r="BD3297">
        <v>9</v>
      </c>
      <c r="BE3297">
        <v>214</v>
      </c>
      <c r="BF3297">
        <v>214</v>
      </c>
      <c r="BG3297">
        <v>351</v>
      </c>
      <c r="BJ3297">
        <v>1</v>
      </c>
      <c r="BL3297" t="s">
        <v>6837</v>
      </c>
      <c r="BM3297" s="4">
        <v>43283.148611111108</v>
      </c>
      <c r="BN3297" s="4">
        <v>43283.162881944445</v>
      </c>
      <c r="BO3297" s="4">
        <v>43283.162881944445</v>
      </c>
      <c r="BP3297" t="s">
        <v>92</v>
      </c>
      <c r="BQ3297" t="s">
        <v>93</v>
      </c>
      <c r="BR3297" t="s">
        <v>94</v>
      </c>
    </row>
    <row r="3298" spans="1:70" x14ac:dyDescent="0.3">
      <c r="A3298" t="str">
        <f>"202367B0100"</f>
        <v>202367B0100</v>
      </c>
      <c r="B3298" t="s">
        <v>6838</v>
      </c>
      <c r="C3298">
        <v>20</v>
      </c>
      <c r="D3298" t="s">
        <v>88</v>
      </c>
      <c r="E3298">
        <v>553</v>
      </c>
      <c r="F3298" t="s">
        <v>6839</v>
      </c>
      <c r="G3298">
        <v>2367</v>
      </c>
      <c r="H3298">
        <v>1</v>
      </c>
      <c r="I3298" t="s">
        <v>90</v>
      </c>
      <c r="J3298">
        <v>0</v>
      </c>
      <c r="K3298">
        <v>2</v>
      </c>
      <c r="L3298">
        <v>5</v>
      </c>
      <c r="BG3298">
        <v>614</v>
      </c>
      <c r="BI3298" t="s">
        <v>365</v>
      </c>
      <c r="BJ3298">
        <v>0</v>
      </c>
      <c r="BL3298" t="s">
        <v>6840</v>
      </c>
      <c r="BM3298" s="4">
        <v>43282.78125</v>
      </c>
      <c r="BN3298" s="4">
        <v>43283.789895833332</v>
      </c>
      <c r="BO3298" s="4">
        <v>43283.789895833332</v>
      </c>
      <c r="BP3298" t="s">
        <v>92</v>
      </c>
      <c r="BQ3298" t="s">
        <v>93</v>
      </c>
      <c r="BR3298" t="s">
        <v>94</v>
      </c>
    </row>
    <row r="3299" spans="1:70" x14ac:dyDescent="0.3">
      <c r="A3299" t="str">
        <f>"202367C0100"</f>
        <v>202367C0100</v>
      </c>
      <c r="B3299" t="s">
        <v>6841</v>
      </c>
      <c r="C3299">
        <v>20</v>
      </c>
      <c r="D3299" t="s">
        <v>88</v>
      </c>
      <c r="E3299">
        <v>553</v>
      </c>
      <c r="F3299" t="s">
        <v>6839</v>
      </c>
      <c r="G3299">
        <v>2367</v>
      </c>
      <c r="H3299">
        <v>1</v>
      </c>
      <c r="I3299" t="s">
        <v>98</v>
      </c>
      <c r="J3299">
        <v>0</v>
      </c>
      <c r="K3299">
        <v>2</v>
      </c>
      <c r="L3299">
        <v>5</v>
      </c>
      <c r="M3299">
        <v>211</v>
      </c>
      <c r="N3299">
        <v>428</v>
      </c>
      <c r="O3299">
        <v>8</v>
      </c>
      <c r="P3299">
        <v>428</v>
      </c>
      <c r="Q3299">
        <v>1</v>
      </c>
      <c r="R3299">
        <v>16</v>
      </c>
      <c r="S3299">
        <v>69</v>
      </c>
      <c r="T3299">
        <v>125</v>
      </c>
      <c r="U3299">
        <v>5</v>
      </c>
      <c r="V3299">
        <v>3</v>
      </c>
      <c r="W3299">
        <v>28</v>
      </c>
      <c r="X3299">
        <v>21</v>
      </c>
      <c r="Y3299">
        <v>76</v>
      </c>
      <c r="Z3299">
        <v>2</v>
      </c>
      <c r="AA3299">
        <v>6</v>
      </c>
      <c r="AC3299">
        <v>2</v>
      </c>
      <c r="AD3299">
        <v>1</v>
      </c>
      <c r="AE3299" t="s">
        <v>105</v>
      </c>
      <c r="AF3299" t="s">
        <v>105</v>
      </c>
      <c r="AK3299">
        <v>2</v>
      </c>
      <c r="AL3299">
        <v>1</v>
      </c>
      <c r="AM3299" t="s">
        <v>105</v>
      </c>
      <c r="AN3299" t="s">
        <v>105</v>
      </c>
      <c r="AZ3299">
        <v>6</v>
      </c>
      <c r="BA3299">
        <v>12</v>
      </c>
      <c r="BB3299">
        <v>39</v>
      </c>
      <c r="BC3299" t="s">
        <v>105</v>
      </c>
      <c r="BD3299">
        <v>13</v>
      </c>
      <c r="BE3299">
        <v>428</v>
      </c>
      <c r="BF3299">
        <v>428</v>
      </c>
      <c r="BG3299">
        <v>614</v>
      </c>
      <c r="BI3299" t="s">
        <v>106</v>
      </c>
      <c r="BJ3299">
        <v>1</v>
      </c>
      <c r="BL3299" t="s">
        <v>6842</v>
      </c>
      <c r="BM3299" s="4">
        <v>43283.118055555555</v>
      </c>
      <c r="BN3299" s="4">
        <v>43283.125833333332</v>
      </c>
      <c r="BO3299" s="4">
        <v>43283.125833333332</v>
      </c>
      <c r="BP3299" t="s">
        <v>92</v>
      </c>
      <c r="BQ3299" t="s">
        <v>93</v>
      </c>
      <c r="BR3299" t="s">
        <v>94</v>
      </c>
    </row>
    <row r="3300" spans="1:70" x14ac:dyDescent="0.3">
      <c r="A3300" t="str">
        <f>"202367C0200"</f>
        <v>202367C0200</v>
      </c>
      <c r="B3300" t="s">
        <v>6843</v>
      </c>
      <c r="C3300">
        <v>20</v>
      </c>
      <c r="D3300" t="s">
        <v>88</v>
      </c>
      <c r="E3300">
        <v>553</v>
      </c>
      <c r="F3300" t="s">
        <v>6839</v>
      </c>
      <c r="G3300">
        <v>2367</v>
      </c>
      <c r="H3300">
        <v>2</v>
      </c>
      <c r="I3300" t="s">
        <v>98</v>
      </c>
      <c r="J3300">
        <v>0</v>
      </c>
      <c r="K3300">
        <v>2</v>
      </c>
      <c r="L3300">
        <v>5</v>
      </c>
      <c r="M3300">
        <v>200</v>
      </c>
      <c r="N3300">
        <v>439</v>
      </c>
      <c r="O3300">
        <v>12</v>
      </c>
      <c r="P3300">
        <v>439</v>
      </c>
      <c r="Q3300">
        <v>2</v>
      </c>
      <c r="R3300">
        <v>28</v>
      </c>
      <c r="S3300">
        <v>56</v>
      </c>
      <c r="T3300">
        <v>107</v>
      </c>
      <c r="U3300">
        <v>5</v>
      </c>
      <c r="V3300">
        <v>1</v>
      </c>
      <c r="W3300">
        <v>61</v>
      </c>
      <c r="X3300">
        <v>26</v>
      </c>
      <c r="Y3300">
        <v>86</v>
      </c>
      <c r="Z3300">
        <v>5</v>
      </c>
      <c r="AA3300">
        <v>6</v>
      </c>
      <c r="AC3300">
        <v>1</v>
      </c>
      <c r="AD3300" t="s">
        <v>105</v>
      </c>
      <c r="AE3300">
        <v>1</v>
      </c>
      <c r="AF3300" t="s">
        <v>105</v>
      </c>
      <c r="AK3300">
        <v>3</v>
      </c>
      <c r="AL3300">
        <v>1</v>
      </c>
      <c r="AM3300" t="s">
        <v>105</v>
      </c>
      <c r="AN3300" t="s">
        <v>105</v>
      </c>
      <c r="AZ3300">
        <v>6</v>
      </c>
      <c r="BA3300">
        <v>6</v>
      </c>
      <c r="BB3300">
        <v>32</v>
      </c>
      <c r="BC3300" t="s">
        <v>105</v>
      </c>
      <c r="BD3300">
        <v>6</v>
      </c>
      <c r="BE3300">
        <v>439</v>
      </c>
      <c r="BF3300">
        <v>439</v>
      </c>
      <c r="BG3300">
        <v>614</v>
      </c>
      <c r="BI3300" t="s">
        <v>106</v>
      </c>
      <c r="BJ3300">
        <v>1</v>
      </c>
      <c r="BL3300" t="s">
        <v>6844</v>
      </c>
      <c r="BM3300" s="4">
        <v>43283.069444444445</v>
      </c>
      <c r="BN3300" s="4">
        <v>43283.074583333335</v>
      </c>
      <c r="BO3300" s="4">
        <v>43283.074583333335</v>
      </c>
      <c r="BP3300" t="s">
        <v>92</v>
      </c>
      <c r="BQ3300" t="s">
        <v>93</v>
      </c>
      <c r="BR3300" t="s">
        <v>94</v>
      </c>
    </row>
    <row r="3301" spans="1:70" x14ac:dyDescent="0.3">
      <c r="A3301" t="str">
        <f>"202367C0300"</f>
        <v>202367C0300</v>
      </c>
      <c r="B3301" t="s">
        <v>6845</v>
      </c>
      <c r="C3301">
        <v>20</v>
      </c>
      <c r="D3301" t="s">
        <v>88</v>
      </c>
      <c r="E3301">
        <v>553</v>
      </c>
      <c r="F3301" t="s">
        <v>6839</v>
      </c>
      <c r="G3301">
        <v>2367</v>
      </c>
      <c r="H3301">
        <v>3</v>
      </c>
      <c r="I3301" t="s">
        <v>98</v>
      </c>
      <c r="J3301">
        <v>0</v>
      </c>
      <c r="K3301">
        <v>2</v>
      </c>
      <c r="L3301">
        <v>5</v>
      </c>
      <c r="M3301">
        <v>230</v>
      </c>
      <c r="N3301">
        <v>409</v>
      </c>
      <c r="O3301">
        <v>5</v>
      </c>
      <c r="P3301" t="s">
        <v>105</v>
      </c>
      <c r="Q3301">
        <v>3</v>
      </c>
      <c r="R3301">
        <v>17</v>
      </c>
      <c r="S3301">
        <v>48</v>
      </c>
      <c r="T3301">
        <v>112</v>
      </c>
      <c r="U3301">
        <v>5</v>
      </c>
      <c r="V3301">
        <v>2</v>
      </c>
      <c r="W3301">
        <v>29</v>
      </c>
      <c r="X3301">
        <v>36</v>
      </c>
      <c r="Y3301">
        <v>88</v>
      </c>
      <c r="Z3301">
        <v>6</v>
      </c>
      <c r="AA3301">
        <v>4</v>
      </c>
      <c r="AC3301">
        <v>0</v>
      </c>
      <c r="AD3301">
        <v>0</v>
      </c>
      <c r="AE3301">
        <v>0</v>
      </c>
      <c r="AF3301">
        <v>0</v>
      </c>
      <c r="AK3301">
        <v>3</v>
      </c>
      <c r="AL3301">
        <v>0</v>
      </c>
      <c r="AM3301">
        <v>0</v>
      </c>
      <c r="AN3301">
        <v>0</v>
      </c>
      <c r="AZ3301">
        <v>3</v>
      </c>
      <c r="BA3301">
        <v>10</v>
      </c>
      <c r="BB3301">
        <v>35</v>
      </c>
      <c r="BC3301">
        <v>0</v>
      </c>
      <c r="BD3301">
        <v>8</v>
      </c>
      <c r="BE3301">
        <v>409</v>
      </c>
      <c r="BF3301">
        <v>409</v>
      </c>
      <c r="BG3301">
        <v>614</v>
      </c>
      <c r="BJ3301">
        <v>1</v>
      </c>
      <c r="BL3301" t="s">
        <v>6846</v>
      </c>
      <c r="BM3301" s="4">
        <v>43283.256249999999</v>
      </c>
      <c r="BN3301" s="4">
        <v>43283.286736111113</v>
      </c>
      <c r="BO3301" s="4">
        <v>43283.286736111113</v>
      </c>
      <c r="BP3301" t="s">
        <v>92</v>
      </c>
      <c r="BQ3301" t="s">
        <v>93</v>
      </c>
      <c r="BR3301" t="s">
        <v>94</v>
      </c>
    </row>
    <row r="3302" spans="1:70" x14ac:dyDescent="0.3">
      <c r="A3302" t="str">
        <f>"202367C0400"</f>
        <v>202367C0400</v>
      </c>
      <c r="B3302" t="s">
        <v>6847</v>
      </c>
      <c r="C3302">
        <v>20</v>
      </c>
      <c r="D3302" t="s">
        <v>88</v>
      </c>
      <c r="E3302">
        <v>553</v>
      </c>
      <c r="F3302" t="s">
        <v>6839</v>
      </c>
      <c r="G3302">
        <v>2367</v>
      </c>
      <c r="H3302">
        <v>4</v>
      </c>
      <c r="I3302" t="s">
        <v>98</v>
      </c>
      <c r="J3302">
        <v>0</v>
      </c>
      <c r="K3302">
        <v>2</v>
      </c>
      <c r="L3302">
        <v>5</v>
      </c>
      <c r="M3302">
        <v>236</v>
      </c>
      <c r="N3302">
        <v>403</v>
      </c>
      <c r="O3302">
        <v>7</v>
      </c>
      <c r="P3302">
        <v>402</v>
      </c>
      <c r="Q3302">
        <v>3</v>
      </c>
      <c r="R3302">
        <v>9</v>
      </c>
      <c r="S3302">
        <v>82</v>
      </c>
      <c r="T3302">
        <v>97</v>
      </c>
      <c r="U3302">
        <v>4</v>
      </c>
      <c r="V3302">
        <v>8</v>
      </c>
      <c r="W3302">
        <v>29</v>
      </c>
      <c r="X3302">
        <v>16</v>
      </c>
      <c r="Y3302">
        <v>68</v>
      </c>
      <c r="Z3302">
        <v>3</v>
      </c>
      <c r="AA3302">
        <v>10</v>
      </c>
      <c r="AC3302">
        <v>0</v>
      </c>
      <c r="AD3302">
        <v>0</v>
      </c>
      <c r="AE3302">
        <v>0</v>
      </c>
      <c r="AF3302">
        <v>0</v>
      </c>
      <c r="AK3302">
        <v>2</v>
      </c>
      <c r="AL3302">
        <v>1</v>
      </c>
      <c r="AM3302">
        <v>0</v>
      </c>
      <c r="AN3302">
        <v>0</v>
      </c>
      <c r="AZ3302">
        <v>3</v>
      </c>
      <c r="BA3302">
        <v>5</v>
      </c>
      <c r="BB3302">
        <v>52</v>
      </c>
      <c r="BC3302">
        <v>0</v>
      </c>
      <c r="BD3302">
        <v>10</v>
      </c>
      <c r="BE3302">
        <v>402</v>
      </c>
      <c r="BF3302">
        <v>402</v>
      </c>
      <c r="BG3302">
        <v>614</v>
      </c>
      <c r="BJ3302">
        <v>1</v>
      </c>
      <c r="BL3302" t="s">
        <v>6848</v>
      </c>
      <c r="BM3302" s="4">
        <v>43283.150694444441</v>
      </c>
      <c r="BN3302" s="4">
        <v>43283.170902777776</v>
      </c>
      <c r="BO3302" s="4">
        <v>43283.170902777776</v>
      </c>
      <c r="BP3302" t="s">
        <v>92</v>
      </c>
      <c r="BQ3302" t="s">
        <v>93</v>
      </c>
      <c r="BR3302" t="s">
        <v>94</v>
      </c>
    </row>
    <row r="3303" spans="1:70" x14ac:dyDescent="0.3">
      <c r="A3303" t="str">
        <f>"202367E0100"</f>
        <v>202367E0100</v>
      </c>
      <c r="B3303" s="2" t="s">
        <v>6849</v>
      </c>
      <c r="C3303">
        <v>20</v>
      </c>
      <c r="D3303" t="s">
        <v>88</v>
      </c>
      <c r="E3303">
        <v>553</v>
      </c>
      <c r="F3303" t="s">
        <v>6839</v>
      </c>
      <c r="G3303">
        <v>2367</v>
      </c>
      <c r="H3303">
        <v>1</v>
      </c>
      <c r="I3303" t="s">
        <v>156</v>
      </c>
      <c r="J3303">
        <v>0</v>
      </c>
      <c r="K3303">
        <v>2</v>
      </c>
      <c r="L3303">
        <v>5</v>
      </c>
      <c r="M3303">
        <v>218</v>
      </c>
      <c r="N3303">
        <v>395</v>
      </c>
      <c r="O3303">
        <v>11</v>
      </c>
      <c r="P3303">
        <v>395</v>
      </c>
      <c r="Q3303">
        <v>2</v>
      </c>
      <c r="R3303">
        <v>22</v>
      </c>
      <c r="S3303">
        <v>66</v>
      </c>
      <c r="T3303">
        <v>105</v>
      </c>
      <c r="U3303">
        <v>3</v>
      </c>
      <c r="V3303">
        <v>2</v>
      </c>
      <c r="W3303">
        <v>27</v>
      </c>
      <c r="X3303">
        <v>21</v>
      </c>
      <c r="Y3303">
        <v>40</v>
      </c>
      <c r="Z3303">
        <v>2</v>
      </c>
      <c r="AA3303">
        <v>4</v>
      </c>
      <c r="AC3303">
        <v>0</v>
      </c>
      <c r="AD3303">
        <v>0</v>
      </c>
      <c r="AE3303">
        <v>0</v>
      </c>
      <c r="AF3303">
        <v>0</v>
      </c>
      <c r="AK3303">
        <v>0</v>
      </c>
      <c r="AL3303">
        <v>0</v>
      </c>
      <c r="AM3303">
        <v>0</v>
      </c>
      <c r="AN3303">
        <v>0</v>
      </c>
      <c r="AZ3303">
        <v>10</v>
      </c>
      <c r="BA3303">
        <v>6</v>
      </c>
      <c r="BB3303">
        <v>67</v>
      </c>
      <c r="BC3303">
        <v>0</v>
      </c>
      <c r="BD3303">
        <v>18</v>
      </c>
      <c r="BE3303">
        <v>395</v>
      </c>
      <c r="BF3303">
        <v>395</v>
      </c>
      <c r="BG3303">
        <v>588</v>
      </c>
      <c r="BJ3303">
        <v>1</v>
      </c>
      <c r="BL3303" t="s">
        <v>6850</v>
      </c>
      <c r="BM3303" s="4">
        <v>43283.077777777777</v>
      </c>
      <c r="BN3303" s="4">
        <v>43283.082094907404</v>
      </c>
      <c r="BO3303" s="4">
        <v>43283.082094907404</v>
      </c>
      <c r="BP3303" t="s">
        <v>92</v>
      </c>
      <c r="BQ3303" t="s">
        <v>93</v>
      </c>
      <c r="BR3303" t="s">
        <v>94</v>
      </c>
    </row>
    <row r="3304" spans="1:70" x14ac:dyDescent="0.3">
      <c r="A3304" t="str">
        <f>"202368B0100"</f>
        <v>202368B0100</v>
      </c>
      <c r="B3304" t="s">
        <v>6851</v>
      </c>
      <c r="C3304">
        <v>20</v>
      </c>
      <c r="D3304" t="s">
        <v>88</v>
      </c>
      <c r="E3304">
        <v>553</v>
      </c>
      <c r="F3304" t="s">
        <v>6839</v>
      </c>
      <c r="G3304">
        <v>2368</v>
      </c>
      <c r="H3304">
        <v>1</v>
      </c>
      <c r="I3304" t="s">
        <v>90</v>
      </c>
      <c r="J3304">
        <v>0</v>
      </c>
      <c r="K3304">
        <v>2</v>
      </c>
      <c r="L3304">
        <v>5</v>
      </c>
      <c r="M3304">
        <v>214</v>
      </c>
      <c r="N3304">
        <v>405</v>
      </c>
      <c r="O3304">
        <v>8</v>
      </c>
      <c r="P3304">
        <v>405</v>
      </c>
      <c r="Q3304">
        <v>1</v>
      </c>
      <c r="R3304">
        <v>24</v>
      </c>
      <c r="S3304">
        <v>51</v>
      </c>
      <c r="T3304">
        <v>100</v>
      </c>
      <c r="U3304">
        <v>3</v>
      </c>
      <c r="V3304">
        <v>3</v>
      </c>
      <c r="W3304">
        <v>20</v>
      </c>
      <c r="X3304">
        <v>26</v>
      </c>
      <c r="Y3304">
        <v>78</v>
      </c>
      <c r="Z3304">
        <v>3</v>
      </c>
      <c r="AA3304">
        <v>10</v>
      </c>
      <c r="AC3304">
        <v>0</v>
      </c>
      <c r="AD3304">
        <v>1</v>
      </c>
      <c r="AE3304">
        <v>0</v>
      </c>
      <c r="AF3304">
        <v>0</v>
      </c>
      <c r="AK3304">
        <v>0</v>
      </c>
      <c r="AL3304">
        <v>1</v>
      </c>
      <c r="AM3304">
        <v>0</v>
      </c>
      <c r="AN3304">
        <v>1</v>
      </c>
      <c r="AZ3304">
        <v>3</v>
      </c>
      <c r="BA3304">
        <v>5</v>
      </c>
      <c r="BB3304">
        <v>60</v>
      </c>
      <c r="BC3304">
        <v>0</v>
      </c>
      <c r="BD3304">
        <v>15</v>
      </c>
      <c r="BE3304">
        <v>405</v>
      </c>
      <c r="BF3304">
        <v>405</v>
      </c>
      <c r="BG3304">
        <v>595</v>
      </c>
      <c r="BJ3304">
        <v>1</v>
      </c>
      <c r="BL3304" t="s">
        <v>6852</v>
      </c>
      <c r="BM3304" s="4">
        <v>43283.07708333333</v>
      </c>
      <c r="BN3304" s="4">
        <v>43283.080949074072</v>
      </c>
      <c r="BO3304" s="4">
        <v>43283.080949074072</v>
      </c>
      <c r="BP3304" t="s">
        <v>92</v>
      </c>
      <c r="BQ3304" t="s">
        <v>93</v>
      </c>
      <c r="BR3304" t="s">
        <v>94</v>
      </c>
    </row>
    <row r="3305" spans="1:70" x14ac:dyDescent="0.3">
      <c r="A3305" t="str">
        <f>"202368C0100"</f>
        <v>202368C0100</v>
      </c>
      <c r="B3305" t="s">
        <v>6853</v>
      </c>
      <c r="C3305">
        <v>20</v>
      </c>
      <c r="D3305" t="s">
        <v>88</v>
      </c>
      <c r="E3305">
        <v>553</v>
      </c>
      <c r="F3305" t="s">
        <v>6839</v>
      </c>
      <c r="G3305">
        <v>2368</v>
      </c>
      <c r="H3305">
        <v>1</v>
      </c>
      <c r="I3305" t="s">
        <v>98</v>
      </c>
      <c r="J3305">
        <v>0</v>
      </c>
      <c r="K3305">
        <v>2</v>
      </c>
      <c r="L3305">
        <v>5</v>
      </c>
      <c r="M3305">
        <v>229</v>
      </c>
      <c r="N3305">
        <v>390</v>
      </c>
      <c r="O3305">
        <v>7</v>
      </c>
      <c r="P3305">
        <v>390</v>
      </c>
      <c r="Q3305">
        <v>4</v>
      </c>
      <c r="R3305">
        <v>21</v>
      </c>
      <c r="S3305">
        <v>59</v>
      </c>
      <c r="T3305">
        <v>84</v>
      </c>
      <c r="U3305">
        <v>3</v>
      </c>
      <c r="V3305">
        <v>5</v>
      </c>
      <c r="W3305">
        <v>21</v>
      </c>
      <c r="X3305">
        <v>23</v>
      </c>
      <c r="Y3305">
        <v>67</v>
      </c>
      <c r="Z3305">
        <v>3</v>
      </c>
      <c r="AA3305">
        <v>5</v>
      </c>
      <c r="AC3305">
        <v>0</v>
      </c>
      <c r="AD3305">
        <v>0</v>
      </c>
      <c r="AE3305">
        <v>0</v>
      </c>
      <c r="AF3305">
        <v>0</v>
      </c>
      <c r="AK3305">
        <v>3</v>
      </c>
      <c r="AL3305">
        <v>1</v>
      </c>
      <c r="AM3305">
        <v>0</v>
      </c>
      <c r="AN3305">
        <v>2</v>
      </c>
      <c r="AZ3305">
        <v>9</v>
      </c>
      <c r="BA3305">
        <v>3</v>
      </c>
      <c r="BB3305">
        <v>69</v>
      </c>
      <c r="BC3305">
        <v>0</v>
      </c>
      <c r="BD3305">
        <v>8</v>
      </c>
      <c r="BE3305">
        <v>390</v>
      </c>
      <c r="BF3305">
        <v>390</v>
      </c>
      <c r="BG3305">
        <v>594</v>
      </c>
      <c r="BJ3305">
        <v>1</v>
      </c>
      <c r="BL3305" t="s">
        <v>6854</v>
      </c>
      <c r="BM3305" s="4">
        <v>43283.11041666667</v>
      </c>
      <c r="BN3305" s="4">
        <v>43283.113483796296</v>
      </c>
      <c r="BO3305" s="4">
        <v>43283.113483796296</v>
      </c>
      <c r="BP3305" t="s">
        <v>92</v>
      </c>
      <c r="BQ3305" t="s">
        <v>93</v>
      </c>
      <c r="BR3305" t="s">
        <v>94</v>
      </c>
    </row>
    <row r="3306" spans="1:70" x14ac:dyDescent="0.3">
      <c r="A3306" t="str">
        <f>"202368C0200"</f>
        <v>202368C0200</v>
      </c>
      <c r="B3306" t="s">
        <v>6855</v>
      </c>
      <c r="C3306">
        <v>20</v>
      </c>
      <c r="D3306" t="s">
        <v>88</v>
      </c>
      <c r="E3306">
        <v>553</v>
      </c>
      <c r="F3306" t="s">
        <v>6839</v>
      </c>
      <c r="G3306">
        <v>2368</v>
      </c>
      <c r="H3306">
        <v>2</v>
      </c>
      <c r="I3306" t="s">
        <v>98</v>
      </c>
      <c r="J3306">
        <v>0</v>
      </c>
      <c r="K3306">
        <v>2</v>
      </c>
      <c r="L3306">
        <v>5</v>
      </c>
      <c r="BG3306">
        <v>594</v>
      </c>
      <c r="BI3306" t="s">
        <v>365</v>
      </c>
      <c r="BJ3306">
        <v>0</v>
      </c>
      <c r="BL3306" t="s">
        <v>6856</v>
      </c>
      <c r="BM3306" s="4">
        <v>43282.781944444447</v>
      </c>
      <c r="BN3306" s="4">
        <v>43283.790173611109</v>
      </c>
      <c r="BO3306" s="4">
        <v>43283.790173611109</v>
      </c>
      <c r="BP3306" t="s">
        <v>92</v>
      </c>
      <c r="BQ3306" t="s">
        <v>93</v>
      </c>
      <c r="BR3306" t="s">
        <v>94</v>
      </c>
    </row>
    <row r="3307" spans="1:70" x14ac:dyDescent="0.3">
      <c r="A3307" t="str">
        <f>"202368S0100"</f>
        <v>202368S0100</v>
      </c>
      <c r="B3307" t="s">
        <v>6857</v>
      </c>
      <c r="C3307">
        <v>20</v>
      </c>
      <c r="D3307" t="s">
        <v>88</v>
      </c>
      <c r="E3307">
        <v>553</v>
      </c>
      <c r="F3307" t="s">
        <v>6839</v>
      </c>
      <c r="G3307">
        <v>2368</v>
      </c>
      <c r="H3307">
        <v>1</v>
      </c>
      <c r="I3307" t="s">
        <v>113</v>
      </c>
      <c r="J3307">
        <v>0</v>
      </c>
      <c r="K3307">
        <v>2</v>
      </c>
      <c r="L3307">
        <v>6</v>
      </c>
      <c r="M3307">
        <v>743</v>
      </c>
      <c r="N3307">
        <v>32</v>
      </c>
      <c r="O3307">
        <v>0</v>
      </c>
      <c r="P3307">
        <v>32</v>
      </c>
      <c r="Q3307" t="s">
        <v>105</v>
      </c>
      <c r="R3307" t="s">
        <v>105</v>
      </c>
      <c r="S3307">
        <v>5</v>
      </c>
      <c r="T3307">
        <v>1</v>
      </c>
      <c r="U3307">
        <v>1</v>
      </c>
      <c r="V3307" t="s">
        <v>105</v>
      </c>
      <c r="W3307">
        <v>2</v>
      </c>
      <c r="X3307">
        <v>1</v>
      </c>
      <c r="Y3307">
        <v>11</v>
      </c>
      <c r="Z3307" t="s">
        <v>105</v>
      </c>
      <c r="AA3307">
        <v>1</v>
      </c>
      <c r="AC3307" t="s">
        <v>105</v>
      </c>
      <c r="AD3307" t="s">
        <v>105</v>
      </c>
      <c r="AE3307" t="s">
        <v>105</v>
      </c>
      <c r="AF3307" t="s">
        <v>105</v>
      </c>
      <c r="AK3307" t="s">
        <v>105</v>
      </c>
      <c r="AL3307" t="s">
        <v>105</v>
      </c>
      <c r="AM3307" t="s">
        <v>105</v>
      </c>
      <c r="AN3307" t="s">
        <v>105</v>
      </c>
      <c r="AZ3307" t="s">
        <v>105</v>
      </c>
      <c r="BA3307">
        <v>2</v>
      </c>
      <c r="BB3307">
        <v>8</v>
      </c>
      <c r="BC3307" t="s">
        <v>105</v>
      </c>
      <c r="BD3307" t="s">
        <v>105</v>
      </c>
      <c r="BE3307">
        <v>32</v>
      </c>
      <c r="BF3307">
        <v>32</v>
      </c>
      <c r="BG3307">
        <v>0</v>
      </c>
      <c r="BI3307" t="s">
        <v>106</v>
      </c>
      <c r="BJ3307">
        <v>1</v>
      </c>
      <c r="BL3307" t="s">
        <v>6858</v>
      </c>
      <c r="BM3307" s="4">
        <v>43283.13958333333</v>
      </c>
      <c r="BN3307" s="4">
        <v>43283.150810185187</v>
      </c>
      <c r="BO3307" s="4">
        <v>43283.150810185187</v>
      </c>
      <c r="BP3307" t="s">
        <v>92</v>
      </c>
      <c r="BQ3307" t="s">
        <v>93</v>
      </c>
      <c r="BR3307" t="s">
        <v>94</v>
      </c>
    </row>
    <row r="3308" spans="1:70" x14ac:dyDescent="0.3">
      <c r="A3308" t="str">
        <f>"202368S0200"</f>
        <v>202368S0200</v>
      </c>
      <c r="B3308" t="s">
        <v>6859</v>
      </c>
      <c r="C3308">
        <v>20</v>
      </c>
      <c r="D3308" t="s">
        <v>88</v>
      </c>
      <c r="E3308">
        <v>553</v>
      </c>
      <c r="F3308" t="s">
        <v>6839</v>
      </c>
      <c r="G3308">
        <v>2368</v>
      </c>
      <c r="H3308">
        <v>2</v>
      </c>
      <c r="I3308" t="s">
        <v>113</v>
      </c>
      <c r="J3308">
        <v>0</v>
      </c>
      <c r="K3308">
        <v>2</v>
      </c>
      <c r="L3308">
        <v>6</v>
      </c>
      <c r="M3308">
        <v>732</v>
      </c>
      <c r="N3308">
        <v>43</v>
      </c>
      <c r="O3308">
        <v>0</v>
      </c>
      <c r="P3308">
        <v>43</v>
      </c>
      <c r="Q3308" t="s">
        <v>105</v>
      </c>
      <c r="R3308">
        <v>5</v>
      </c>
      <c r="S3308">
        <v>3</v>
      </c>
      <c r="T3308">
        <v>2</v>
      </c>
      <c r="U3308">
        <v>1</v>
      </c>
      <c r="V3308" t="s">
        <v>105</v>
      </c>
      <c r="W3308">
        <v>4</v>
      </c>
      <c r="X3308">
        <v>4</v>
      </c>
      <c r="Y3308">
        <v>11</v>
      </c>
      <c r="Z3308">
        <v>1</v>
      </c>
      <c r="AA3308">
        <v>2</v>
      </c>
      <c r="AC3308" t="s">
        <v>105</v>
      </c>
      <c r="AD3308" t="s">
        <v>105</v>
      </c>
      <c r="AE3308" t="s">
        <v>105</v>
      </c>
      <c r="AF3308" t="s">
        <v>105</v>
      </c>
      <c r="AK3308">
        <v>1</v>
      </c>
      <c r="AL3308" t="s">
        <v>105</v>
      </c>
      <c r="AM3308" t="s">
        <v>105</v>
      </c>
      <c r="AN3308" t="s">
        <v>105</v>
      </c>
      <c r="AZ3308" t="s">
        <v>105</v>
      </c>
      <c r="BA3308">
        <v>1</v>
      </c>
      <c r="BB3308" t="s">
        <v>105</v>
      </c>
      <c r="BC3308" t="s">
        <v>105</v>
      </c>
      <c r="BD3308">
        <v>3</v>
      </c>
      <c r="BE3308">
        <v>43</v>
      </c>
      <c r="BF3308">
        <v>38</v>
      </c>
      <c r="BG3308">
        <v>0</v>
      </c>
      <c r="BI3308" t="s">
        <v>106</v>
      </c>
      <c r="BJ3308">
        <v>1</v>
      </c>
      <c r="BL3308" t="s">
        <v>6860</v>
      </c>
      <c r="BM3308" s="4">
        <v>43283.097222222219</v>
      </c>
      <c r="BN3308" s="4">
        <v>43283.104907407411</v>
      </c>
      <c r="BO3308" s="4">
        <v>43283.104907407411</v>
      </c>
      <c r="BP3308" t="s">
        <v>92</v>
      </c>
      <c r="BQ3308" t="s">
        <v>93</v>
      </c>
      <c r="BR3308" t="s">
        <v>94</v>
      </c>
    </row>
    <row r="3309" spans="1:70" x14ac:dyDescent="0.3">
      <c r="A3309" t="str">
        <f>"202369B0100"</f>
        <v>202369B0100</v>
      </c>
      <c r="B3309" t="s">
        <v>6861</v>
      </c>
      <c r="C3309">
        <v>20</v>
      </c>
      <c r="D3309" t="s">
        <v>88</v>
      </c>
      <c r="E3309">
        <v>553</v>
      </c>
      <c r="F3309" t="s">
        <v>6839</v>
      </c>
      <c r="G3309">
        <v>2369</v>
      </c>
      <c r="H3309">
        <v>1</v>
      </c>
      <c r="I3309" t="s">
        <v>90</v>
      </c>
      <c r="J3309">
        <v>0</v>
      </c>
      <c r="K3309">
        <v>2</v>
      </c>
      <c r="L3309">
        <v>5</v>
      </c>
      <c r="M3309">
        <v>236</v>
      </c>
      <c r="N3309">
        <v>510</v>
      </c>
      <c r="O3309">
        <v>5</v>
      </c>
      <c r="P3309">
        <v>510</v>
      </c>
      <c r="Q3309">
        <v>3</v>
      </c>
      <c r="R3309">
        <v>23</v>
      </c>
      <c r="S3309">
        <v>47</v>
      </c>
      <c r="T3309">
        <v>147</v>
      </c>
      <c r="U3309">
        <v>3</v>
      </c>
      <c r="V3309">
        <v>3</v>
      </c>
      <c r="W3309">
        <v>60</v>
      </c>
      <c r="X3309">
        <v>21</v>
      </c>
      <c r="Y3309">
        <v>89</v>
      </c>
      <c r="Z3309">
        <v>2</v>
      </c>
      <c r="AA3309">
        <v>4</v>
      </c>
      <c r="AC3309">
        <v>0</v>
      </c>
      <c r="AD3309">
        <v>0</v>
      </c>
      <c r="AE3309">
        <v>0</v>
      </c>
      <c r="AF3309">
        <v>0</v>
      </c>
      <c r="AK3309">
        <v>1</v>
      </c>
      <c r="AL3309">
        <v>0</v>
      </c>
      <c r="AM3309">
        <v>0</v>
      </c>
      <c r="AN3309">
        <v>1</v>
      </c>
      <c r="AZ3309">
        <v>9</v>
      </c>
      <c r="BA3309">
        <v>25</v>
      </c>
      <c r="BB3309">
        <v>52</v>
      </c>
      <c r="BC3309">
        <v>0</v>
      </c>
      <c r="BD3309">
        <v>20</v>
      </c>
      <c r="BE3309">
        <v>510</v>
      </c>
      <c r="BF3309">
        <v>510</v>
      </c>
      <c r="BG3309">
        <v>721</v>
      </c>
      <c r="BJ3309">
        <v>1</v>
      </c>
      <c r="BL3309" t="s">
        <v>6862</v>
      </c>
      <c r="BM3309" s="4">
        <v>43283.256944444445</v>
      </c>
      <c r="BN3309" s="4">
        <v>43283.288136574076</v>
      </c>
      <c r="BO3309" s="4">
        <v>43283.288136574076</v>
      </c>
      <c r="BP3309" t="s">
        <v>92</v>
      </c>
      <c r="BQ3309" t="s">
        <v>93</v>
      </c>
      <c r="BR3309" t="s">
        <v>94</v>
      </c>
    </row>
    <row r="3310" spans="1:70" x14ac:dyDescent="0.3">
      <c r="A3310" t="str">
        <f>"202369C0100"</f>
        <v>202369C0100</v>
      </c>
      <c r="B3310" t="s">
        <v>6863</v>
      </c>
      <c r="C3310">
        <v>20</v>
      </c>
      <c r="D3310" t="s">
        <v>88</v>
      </c>
      <c r="E3310">
        <v>553</v>
      </c>
      <c r="F3310" t="s">
        <v>6839</v>
      </c>
      <c r="G3310">
        <v>2369</v>
      </c>
      <c r="H3310">
        <v>1</v>
      </c>
      <c r="I3310" t="s">
        <v>98</v>
      </c>
      <c r="J3310">
        <v>0</v>
      </c>
      <c r="K3310">
        <v>2</v>
      </c>
      <c r="L3310">
        <v>5</v>
      </c>
      <c r="M3310">
        <v>253</v>
      </c>
      <c r="N3310">
        <v>492</v>
      </c>
      <c r="O3310">
        <v>5</v>
      </c>
      <c r="P3310">
        <v>492</v>
      </c>
      <c r="Q3310">
        <v>0</v>
      </c>
      <c r="R3310">
        <v>21</v>
      </c>
      <c r="S3310">
        <v>50</v>
      </c>
      <c r="T3310">
        <v>143</v>
      </c>
      <c r="U3310">
        <v>4</v>
      </c>
      <c r="V3310">
        <v>1</v>
      </c>
      <c r="W3310">
        <v>46</v>
      </c>
      <c r="X3310">
        <v>18</v>
      </c>
      <c r="Y3310">
        <v>92</v>
      </c>
      <c r="Z3310">
        <v>4</v>
      </c>
      <c r="AA3310">
        <v>3</v>
      </c>
      <c r="AC3310">
        <v>0</v>
      </c>
      <c r="AD3310">
        <v>1</v>
      </c>
      <c r="AE3310">
        <v>0</v>
      </c>
      <c r="AF3310">
        <v>0</v>
      </c>
      <c r="AK3310">
        <v>2</v>
      </c>
      <c r="AL3310">
        <v>0</v>
      </c>
      <c r="AM3310">
        <v>0</v>
      </c>
      <c r="AN3310">
        <v>0</v>
      </c>
      <c r="AZ3310">
        <v>8</v>
      </c>
      <c r="BA3310">
        <v>23</v>
      </c>
      <c r="BB3310">
        <v>72</v>
      </c>
      <c r="BC3310">
        <v>0</v>
      </c>
      <c r="BD3310">
        <v>4</v>
      </c>
      <c r="BE3310">
        <v>492</v>
      </c>
      <c r="BF3310">
        <v>492</v>
      </c>
      <c r="BG3310">
        <v>720</v>
      </c>
      <c r="BJ3310">
        <v>1</v>
      </c>
      <c r="BL3310" t="s">
        <v>6864</v>
      </c>
      <c r="BM3310" s="4">
        <v>43283.257638888892</v>
      </c>
      <c r="BN3310" s="4">
        <v>43283.285717592589</v>
      </c>
      <c r="BO3310" s="4">
        <v>43283.285717592589</v>
      </c>
      <c r="BP3310" t="s">
        <v>92</v>
      </c>
      <c r="BQ3310" t="s">
        <v>93</v>
      </c>
      <c r="BR3310" t="s">
        <v>94</v>
      </c>
    </row>
    <row r="3311" spans="1:70" x14ac:dyDescent="0.3">
      <c r="A3311" t="str">
        <f>"202370B0100"</f>
        <v>202370B0100</v>
      </c>
      <c r="B3311" t="s">
        <v>6865</v>
      </c>
      <c r="C3311">
        <v>20</v>
      </c>
      <c r="D3311" t="s">
        <v>88</v>
      </c>
      <c r="E3311">
        <v>553</v>
      </c>
      <c r="F3311" t="s">
        <v>6839</v>
      </c>
      <c r="G3311">
        <v>2370</v>
      </c>
      <c r="H3311">
        <v>1</v>
      </c>
      <c r="I3311" t="s">
        <v>90</v>
      </c>
      <c r="J3311">
        <v>0</v>
      </c>
      <c r="K3311">
        <v>1</v>
      </c>
      <c r="L3311">
        <v>5</v>
      </c>
      <c r="M3311">
        <v>150</v>
      </c>
      <c r="N3311">
        <v>367</v>
      </c>
      <c r="O3311">
        <v>13</v>
      </c>
      <c r="P3311">
        <v>366</v>
      </c>
      <c r="Q3311">
        <v>3</v>
      </c>
      <c r="R3311">
        <v>22</v>
      </c>
      <c r="S3311">
        <v>29</v>
      </c>
      <c r="T3311">
        <v>103</v>
      </c>
      <c r="U3311">
        <v>3</v>
      </c>
      <c r="V3311">
        <v>1</v>
      </c>
      <c r="W3311">
        <v>31</v>
      </c>
      <c r="X3311">
        <v>16</v>
      </c>
      <c r="Y3311">
        <v>77</v>
      </c>
      <c r="Z3311">
        <v>1</v>
      </c>
      <c r="AA3311">
        <v>8</v>
      </c>
      <c r="AC3311">
        <v>1</v>
      </c>
      <c r="AD3311">
        <v>0</v>
      </c>
      <c r="AE3311">
        <v>0</v>
      </c>
      <c r="AF3311">
        <v>0</v>
      </c>
      <c r="AK3311">
        <v>1</v>
      </c>
      <c r="AL3311">
        <v>0</v>
      </c>
      <c r="AM3311">
        <v>0</v>
      </c>
      <c r="AN3311">
        <v>0</v>
      </c>
      <c r="AZ3311">
        <v>2</v>
      </c>
      <c r="BA3311">
        <v>8</v>
      </c>
      <c r="BB3311">
        <v>51</v>
      </c>
      <c r="BC3311">
        <v>1</v>
      </c>
      <c r="BD3311">
        <v>8</v>
      </c>
      <c r="BE3311">
        <v>366</v>
      </c>
      <c r="BF3311">
        <v>366</v>
      </c>
      <c r="BG3311">
        <v>490</v>
      </c>
      <c r="BJ3311">
        <v>1</v>
      </c>
      <c r="BL3311" t="s">
        <v>6866</v>
      </c>
      <c r="BM3311" s="4">
        <v>43283.134722222225</v>
      </c>
      <c r="BN3311" s="4">
        <v>43283.142962962964</v>
      </c>
      <c r="BO3311" s="4">
        <v>43283.142962962964</v>
      </c>
      <c r="BP3311" t="s">
        <v>92</v>
      </c>
      <c r="BQ3311" t="s">
        <v>93</v>
      </c>
      <c r="BR3311" t="s">
        <v>94</v>
      </c>
    </row>
    <row r="3312" spans="1:70" x14ac:dyDescent="0.3">
      <c r="A3312" t="str">
        <f>"202370C0100"</f>
        <v>202370C0100</v>
      </c>
      <c r="B3312" t="s">
        <v>6867</v>
      </c>
      <c r="C3312">
        <v>20</v>
      </c>
      <c r="D3312" t="s">
        <v>88</v>
      </c>
      <c r="E3312">
        <v>553</v>
      </c>
      <c r="F3312" t="s">
        <v>6839</v>
      </c>
      <c r="G3312">
        <v>2370</v>
      </c>
      <c r="H3312">
        <v>1</v>
      </c>
      <c r="I3312" t="s">
        <v>98</v>
      </c>
      <c r="J3312">
        <v>0</v>
      </c>
      <c r="K3312">
        <v>1</v>
      </c>
      <c r="L3312">
        <v>5</v>
      </c>
      <c r="M3312">
        <v>172</v>
      </c>
      <c r="N3312">
        <v>341</v>
      </c>
      <c r="O3312">
        <v>11</v>
      </c>
      <c r="P3312">
        <v>342</v>
      </c>
      <c r="Q3312">
        <v>1</v>
      </c>
      <c r="R3312">
        <v>13</v>
      </c>
      <c r="S3312">
        <v>35</v>
      </c>
      <c r="T3312">
        <v>119</v>
      </c>
      <c r="U3312">
        <v>1</v>
      </c>
      <c r="V3312">
        <v>1</v>
      </c>
      <c r="W3312">
        <v>24</v>
      </c>
      <c r="X3312">
        <v>21</v>
      </c>
      <c r="Y3312">
        <v>63</v>
      </c>
      <c r="Z3312">
        <v>0</v>
      </c>
      <c r="AA3312">
        <v>0</v>
      </c>
      <c r="AC3312">
        <v>0</v>
      </c>
      <c r="AD3312">
        <v>0</v>
      </c>
      <c r="AE3312">
        <v>0</v>
      </c>
      <c r="AF3312">
        <v>0</v>
      </c>
      <c r="AK3312">
        <v>0</v>
      </c>
      <c r="AL3312">
        <v>0</v>
      </c>
      <c r="AM3312">
        <v>0</v>
      </c>
      <c r="AN3312">
        <v>0</v>
      </c>
      <c r="AZ3312">
        <v>7</v>
      </c>
      <c r="BA3312">
        <v>8</v>
      </c>
      <c r="BB3312">
        <v>45</v>
      </c>
      <c r="BC3312">
        <v>0</v>
      </c>
      <c r="BD3312">
        <v>4</v>
      </c>
      <c r="BE3312">
        <v>342</v>
      </c>
      <c r="BF3312">
        <v>342</v>
      </c>
      <c r="BG3312">
        <v>490</v>
      </c>
      <c r="BJ3312">
        <v>1</v>
      </c>
      <c r="BL3312" t="s">
        <v>6868</v>
      </c>
      <c r="BM3312" s="4">
        <v>43283.255555555559</v>
      </c>
      <c r="BN3312" s="4">
        <v>43283.280729166669</v>
      </c>
      <c r="BO3312" s="4">
        <v>43283.280729166669</v>
      </c>
      <c r="BP3312" t="s">
        <v>92</v>
      </c>
      <c r="BQ3312" t="s">
        <v>93</v>
      </c>
      <c r="BR3312" t="s">
        <v>94</v>
      </c>
    </row>
    <row r="3313" spans="1:70" x14ac:dyDescent="0.3">
      <c r="A3313" t="str">
        <f>"202371B0100"</f>
        <v>202371B0100</v>
      </c>
      <c r="B3313" t="s">
        <v>6869</v>
      </c>
      <c r="C3313">
        <v>20</v>
      </c>
      <c r="D3313" t="s">
        <v>88</v>
      </c>
      <c r="E3313">
        <v>553</v>
      </c>
      <c r="F3313" t="s">
        <v>6839</v>
      </c>
      <c r="G3313">
        <v>2371</v>
      </c>
      <c r="H3313">
        <v>1</v>
      </c>
      <c r="I3313" t="s">
        <v>90</v>
      </c>
      <c r="J3313">
        <v>0</v>
      </c>
      <c r="K3313">
        <v>1</v>
      </c>
      <c r="L3313">
        <v>5</v>
      </c>
      <c r="M3313">
        <v>173</v>
      </c>
      <c r="N3313">
        <v>391</v>
      </c>
      <c r="O3313">
        <v>15</v>
      </c>
      <c r="P3313">
        <v>391</v>
      </c>
      <c r="Q3313">
        <v>4</v>
      </c>
      <c r="R3313">
        <v>25</v>
      </c>
      <c r="S3313">
        <v>65</v>
      </c>
      <c r="T3313">
        <v>83</v>
      </c>
      <c r="U3313">
        <v>6</v>
      </c>
      <c r="V3313">
        <v>1</v>
      </c>
      <c r="W3313">
        <v>34</v>
      </c>
      <c r="X3313">
        <v>25</v>
      </c>
      <c r="Y3313">
        <v>62</v>
      </c>
      <c r="Z3313">
        <v>2</v>
      </c>
      <c r="AA3313">
        <v>7</v>
      </c>
      <c r="AC3313">
        <v>0</v>
      </c>
      <c r="AD3313">
        <v>0</v>
      </c>
      <c r="AE3313">
        <v>0</v>
      </c>
      <c r="AF3313">
        <v>0</v>
      </c>
      <c r="AK3313">
        <v>4</v>
      </c>
      <c r="AL3313">
        <v>2</v>
      </c>
      <c r="AM3313">
        <v>0</v>
      </c>
      <c r="AN3313">
        <v>0</v>
      </c>
      <c r="AZ3313">
        <v>6</v>
      </c>
      <c r="BA3313">
        <v>10</v>
      </c>
      <c r="BB3313">
        <v>48</v>
      </c>
      <c r="BC3313">
        <v>1</v>
      </c>
      <c r="BD3313">
        <v>6</v>
      </c>
      <c r="BE3313">
        <v>391</v>
      </c>
      <c r="BF3313">
        <v>391</v>
      </c>
      <c r="BG3313">
        <v>539</v>
      </c>
      <c r="BJ3313">
        <v>1</v>
      </c>
      <c r="BL3313" t="s">
        <v>6870</v>
      </c>
      <c r="BM3313" s="4">
        <v>43283.104166666664</v>
      </c>
      <c r="BN3313" s="4">
        <v>43283.108969907407</v>
      </c>
      <c r="BO3313" s="4">
        <v>43283.108969907407</v>
      </c>
      <c r="BP3313" t="s">
        <v>92</v>
      </c>
      <c r="BQ3313" t="s">
        <v>93</v>
      </c>
      <c r="BR3313" t="s">
        <v>94</v>
      </c>
    </row>
    <row r="3314" spans="1:70" x14ac:dyDescent="0.3">
      <c r="A3314" t="str">
        <f>"202371C0100"</f>
        <v>202371C0100</v>
      </c>
      <c r="B3314" t="s">
        <v>6871</v>
      </c>
      <c r="C3314">
        <v>20</v>
      </c>
      <c r="D3314" t="s">
        <v>88</v>
      </c>
      <c r="E3314">
        <v>553</v>
      </c>
      <c r="F3314" t="s">
        <v>6839</v>
      </c>
      <c r="G3314">
        <v>2371</v>
      </c>
      <c r="H3314">
        <v>1</v>
      </c>
      <c r="I3314" t="s">
        <v>98</v>
      </c>
      <c r="J3314">
        <v>0</v>
      </c>
      <c r="K3314">
        <v>1</v>
      </c>
      <c r="L3314">
        <v>5</v>
      </c>
      <c r="M3314" t="s">
        <v>127</v>
      </c>
      <c r="N3314" t="s">
        <v>127</v>
      </c>
      <c r="O3314" t="s">
        <v>127</v>
      </c>
      <c r="P3314" t="s">
        <v>127</v>
      </c>
      <c r="Q3314">
        <v>2</v>
      </c>
      <c r="R3314">
        <v>25</v>
      </c>
      <c r="S3314">
        <v>4</v>
      </c>
      <c r="T3314">
        <v>3</v>
      </c>
      <c r="U3314">
        <v>4</v>
      </c>
      <c r="V3314">
        <v>6</v>
      </c>
      <c r="W3314">
        <v>44</v>
      </c>
      <c r="X3314">
        <v>5</v>
      </c>
      <c r="Y3314">
        <v>49</v>
      </c>
      <c r="Z3314">
        <v>2</v>
      </c>
      <c r="AA3314">
        <v>8</v>
      </c>
      <c r="AC3314">
        <v>1</v>
      </c>
      <c r="AD3314">
        <v>1</v>
      </c>
      <c r="AE3314">
        <v>0</v>
      </c>
      <c r="AF3314">
        <v>0</v>
      </c>
      <c r="AK3314">
        <v>2</v>
      </c>
      <c r="AL3314">
        <v>0</v>
      </c>
      <c r="AM3314">
        <v>0</v>
      </c>
      <c r="AN3314">
        <v>0</v>
      </c>
      <c r="AZ3314">
        <v>10</v>
      </c>
      <c r="BA3314">
        <v>6</v>
      </c>
      <c r="BB3314" t="s">
        <v>127</v>
      </c>
      <c r="BC3314">
        <v>0</v>
      </c>
      <c r="BD3314">
        <v>11</v>
      </c>
      <c r="BE3314" t="s">
        <v>127</v>
      </c>
      <c r="BF3314">
        <v>183</v>
      </c>
      <c r="BG3314">
        <v>539</v>
      </c>
      <c r="BI3314" t="s">
        <v>106</v>
      </c>
      <c r="BJ3314">
        <v>1</v>
      </c>
      <c r="BL3314" t="s">
        <v>6872</v>
      </c>
      <c r="BM3314" s="4">
        <v>43283.105555555558</v>
      </c>
      <c r="BN3314" s="4">
        <v>43283.127233796295</v>
      </c>
      <c r="BO3314" s="4">
        <v>43283.127233796295</v>
      </c>
      <c r="BP3314" t="s">
        <v>92</v>
      </c>
      <c r="BQ3314" t="s">
        <v>93</v>
      </c>
      <c r="BR3314" t="s">
        <v>94</v>
      </c>
    </row>
    <row r="3315" spans="1:70" x14ac:dyDescent="0.3">
      <c r="A3315" t="str">
        <f>"202371C0200"</f>
        <v>202371C0200</v>
      </c>
      <c r="B3315" t="s">
        <v>6873</v>
      </c>
      <c r="C3315">
        <v>20</v>
      </c>
      <c r="D3315" t="s">
        <v>88</v>
      </c>
      <c r="E3315">
        <v>553</v>
      </c>
      <c r="F3315" t="s">
        <v>6839</v>
      </c>
      <c r="G3315">
        <v>2371</v>
      </c>
      <c r="H3315">
        <v>2</v>
      </c>
      <c r="I3315" t="s">
        <v>98</v>
      </c>
      <c r="J3315">
        <v>0</v>
      </c>
      <c r="K3315">
        <v>1</v>
      </c>
      <c r="L3315">
        <v>5</v>
      </c>
      <c r="M3315">
        <v>185</v>
      </c>
      <c r="N3315" t="s">
        <v>127</v>
      </c>
      <c r="O3315">
        <v>9</v>
      </c>
      <c r="P3315">
        <v>378</v>
      </c>
      <c r="Q3315">
        <v>2</v>
      </c>
      <c r="R3315">
        <v>28</v>
      </c>
      <c r="S3315">
        <v>40</v>
      </c>
      <c r="T3315">
        <v>69</v>
      </c>
      <c r="U3315">
        <v>4</v>
      </c>
      <c r="V3315">
        <v>3</v>
      </c>
      <c r="W3315">
        <v>42</v>
      </c>
      <c r="X3315">
        <v>37</v>
      </c>
      <c r="Y3315">
        <v>60</v>
      </c>
      <c r="Z3315">
        <v>6</v>
      </c>
      <c r="AA3315">
        <v>4</v>
      </c>
      <c r="AC3315">
        <v>1</v>
      </c>
      <c r="AD3315">
        <v>0</v>
      </c>
      <c r="AE3315">
        <v>0</v>
      </c>
      <c r="AF3315">
        <v>0</v>
      </c>
      <c r="AK3315">
        <v>1</v>
      </c>
      <c r="AL3315">
        <v>1</v>
      </c>
      <c r="AM3315">
        <v>0</v>
      </c>
      <c r="AN3315">
        <v>2</v>
      </c>
      <c r="AZ3315">
        <v>6</v>
      </c>
      <c r="BA3315">
        <v>7</v>
      </c>
      <c r="BB3315">
        <v>54</v>
      </c>
      <c r="BC3315">
        <v>0</v>
      </c>
      <c r="BD3315">
        <v>11</v>
      </c>
      <c r="BE3315">
        <v>378</v>
      </c>
      <c r="BF3315">
        <v>378</v>
      </c>
      <c r="BG3315">
        <v>538</v>
      </c>
      <c r="BJ3315">
        <v>1</v>
      </c>
      <c r="BL3315" t="s">
        <v>6874</v>
      </c>
      <c r="BM3315" s="4">
        <v>43283.113194444442</v>
      </c>
      <c r="BN3315" s="4">
        <v>43283.117430555554</v>
      </c>
      <c r="BO3315" s="4">
        <v>43283.117430555554</v>
      </c>
      <c r="BP3315" t="s">
        <v>92</v>
      </c>
      <c r="BQ3315" t="s">
        <v>93</v>
      </c>
      <c r="BR3315" t="s">
        <v>94</v>
      </c>
    </row>
    <row r="3316" spans="1:70" x14ac:dyDescent="0.3">
      <c r="A3316" t="str">
        <f>"202372B0100"</f>
        <v>202372B0100</v>
      </c>
      <c r="B3316" t="s">
        <v>6875</v>
      </c>
      <c r="C3316">
        <v>20</v>
      </c>
      <c r="D3316" t="s">
        <v>88</v>
      </c>
      <c r="E3316">
        <v>553</v>
      </c>
      <c r="F3316" t="s">
        <v>6839</v>
      </c>
      <c r="G3316">
        <v>2372</v>
      </c>
      <c r="H3316">
        <v>1</v>
      </c>
      <c r="I3316" t="s">
        <v>90</v>
      </c>
      <c r="J3316">
        <v>0</v>
      </c>
      <c r="K3316">
        <v>1</v>
      </c>
      <c r="L3316">
        <v>5</v>
      </c>
      <c r="M3316">
        <v>217</v>
      </c>
      <c r="N3316">
        <v>460</v>
      </c>
      <c r="O3316">
        <v>11</v>
      </c>
      <c r="P3316">
        <v>460</v>
      </c>
      <c r="Q3316">
        <v>5</v>
      </c>
      <c r="R3316">
        <v>33</v>
      </c>
      <c r="S3316">
        <v>55</v>
      </c>
      <c r="T3316">
        <v>92</v>
      </c>
      <c r="U3316">
        <v>7</v>
      </c>
      <c r="V3316">
        <v>1</v>
      </c>
      <c r="W3316">
        <v>44</v>
      </c>
      <c r="X3316">
        <v>28</v>
      </c>
      <c r="Y3316">
        <v>85</v>
      </c>
      <c r="Z3316">
        <v>1</v>
      </c>
      <c r="AA3316">
        <v>10</v>
      </c>
      <c r="AC3316">
        <v>0</v>
      </c>
      <c r="AD3316">
        <v>0</v>
      </c>
      <c r="AE3316">
        <v>0</v>
      </c>
      <c r="AF3316">
        <v>1</v>
      </c>
      <c r="AK3316">
        <v>1</v>
      </c>
      <c r="AL3316">
        <v>1</v>
      </c>
      <c r="AM3316">
        <v>0</v>
      </c>
      <c r="AN3316">
        <v>2</v>
      </c>
      <c r="AZ3316">
        <v>10</v>
      </c>
      <c r="BA3316">
        <v>3</v>
      </c>
      <c r="BB3316">
        <v>70</v>
      </c>
      <c r="BC3316">
        <v>0</v>
      </c>
      <c r="BD3316">
        <v>11</v>
      </c>
      <c r="BE3316">
        <v>460</v>
      </c>
      <c r="BF3316">
        <v>460</v>
      </c>
      <c r="BG3316">
        <v>652</v>
      </c>
      <c r="BJ3316">
        <v>1</v>
      </c>
      <c r="BL3316" t="s">
        <v>6876</v>
      </c>
      <c r="BM3316" s="4">
        <v>43283.162499999999</v>
      </c>
      <c r="BN3316" s="4">
        <v>43283.173611111109</v>
      </c>
      <c r="BO3316" s="4">
        <v>43283.173611111109</v>
      </c>
      <c r="BP3316" t="s">
        <v>92</v>
      </c>
      <c r="BQ3316" t="s">
        <v>93</v>
      </c>
      <c r="BR3316" t="s">
        <v>94</v>
      </c>
    </row>
    <row r="3317" spans="1:70" x14ac:dyDescent="0.3">
      <c r="A3317" t="str">
        <f>"202372C0100"</f>
        <v>202372C0100</v>
      </c>
      <c r="B3317" t="s">
        <v>6877</v>
      </c>
      <c r="C3317">
        <v>20</v>
      </c>
      <c r="D3317" t="s">
        <v>88</v>
      </c>
      <c r="E3317">
        <v>553</v>
      </c>
      <c r="F3317" t="s">
        <v>6839</v>
      </c>
      <c r="G3317">
        <v>2372</v>
      </c>
      <c r="H3317">
        <v>1</v>
      </c>
      <c r="I3317" t="s">
        <v>98</v>
      </c>
      <c r="J3317">
        <v>0</v>
      </c>
      <c r="K3317">
        <v>1</v>
      </c>
      <c r="L3317">
        <v>5</v>
      </c>
      <c r="M3317">
        <v>196</v>
      </c>
      <c r="N3317">
        <v>482</v>
      </c>
      <c r="O3317">
        <v>12</v>
      </c>
      <c r="P3317">
        <v>482</v>
      </c>
      <c r="Q3317">
        <v>1</v>
      </c>
      <c r="R3317">
        <v>40</v>
      </c>
      <c r="S3317">
        <v>53</v>
      </c>
      <c r="T3317">
        <v>110</v>
      </c>
      <c r="U3317">
        <v>2</v>
      </c>
      <c r="V3317">
        <v>1</v>
      </c>
      <c r="W3317">
        <v>36</v>
      </c>
      <c r="X3317">
        <v>44</v>
      </c>
      <c r="Y3317">
        <v>85</v>
      </c>
      <c r="Z3317">
        <v>2</v>
      </c>
      <c r="AA3317">
        <v>9</v>
      </c>
      <c r="AC3317" t="s">
        <v>105</v>
      </c>
      <c r="AD3317" t="s">
        <v>105</v>
      </c>
      <c r="AE3317" t="s">
        <v>105</v>
      </c>
      <c r="AF3317" t="s">
        <v>105</v>
      </c>
      <c r="AK3317" t="s">
        <v>105</v>
      </c>
      <c r="AL3317" t="s">
        <v>105</v>
      </c>
      <c r="AM3317" t="s">
        <v>105</v>
      </c>
      <c r="AN3317" t="s">
        <v>105</v>
      </c>
      <c r="AZ3317">
        <v>6</v>
      </c>
      <c r="BA3317">
        <v>3</v>
      </c>
      <c r="BB3317">
        <v>80</v>
      </c>
      <c r="BC3317" t="s">
        <v>105</v>
      </c>
      <c r="BD3317">
        <v>9</v>
      </c>
      <c r="BE3317">
        <v>481</v>
      </c>
      <c r="BF3317">
        <v>481</v>
      </c>
      <c r="BG3317">
        <v>652</v>
      </c>
      <c r="BI3317" t="s">
        <v>106</v>
      </c>
      <c r="BJ3317">
        <v>1</v>
      </c>
      <c r="BL3317" t="s">
        <v>6878</v>
      </c>
      <c r="BM3317" s="4">
        <v>43283.104861111111</v>
      </c>
      <c r="BN3317" s="4">
        <v>43283.108703703707</v>
      </c>
      <c r="BO3317" s="4">
        <v>43283.108703703707</v>
      </c>
      <c r="BP3317" t="s">
        <v>92</v>
      </c>
      <c r="BQ3317" t="s">
        <v>93</v>
      </c>
      <c r="BR3317" t="s">
        <v>94</v>
      </c>
    </row>
    <row r="3318" spans="1:70" x14ac:dyDescent="0.3">
      <c r="A3318" t="str">
        <f>"202373B0100"</f>
        <v>202373B0100</v>
      </c>
      <c r="B3318" t="s">
        <v>6879</v>
      </c>
      <c r="C3318">
        <v>20</v>
      </c>
      <c r="D3318" t="s">
        <v>88</v>
      </c>
      <c r="E3318">
        <v>553</v>
      </c>
      <c r="F3318" t="s">
        <v>6839</v>
      </c>
      <c r="G3318">
        <v>2373</v>
      </c>
      <c r="H3318">
        <v>1</v>
      </c>
      <c r="I3318" t="s">
        <v>90</v>
      </c>
      <c r="J3318">
        <v>0</v>
      </c>
      <c r="K3318">
        <v>2</v>
      </c>
      <c r="L3318">
        <v>5</v>
      </c>
      <c r="M3318">
        <v>244</v>
      </c>
      <c r="N3318">
        <v>477</v>
      </c>
      <c r="O3318">
        <v>4</v>
      </c>
      <c r="P3318">
        <v>476</v>
      </c>
      <c r="Q3318">
        <v>1</v>
      </c>
      <c r="R3318">
        <v>14</v>
      </c>
      <c r="S3318">
        <v>87</v>
      </c>
      <c r="T3318">
        <v>79</v>
      </c>
      <c r="U3318">
        <v>8</v>
      </c>
      <c r="V3318">
        <v>4</v>
      </c>
      <c r="W3318">
        <v>54</v>
      </c>
      <c r="X3318">
        <v>14</v>
      </c>
      <c r="Y3318">
        <v>111</v>
      </c>
      <c r="Z3318">
        <v>2</v>
      </c>
      <c r="AA3318">
        <v>6</v>
      </c>
      <c r="AC3318">
        <v>0</v>
      </c>
      <c r="AD3318">
        <v>0</v>
      </c>
      <c r="AE3318">
        <v>0</v>
      </c>
      <c r="AF3318">
        <v>0</v>
      </c>
      <c r="AK3318">
        <v>2</v>
      </c>
      <c r="AL3318">
        <v>1</v>
      </c>
      <c r="AM3318">
        <v>0</v>
      </c>
      <c r="AN3318">
        <v>0</v>
      </c>
      <c r="AZ3318">
        <v>11</v>
      </c>
      <c r="BA3318">
        <v>7</v>
      </c>
      <c r="BB3318">
        <v>62</v>
      </c>
      <c r="BC3318">
        <v>0</v>
      </c>
      <c r="BD3318">
        <v>13</v>
      </c>
      <c r="BE3318" t="s">
        <v>105</v>
      </c>
      <c r="BF3318">
        <v>476</v>
      </c>
      <c r="BG3318">
        <v>696</v>
      </c>
      <c r="BJ3318">
        <v>1</v>
      </c>
      <c r="BL3318" t="s">
        <v>6880</v>
      </c>
      <c r="BM3318" s="4">
        <v>43283.258333333331</v>
      </c>
      <c r="BN3318" s="4">
        <v>43283.297812500001</v>
      </c>
      <c r="BO3318" s="4">
        <v>43283.297812500001</v>
      </c>
      <c r="BP3318" t="s">
        <v>92</v>
      </c>
      <c r="BQ3318" t="s">
        <v>93</v>
      </c>
      <c r="BR3318" t="s">
        <v>94</v>
      </c>
    </row>
    <row r="3319" spans="1:70" x14ac:dyDescent="0.3">
      <c r="A3319" t="str">
        <f>"202373C0100"</f>
        <v>202373C0100</v>
      </c>
      <c r="B3319" t="s">
        <v>6881</v>
      </c>
      <c r="C3319">
        <v>20</v>
      </c>
      <c r="D3319" t="s">
        <v>88</v>
      </c>
      <c r="E3319">
        <v>553</v>
      </c>
      <c r="F3319" t="s">
        <v>6839</v>
      </c>
      <c r="G3319">
        <v>2373</v>
      </c>
      <c r="H3319">
        <v>1</v>
      </c>
      <c r="I3319" t="s">
        <v>98</v>
      </c>
      <c r="J3319">
        <v>0</v>
      </c>
      <c r="K3319">
        <v>2</v>
      </c>
      <c r="L3319">
        <v>5</v>
      </c>
      <c r="M3319">
        <v>253</v>
      </c>
      <c r="N3319">
        <v>468</v>
      </c>
      <c r="O3319">
        <v>4</v>
      </c>
      <c r="P3319">
        <v>466</v>
      </c>
      <c r="Q3319">
        <v>3</v>
      </c>
      <c r="R3319">
        <v>28</v>
      </c>
      <c r="S3319">
        <v>58</v>
      </c>
      <c r="T3319">
        <v>70</v>
      </c>
      <c r="U3319">
        <v>6</v>
      </c>
      <c r="V3319">
        <v>1</v>
      </c>
      <c r="W3319">
        <v>62</v>
      </c>
      <c r="X3319">
        <v>15</v>
      </c>
      <c r="Y3319">
        <v>101</v>
      </c>
      <c r="Z3319">
        <v>6</v>
      </c>
      <c r="AA3319">
        <v>0</v>
      </c>
      <c r="AC3319">
        <v>1</v>
      </c>
      <c r="AD3319">
        <v>1</v>
      </c>
      <c r="AE3319">
        <v>0</v>
      </c>
      <c r="AF3319">
        <v>0</v>
      </c>
      <c r="AK3319">
        <v>2</v>
      </c>
      <c r="AL3319">
        <v>2</v>
      </c>
      <c r="AM3319">
        <v>0</v>
      </c>
      <c r="AN3319">
        <v>0</v>
      </c>
      <c r="AZ3319">
        <v>9</v>
      </c>
      <c r="BA3319">
        <v>9</v>
      </c>
      <c r="BB3319">
        <v>78</v>
      </c>
      <c r="BC3319">
        <v>0</v>
      </c>
      <c r="BD3319">
        <v>14</v>
      </c>
      <c r="BE3319">
        <v>466</v>
      </c>
      <c r="BF3319">
        <v>466</v>
      </c>
      <c r="BG3319">
        <v>696</v>
      </c>
      <c r="BJ3319">
        <v>1</v>
      </c>
      <c r="BL3319" t="s">
        <v>6882</v>
      </c>
      <c r="BM3319" s="4">
        <v>43283.135416666664</v>
      </c>
      <c r="BN3319" s="4">
        <v>43283.143159722225</v>
      </c>
      <c r="BO3319" s="4">
        <v>43283.143159722225</v>
      </c>
      <c r="BP3319" t="s">
        <v>92</v>
      </c>
      <c r="BQ3319" t="s">
        <v>93</v>
      </c>
      <c r="BR3319" t="s">
        <v>94</v>
      </c>
    </row>
    <row r="3320" spans="1:70" x14ac:dyDescent="0.3">
      <c r="A3320" t="str">
        <f>"202373C0200"</f>
        <v>202373C0200</v>
      </c>
      <c r="B3320" t="s">
        <v>6883</v>
      </c>
      <c r="C3320">
        <v>20</v>
      </c>
      <c r="D3320" t="s">
        <v>88</v>
      </c>
      <c r="E3320">
        <v>553</v>
      </c>
      <c r="F3320" t="s">
        <v>6839</v>
      </c>
      <c r="G3320">
        <v>2373</v>
      </c>
      <c r="H3320">
        <v>2</v>
      </c>
      <c r="I3320" t="s">
        <v>98</v>
      </c>
      <c r="J3320">
        <v>0</v>
      </c>
      <c r="K3320">
        <v>2</v>
      </c>
      <c r="L3320">
        <v>5</v>
      </c>
      <c r="M3320">
        <v>237</v>
      </c>
      <c r="N3320">
        <v>484</v>
      </c>
      <c r="O3320">
        <v>12</v>
      </c>
      <c r="P3320">
        <v>484</v>
      </c>
      <c r="Q3320">
        <v>2</v>
      </c>
      <c r="R3320">
        <v>11</v>
      </c>
      <c r="S3320">
        <v>82</v>
      </c>
      <c r="T3320">
        <v>85</v>
      </c>
      <c r="U3320">
        <v>6</v>
      </c>
      <c r="V3320">
        <v>0</v>
      </c>
      <c r="W3320">
        <v>54</v>
      </c>
      <c r="X3320">
        <v>17</v>
      </c>
      <c r="Y3320">
        <v>102</v>
      </c>
      <c r="Z3320">
        <v>2</v>
      </c>
      <c r="AA3320">
        <v>9</v>
      </c>
      <c r="AC3320">
        <v>1</v>
      </c>
      <c r="AD3320">
        <v>0</v>
      </c>
      <c r="AE3320">
        <v>0</v>
      </c>
      <c r="AF3320">
        <v>0</v>
      </c>
      <c r="AK3320">
        <v>0</v>
      </c>
      <c r="AL3320">
        <v>1</v>
      </c>
      <c r="AM3320">
        <v>0</v>
      </c>
      <c r="AN3320">
        <v>0</v>
      </c>
      <c r="AZ3320">
        <v>10</v>
      </c>
      <c r="BA3320">
        <v>10</v>
      </c>
      <c r="BB3320">
        <v>76</v>
      </c>
      <c r="BC3320">
        <v>0</v>
      </c>
      <c r="BD3320">
        <v>16</v>
      </c>
      <c r="BE3320">
        <v>484</v>
      </c>
      <c r="BF3320">
        <v>484</v>
      </c>
      <c r="BG3320">
        <v>696</v>
      </c>
      <c r="BJ3320">
        <v>1</v>
      </c>
      <c r="BL3320" t="s">
        <v>6884</v>
      </c>
      <c r="BM3320" s="4">
        <v>43283.135416666664</v>
      </c>
      <c r="BN3320" s="4">
        <v>43283.142395833333</v>
      </c>
      <c r="BO3320" s="4">
        <v>43283.142395833333</v>
      </c>
      <c r="BP3320" t="s">
        <v>92</v>
      </c>
      <c r="BQ3320" t="s">
        <v>93</v>
      </c>
      <c r="BR3320" t="s">
        <v>94</v>
      </c>
    </row>
    <row r="3321" spans="1:70" x14ac:dyDescent="0.3">
      <c r="A3321" t="str">
        <f>"202373C0300"</f>
        <v>202373C0300</v>
      </c>
      <c r="B3321" t="s">
        <v>6885</v>
      </c>
      <c r="C3321">
        <v>20</v>
      </c>
      <c r="D3321" t="s">
        <v>88</v>
      </c>
      <c r="E3321">
        <v>553</v>
      </c>
      <c r="F3321" t="s">
        <v>6839</v>
      </c>
      <c r="G3321">
        <v>2373</v>
      </c>
      <c r="H3321">
        <v>3</v>
      </c>
      <c r="I3321" t="s">
        <v>98</v>
      </c>
      <c r="J3321">
        <v>0</v>
      </c>
      <c r="K3321">
        <v>2</v>
      </c>
      <c r="L3321">
        <v>5</v>
      </c>
      <c r="M3321">
        <v>264</v>
      </c>
      <c r="N3321">
        <v>451</v>
      </c>
      <c r="O3321">
        <v>8</v>
      </c>
      <c r="P3321">
        <v>451</v>
      </c>
      <c r="Q3321">
        <v>3</v>
      </c>
      <c r="R3321">
        <v>20</v>
      </c>
      <c r="S3321">
        <v>69</v>
      </c>
      <c r="T3321">
        <v>73</v>
      </c>
      <c r="U3321">
        <v>7</v>
      </c>
      <c r="V3321">
        <v>6</v>
      </c>
      <c r="W3321">
        <v>46</v>
      </c>
      <c r="X3321">
        <v>24</v>
      </c>
      <c r="Y3321">
        <v>103</v>
      </c>
      <c r="Z3321">
        <v>4</v>
      </c>
      <c r="AA3321">
        <v>4</v>
      </c>
      <c r="AC3321">
        <v>0</v>
      </c>
      <c r="AD3321">
        <v>0</v>
      </c>
      <c r="AE3321">
        <v>0</v>
      </c>
      <c r="AF3321">
        <v>0</v>
      </c>
      <c r="AK3321">
        <v>2</v>
      </c>
      <c r="AL3321">
        <v>1</v>
      </c>
      <c r="AM3321">
        <v>0</v>
      </c>
      <c r="AN3321">
        <v>0</v>
      </c>
      <c r="AZ3321">
        <v>9</v>
      </c>
      <c r="BA3321">
        <v>10</v>
      </c>
      <c r="BB3321">
        <v>59</v>
      </c>
      <c r="BC3321">
        <v>0</v>
      </c>
      <c r="BD3321">
        <v>11</v>
      </c>
      <c r="BE3321" t="s">
        <v>105</v>
      </c>
      <c r="BF3321">
        <v>451</v>
      </c>
      <c r="BG3321">
        <v>696</v>
      </c>
      <c r="BJ3321">
        <v>1</v>
      </c>
      <c r="BL3321" t="s">
        <v>6886</v>
      </c>
      <c r="BM3321" s="4">
        <v>43283.067361111112</v>
      </c>
      <c r="BN3321" s="4">
        <v>43283.078067129631</v>
      </c>
      <c r="BO3321" s="4">
        <v>43283.078067129631</v>
      </c>
      <c r="BP3321" t="s">
        <v>92</v>
      </c>
      <c r="BQ3321" t="s">
        <v>93</v>
      </c>
      <c r="BR3321" t="s">
        <v>94</v>
      </c>
    </row>
    <row r="3322" spans="1:70" x14ac:dyDescent="0.3">
      <c r="A3322" t="str">
        <f>"202373C0400"</f>
        <v>202373C0400</v>
      </c>
      <c r="B3322" t="s">
        <v>6887</v>
      </c>
      <c r="C3322">
        <v>20</v>
      </c>
      <c r="D3322" t="s">
        <v>88</v>
      </c>
      <c r="E3322">
        <v>553</v>
      </c>
      <c r="F3322" t="s">
        <v>6839</v>
      </c>
      <c r="G3322">
        <v>2373</v>
      </c>
      <c r="H3322">
        <v>4</v>
      </c>
      <c r="I3322" t="s">
        <v>98</v>
      </c>
      <c r="J3322">
        <v>0</v>
      </c>
      <c r="K3322">
        <v>2</v>
      </c>
      <c r="L3322">
        <v>5</v>
      </c>
      <c r="M3322">
        <v>247</v>
      </c>
      <c r="N3322">
        <v>473</v>
      </c>
      <c r="O3322">
        <v>13</v>
      </c>
      <c r="P3322">
        <v>475</v>
      </c>
      <c r="Q3322">
        <v>1</v>
      </c>
      <c r="R3322">
        <v>16</v>
      </c>
      <c r="S3322">
        <v>73</v>
      </c>
      <c r="T3322">
        <v>85</v>
      </c>
      <c r="U3322">
        <v>7</v>
      </c>
      <c r="V3322">
        <v>6</v>
      </c>
      <c r="W3322">
        <v>75</v>
      </c>
      <c r="X3322">
        <v>21</v>
      </c>
      <c r="Y3322">
        <v>110</v>
      </c>
      <c r="Z3322">
        <v>4</v>
      </c>
      <c r="AA3322">
        <v>6</v>
      </c>
      <c r="AC3322">
        <v>0</v>
      </c>
      <c r="AD3322">
        <v>0</v>
      </c>
      <c r="AE3322">
        <v>0</v>
      </c>
      <c r="AF3322">
        <v>0</v>
      </c>
      <c r="AK3322">
        <v>3</v>
      </c>
      <c r="AL3322">
        <v>0</v>
      </c>
      <c r="AM3322">
        <v>0</v>
      </c>
      <c r="AN3322">
        <v>0</v>
      </c>
      <c r="AZ3322">
        <v>8</v>
      </c>
      <c r="BA3322">
        <v>6</v>
      </c>
      <c r="BB3322">
        <v>45</v>
      </c>
      <c r="BC3322">
        <v>0</v>
      </c>
      <c r="BD3322">
        <v>9</v>
      </c>
      <c r="BE3322">
        <v>475</v>
      </c>
      <c r="BF3322">
        <v>475</v>
      </c>
      <c r="BG3322">
        <v>695</v>
      </c>
      <c r="BJ3322">
        <v>1</v>
      </c>
      <c r="BL3322" t="s">
        <v>6888</v>
      </c>
      <c r="BM3322" s="4">
        <v>43283.163194444445</v>
      </c>
      <c r="BN3322" s="4">
        <v>43283.176874999997</v>
      </c>
      <c r="BO3322" s="4">
        <v>43283.176874999997</v>
      </c>
      <c r="BP3322" t="s">
        <v>92</v>
      </c>
      <c r="BQ3322" t="s">
        <v>93</v>
      </c>
      <c r="BR3322" t="s">
        <v>94</v>
      </c>
    </row>
    <row r="3323" spans="1:70" x14ac:dyDescent="0.3">
      <c r="A3323" t="str">
        <f>"202373E0100"</f>
        <v>202373E0100</v>
      </c>
      <c r="B3323" s="2" t="s">
        <v>6889</v>
      </c>
      <c r="C3323">
        <v>20</v>
      </c>
      <c r="D3323" t="s">
        <v>88</v>
      </c>
      <c r="E3323">
        <v>553</v>
      </c>
      <c r="F3323" t="s">
        <v>6839</v>
      </c>
      <c r="G3323">
        <v>2373</v>
      </c>
      <c r="H3323">
        <v>1</v>
      </c>
      <c r="I3323" t="s">
        <v>156</v>
      </c>
      <c r="J3323">
        <v>0</v>
      </c>
      <c r="K3323">
        <v>2</v>
      </c>
      <c r="L3323">
        <v>5</v>
      </c>
      <c r="M3323">
        <v>221</v>
      </c>
      <c r="N3323">
        <v>392</v>
      </c>
      <c r="O3323">
        <v>11</v>
      </c>
      <c r="P3323">
        <v>420</v>
      </c>
      <c r="Q3323">
        <v>2</v>
      </c>
      <c r="R3323">
        <v>10</v>
      </c>
      <c r="S3323">
        <v>61</v>
      </c>
      <c r="T3323">
        <v>34</v>
      </c>
      <c r="U3323">
        <v>5</v>
      </c>
      <c r="V3323">
        <v>2</v>
      </c>
      <c r="W3323">
        <v>32</v>
      </c>
      <c r="X3323">
        <v>23</v>
      </c>
      <c r="Y3323">
        <v>150</v>
      </c>
      <c r="Z3323">
        <v>5</v>
      </c>
      <c r="AA3323">
        <v>1</v>
      </c>
      <c r="AC3323">
        <v>1</v>
      </c>
      <c r="AD3323">
        <v>1</v>
      </c>
      <c r="AE3323">
        <v>0</v>
      </c>
      <c r="AF3323">
        <v>0</v>
      </c>
      <c r="AK3323">
        <v>7</v>
      </c>
      <c r="AL3323">
        <v>1</v>
      </c>
      <c r="AM3323">
        <v>0</v>
      </c>
      <c r="AN3323">
        <v>0</v>
      </c>
      <c r="AZ3323">
        <v>6</v>
      </c>
      <c r="BA3323">
        <v>18</v>
      </c>
      <c r="BB3323">
        <v>43</v>
      </c>
      <c r="BC3323">
        <v>1</v>
      </c>
      <c r="BD3323">
        <v>17</v>
      </c>
      <c r="BE3323">
        <v>420</v>
      </c>
      <c r="BF3323">
        <v>420</v>
      </c>
      <c r="BG3323">
        <v>614</v>
      </c>
      <c r="BJ3323">
        <v>1</v>
      </c>
      <c r="BL3323" t="s">
        <v>6890</v>
      </c>
      <c r="BM3323" s="4">
        <v>43283.14166666667</v>
      </c>
      <c r="BN3323" s="4">
        <v>43283.153912037036</v>
      </c>
      <c r="BO3323" s="4">
        <v>43283.153912037036</v>
      </c>
      <c r="BP3323" t="s">
        <v>92</v>
      </c>
      <c r="BQ3323" t="s">
        <v>93</v>
      </c>
      <c r="BR3323" t="s">
        <v>94</v>
      </c>
    </row>
    <row r="3324" spans="1:70" x14ac:dyDescent="0.3">
      <c r="A3324" t="str">
        <f>"202374B0100"</f>
        <v>202374B0100</v>
      </c>
      <c r="B3324" t="s">
        <v>6891</v>
      </c>
      <c r="C3324">
        <v>20</v>
      </c>
      <c r="D3324" t="s">
        <v>88</v>
      </c>
      <c r="E3324">
        <v>553</v>
      </c>
      <c r="F3324" t="s">
        <v>6839</v>
      </c>
      <c r="G3324">
        <v>2374</v>
      </c>
      <c r="H3324">
        <v>1</v>
      </c>
      <c r="I3324" t="s">
        <v>90</v>
      </c>
      <c r="J3324">
        <v>0</v>
      </c>
      <c r="K3324">
        <v>2</v>
      </c>
      <c r="L3324">
        <v>5</v>
      </c>
      <c r="M3324">
        <v>234</v>
      </c>
      <c r="N3324">
        <v>501</v>
      </c>
      <c r="O3324">
        <v>8</v>
      </c>
      <c r="P3324">
        <v>501</v>
      </c>
      <c r="Q3324">
        <v>3</v>
      </c>
      <c r="R3324">
        <v>20</v>
      </c>
      <c r="S3324">
        <v>42</v>
      </c>
      <c r="T3324">
        <v>93</v>
      </c>
      <c r="U3324">
        <v>5</v>
      </c>
      <c r="V3324">
        <v>2</v>
      </c>
      <c r="W3324">
        <v>47</v>
      </c>
      <c r="X3324">
        <v>84</v>
      </c>
      <c r="Y3324">
        <v>77</v>
      </c>
      <c r="Z3324">
        <v>3</v>
      </c>
      <c r="AA3324">
        <v>9</v>
      </c>
      <c r="AC3324" t="s">
        <v>105</v>
      </c>
      <c r="AD3324">
        <v>1</v>
      </c>
      <c r="AE3324" t="s">
        <v>105</v>
      </c>
      <c r="AF3324">
        <v>1</v>
      </c>
      <c r="AK3324">
        <v>1</v>
      </c>
      <c r="AL3324">
        <v>3</v>
      </c>
      <c r="AM3324" t="s">
        <v>105</v>
      </c>
      <c r="AN3324" t="s">
        <v>105</v>
      </c>
      <c r="AZ3324">
        <v>10</v>
      </c>
      <c r="BA3324">
        <v>10</v>
      </c>
      <c r="BB3324">
        <v>77</v>
      </c>
      <c r="BC3324" t="s">
        <v>105</v>
      </c>
      <c r="BD3324">
        <v>13</v>
      </c>
      <c r="BE3324">
        <v>501</v>
      </c>
      <c r="BF3324">
        <v>501</v>
      </c>
      <c r="BG3324">
        <v>710</v>
      </c>
      <c r="BI3324" t="s">
        <v>106</v>
      </c>
      <c r="BJ3324">
        <v>1</v>
      </c>
      <c r="BL3324" t="s">
        <v>6892</v>
      </c>
      <c r="BM3324" s="4">
        <v>43283.128472222219</v>
      </c>
      <c r="BN3324" s="4">
        <v>43283.133136574077</v>
      </c>
      <c r="BO3324" s="4">
        <v>43283.133136574077</v>
      </c>
      <c r="BP3324" t="s">
        <v>92</v>
      </c>
      <c r="BQ3324" t="s">
        <v>93</v>
      </c>
      <c r="BR3324" t="s">
        <v>94</v>
      </c>
    </row>
    <row r="3325" spans="1:70" x14ac:dyDescent="0.3">
      <c r="A3325" t="str">
        <f>"202374C0100"</f>
        <v>202374C0100</v>
      </c>
      <c r="B3325" t="s">
        <v>6893</v>
      </c>
      <c r="C3325">
        <v>20</v>
      </c>
      <c r="D3325" t="s">
        <v>88</v>
      </c>
      <c r="E3325">
        <v>553</v>
      </c>
      <c r="F3325" t="s">
        <v>6839</v>
      </c>
      <c r="G3325">
        <v>2374</v>
      </c>
      <c r="H3325">
        <v>1</v>
      </c>
      <c r="I3325" t="s">
        <v>98</v>
      </c>
      <c r="J3325">
        <v>0</v>
      </c>
      <c r="K3325">
        <v>2</v>
      </c>
      <c r="L3325">
        <v>5</v>
      </c>
      <c r="M3325">
        <v>249</v>
      </c>
      <c r="N3325">
        <v>486</v>
      </c>
      <c r="O3325">
        <v>9</v>
      </c>
      <c r="P3325">
        <v>486</v>
      </c>
      <c r="Q3325">
        <v>2</v>
      </c>
      <c r="R3325">
        <v>21</v>
      </c>
      <c r="S3325">
        <v>51</v>
      </c>
      <c r="T3325">
        <v>95</v>
      </c>
      <c r="U3325">
        <v>6</v>
      </c>
      <c r="V3325">
        <v>9</v>
      </c>
      <c r="W3325">
        <v>37</v>
      </c>
      <c r="X3325">
        <v>97</v>
      </c>
      <c r="Y3325">
        <v>73</v>
      </c>
      <c r="Z3325">
        <v>3</v>
      </c>
      <c r="AA3325">
        <v>4</v>
      </c>
      <c r="AC3325">
        <v>1</v>
      </c>
      <c r="AD3325">
        <v>0</v>
      </c>
      <c r="AE3325">
        <v>0</v>
      </c>
      <c r="AF3325">
        <v>0</v>
      </c>
      <c r="AK3325">
        <v>2</v>
      </c>
      <c r="AL3325">
        <v>2</v>
      </c>
      <c r="AM3325">
        <v>2</v>
      </c>
      <c r="AN3325">
        <v>1</v>
      </c>
      <c r="AZ3325">
        <v>1</v>
      </c>
      <c r="BA3325">
        <v>2</v>
      </c>
      <c r="BB3325">
        <v>66</v>
      </c>
      <c r="BC3325">
        <v>0</v>
      </c>
      <c r="BD3325">
        <v>10</v>
      </c>
      <c r="BE3325">
        <v>486</v>
      </c>
      <c r="BF3325">
        <v>485</v>
      </c>
      <c r="BG3325">
        <v>710</v>
      </c>
      <c r="BJ3325">
        <v>1</v>
      </c>
      <c r="BL3325" t="s">
        <v>6894</v>
      </c>
      <c r="BM3325" s="4">
        <v>43283.150694444441</v>
      </c>
      <c r="BN3325" s="4">
        <v>43283.17291666667</v>
      </c>
      <c r="BO3325" s="4">
        <v>43283.17291666667</v>
      </c>
      <c r="BP3325" t="s">
        <v>92</v>
      </c>
      <c r="BQ3325" t="s">
        <v>93</v>
      </c>
      <c r="BR3325" t="s">
        <v>94</v>
      </c>
    </row>
    <row r="3326" spans="1:70" x14ac:dyDescent="0.3">
      <c r="A3326" t="str">
        <f>"202374C0200"</f>
        <v>202374C0200</v>
      </c>
      <c r="B3326" t="s">
        <v>6895</v>
      </c>
      <c r="C3326">
        <v>20</v>
      </c>
      <c r="D3326" t="s">
        <v>88</v>
      </c>
      <c r="E3326">
        <v>553</v>
      </c>
      <c r="F3326" t="s">
        <v>6839</v>
      </c>
      <c r="G3326">
        <v>2374</v>
      </c>
      <c r="H3326">
        <v>2</v>
      </c>
      <c r="I3326" t="s">
        <v>98</v>
      </c>
      <c r="J3326">
        <v>0</v>
      </c>
      <c r="K3326">
        <v>2</v>
      </c>
      <c r="L3326">
        <v>5</v>
      </c>
      <c r="M3326">
        <v>251</v>
      </c>
      <c r="N3326">
        <v>479</v>
      </c>
      <c r="O3326">
        <v>7</v>
      </c>
      <c r="P3326">
        <v>477</v>
      </c>
      <c r="Q3326">
        <v>1</v>
      </c>
      <c r="R3326">
        <v>24</v>
      </c>
      <c r="S3326">
        <v>50</v>
      </c>
      <c r="T3326">
        <v>82</v>
      </c>
      <c r="U3326">
        <v>4</v>
      </c>
      <c r="V3326">
        <v>4</v>
      </c>
      <c r="W3326">
        <v>56</v>
      </c>
      <c r="X3326">
        <v>57</v>
      </c>
      <c r="Y3326">
        <v>80</v>
      </c>
      <c r="Z3326">
        <v>4</v>
      </c>
      <c r="AA3326">
        <v>9</v>
      </c>
      <c r="AC3326">
        <v>0</v>
      </c>
      <c r="AD3326">
        <v>1</v>
      </c>
      <c r="AE3326">
        <v>0</v>
      </c>
      <c r="AF3326">
        <v>0</v>
      </c>
      <c r="AK3326">
        <v>7</v>
      </c>
      <c r="AL3326">
        <v>2</v>
      </c>
      <c r="AM3326">
        <v>0</v>
      </c>
      <c r="AN3326">
        <v>0</v>
      </c>
      <c r="AZ3326">
        <v>4</v>
      </c>
      <c r="BA3326">
        <v>12</v>
      </c>
      <c r="BB3326">
        <v>63</v>
      </c>
      <c r="BC3326">
        <v>0</v>
      </c>
      <c r="BD3326">
        <v>17</v>
      </c>
      <c r="BE3326">
        <v>477</v>
      </c>
      <c r="BF3326">
        <v>477</v>
      </c>
      <c r="BG3326">
        <v>710</v>
      </c>
      <c r="BJ3326">
        <v>1</v>
      </c>
      <c r="BL3326" t="s">
        <v>6896</v>
      </c>
      <c r="BM3326" s="4">
        <v>43283.140972222223</v>
      </c>
      <c r="BN3326" s="4">
        <v>43283.145115740743</v>
      </c>
      <c r="BO3326" s="4">
        <v>43283.145115740743</v>
      </c>
      <c r="BP3326" t="s">
        <v>92</v>
      </c>
      <c r="BQ3326" t="s">
        <v>93</v>
      </c>
      <c r="BR3326" t="s">
        <v>94</v>
      </c>
    </row>
    <row r="3327" spans="1:70" x14ac:dyDescent="0.3">
      <c r="A3327" t="str">
        <f>"202374C0300"</f>
        <v>202374C0300</v>
      </c>
      <c r="B3327" t="s">
        <v>6897</v>
      </c>
      <c r="C3327">
        <v>20</v>
      </c>
      <c r="D3327" t="s">
        <v>88</v>
      </c>
      <c r="E3327">
        <v>553</v>
      </c>
      <c r="F3327" t="s">
        <v>6839</v>
      </c>
      <c r="G3327">
        <v>2374</v>
      </c>
      <c r="H3327">
        <v>3</v>
      </c>
      <c r="I3327" t="s">
        <v>98</v>
      </c>
      <c r="J3327">
        <v>0</v>
      </c>
      <c r="K3327">
        <v>2</v>
      </c>
      <c r="L3327">
        <v>5</v>
      </c>
      <c r="M3327">
        <v>290</v>
      </c>
      <c r="N3327">
        <v>444</v>
      </c>
      <c r="O3327">
        <v>8</v>
      </c>
      <c r="P3327">
        <v>444</v>
      </c>
      <c r="Q3327">
        <v>2</v>
      </c>
      <c r="R3327">
        <v>26</v>
      </c>
      <c r="S3327">
        <v>52</v>
      </c>
      <c r="T3327">
        <v>75</v>
      </c>
      <c r="U3327">
        <v>6</v>
      </c>
      <c r="V3327">
        <v>1</v>
      </c>
      <c r="W3327">
        <v>22</v>
      </c>
      <c r="X3327">
        <v>73</v>
      </c>
      <c r="Y3327">
        <v>66</v>
      </c>
      <c r="Z3327">
        <v>2</v>
      </c>
      <c r="AA3327">
        <v>4</v>
      </c>
      <c r="AC3327">
        <v>0</v>
      </c>
      <c r="AD3327">
        <v>1</v>
      </c>
      <c r="AE3327">
        <v>0</v>
      </c>
      <c r="AF3327">
        <v>0</v>
      </c>
      <c r="AK3327">
        <v>1</v>
      </c>
      <c r="AL3327">
        <v>1</v>
      </c>
      <c r="AM3327">
        <v>0</v>
      </c>
      <c r="AN3327">
        <v>0</v>
      </c>
      <c r="AZ3327">
        <v>5</v>
      </c>
      <c r="BA3327">
        <v>14</v>
      </c>
      <c r="BB3327">
        <v>84</v>
      </c>
      <c r="BC3327">
        <v>0</v>
      </c>
      <c r="BD3327">
        <v>9</v>
      </c>
      <c r="BE3327">
        <v>444</v>
      </c>
      <c r="BF3327">
        <v>444</v>
      </c>
      <c r="BG3327">
        <v>709</v>
      </c>
      <c r="BJ3327">
        <v>1</v>
      </c>
      <c r="BL3327" t="s">
        <v>6898</v>
      </c>
      <c r="BM3327" s="4">
        <v>43283.256249999999</v>
      </c>
      <c r="BN3327" s="4">
        <v>43283.285138888888</v>
      </c>
      <c r="BO3327" s="4">
        <v>43283.285138888888</v>
      </c>
      <c r="BP3327" t="s">
        <v>92</v>
      </c>
      <c r="BQ3327" t="s">
        <v>93</v>
      </c>
      <c r="BR3327" t="s">
        <v>94</v>
      </c>
    </row>
    <row r="3328" spans="1:70" x14ac:dyDescent="0.3">
      <c r="A3328" t="str">
        <f>"202375B0100"</f>
        <v>202375B0100</v>
      </c>
      <c r="B3328" t="s">
        <v>6899</v>
      </c>
      <c r="C3328">
        <v>20</v>
      </c>
      <c r="D3328" t="s">
        <v>88</v>
      </c>
      <c r="E3328">
        <v>553</v>
      </c>
      <c r="F3328" t="s">
        <v>6839</v>
      </c>
      <c r="G3328">
        <v>2375</v>
      </c>
      <c r="H3328">
        <v>1</v>
      </c>
      <c r="I3328" t="s">
        <v>90</v>
      </c>
      <c r="J3328">
        <v>0</v>
      </c>
      <c r="K3328">
        <v>2</v>
      </c>
      <c r="L3328">
        <v>5</v>
      </c>
      <c r="M3328">
        <v>269</v>
      </c>
      <c r="N3328">
        <v>466</v>
      </c>
      <c r="O3328">
        <v>6</v>
      </c>
      <c r="P3328">
        <v>465</v>
      </c>
      <c r="Q3328">
        <v>1</v>
      </c>
      <c r="R3328">
        <v>25</v>
      </c>
      <c r="S3328">
        <v>73</v>
      </c>
      <c r="T3328">
        <v>89</v>
      </c>
      <c r="U3328">
        <v>8</v>
      </c>
      <c r="V3328">
        <v>4</v>
      </c>
      <c r="W3328">
        <v>55</v>
      </c>
      <c r="X3328">
        <v>21</v>
      </c>
      <c r="Y3328">
        <v>79</v>
      </c>
      <c r="Z3328">
        <v>1</v>
      </c>
      <c r="AA3328">
        <v>4</v>
      </c>
      <c r="AC3328">
        <v>1</v>
      </c>
      <c r="AD3328">
        <v>1</v>
      </c>
      <c r="AE3328">
        <v>1</v>
      </c>
      <c r="AF3328" t="s">
        <v>105</v>
      </c>
      <c r="AK3328" t="s">
        <v>105</v>
      </c>
      <c r="AL3328" t="s">
        <v>105</v>
      </c>
      <c r="AM3328" t="s">
        <v>105</v>
      </c>
      <c r="AN3328">
        <v>3</v>
      </c>
      <c r="AZ3328">
        <v>4</v>
      </c>
      <c r="BA3328">
        <v>11</v>
      </c>
      <c r="BB3328">
        <v>74</v>
      </c>
      <c r="BC3328">
        <v>1</v>
      </c>
      <c r="BD3328">
        <v>9</v>
      </c>
      <c r="BE3328">
        <v>465</v>
      </c>
      <c r="BF3328">
        <v>465</v>
      </c>
      <c r="BG3328">
        <v>709</v>
      </c>
      <c r="BI3328" t="s">
        <v>106</v>
      </c>
      <c r="BJ3328">
        <v>1</v>
      </c>
      <c r="BL3328" t="s">
        <v>6900</v>
      </c>
      <c r="BM3328" s="4">
        <v>43283.117361111108</v>
      </c>
      <c r="BN3328" s="4">
        <v>43283.123680555553</v>
      </c>
      <c r="BO3328" s="4">
        <v>43283.123680555553</v>
      </c>
      <c r="BP3328" t="s">
        <v>92</v>
      </c>
      <c r="BQ3328" t="s">
        <v>93</v>
      </c>
      <c r="BR3328" t="s">
        <v>94</v>
      </c>
    </row>
    <row r="3329" spans="1:70" x14ac:dyDescent="0.3">
      <c r="A3329" t="str">
        <f>"202375C0100"</f>
        <v>202375C0100</v>
      </c>
      <c r="B3329" t="s">
        <v>6901</v>
      </c>
      <c r="C3329">
        <v>20</v>
      </c>
      <c r="D3329" t="s">
        <v>88</v>
      </c>
      <c r="E3329">
        <v>553</v>
      </c>
      <c r="F3329" t="s">
        <v>6839</v>
      </c>
      <c r="G3329">
        <v>2375</v>
      </c>
      <c r="H3329">
        <v>1</v>
      </c>
      <c r="I3329" t="s">
        <v>98</v>
      </c>
      <c r="J3329">
        <v>0</v>
      </c>
      <c r="K3329">
        <v>2</v>
      </c>
      <c r="L3329">
        <v>5</v>
      </c>
      <c r="BG3329">
        <v>709</v>
      </c>
      <c r="BI3329" t="s">
        <v>365</v>
      </c>
      <c r="BJ3329">
        <v>0</v>
      </c>
      <c r="BL3329" t="s">
        <v>6902</v>
      </c>
      <c r="BM3329" s="4">
        <v>43282.782638888886</v>
      </c>
      <c r="BN3329" s="4">
        <v>43283.790462962963</v>
      </c>
      <c r="BO3329" s="4">
        <v>43283.790462962963</v>
      </c>
      <c r="BP3329" t="s">
        <v>92</v>
      </c>
      <c r="BQ3329" t="s">
        <v>93</v>
      </c>
      <c r="BR3329" t="s">
        <v>94</v>
      </c>
    </row>
    <row r="3330" spans="1:70" x14ac:dyDescent="0.3">
      <c r="A3330" t="str">
        <f>"202375C0200"</f>
        <v>202375C0200</v>
      </c>
      <c r="B3330" t="s">
        <v>6903</v>
      </c>
      <c r="C3330">
        <v>20</v>
      </c>
      <c r="D3330" t="s">
        <v>88</v>
      </c>
      <c r="E3330">
        <v>553</v>
      </c>
      <c r="F3330" t="s">
        <v>6839</v>
      </c>
      <c r="G3330">
        <v>2375</v>
      </c>
      <c r="H3330">
        <v>2</v>
      </c>
      <c r="I3330" t="s">
        <v>98</v>
      </c>
      <c r="J3330">
        <v>0</v>
      </c>
      <c r="K3330">
        <v>2</v>
      </c>
      <c r="L3330">
        <v>5</v>
      </c>
      <c r="M3330">
        <v>270</v>
      </c>
      <c r="N3330">
        <v>466</v>
      </c>
      <c r="O3330">
        <v>16</v>
      </c>
      <c r="P3330">
        <v>463</v>
      </c>
      <c r="Q3330">
        <v>3</v>
      </c>
      <c r="R3330">
        <v>29</v>
      </c>
      <c r="S3330">
        <v>71</v>
      </c>
      <c r="T3330">
        <v>67</v>
      </c>
      <c r="U3330">
        <v>4</v>
      </c>
      <c r="V3330">
        <v>2</v>
      </c>
      <c r="W3330">
        <v>60</v>
      </c>
      <c r="X3330">
        <v>32</v>
      </c>
      <c r="Y3330">
        <v>89</v>
      </c>
      <c r="Z3330">
        <v>4</v>
      </c>
      <c r="AA3330">
        <v>3</v>
      </c>
      <c r="AC3330">
        <v>0</v>
      </c>
      <c r="AD3330">
        <v>1</v>
      </c>
      <c r="AE3330">
        <v>0</v>
      </c>
      <c r="AF3330">
        <v>0</v>
      </c>
      <c r="AK3330">
        <v>1</v>
      </c>
      <c r="AL3330">
        <v>1</v>
      </c>
      <c r="AM3330">
        <v>0</v>
      </c>
      <c r="AN3330">
        <v>0</v>
      </c>
      <c r="AZ3330">
        <v>9</v>
      </c>
      <c r="BA3330">
        <v>11</v>
      </c>
      <c r="BB3330">
        <v>62</v>
      </c>
      <c r="BC3330">
        <v>0</v>
      </c>
      <c r="BD3330">
        <v>17</v>
      </c>
      <c r="BE3330">
        <v>463</v>
      </c>
      <c r="BF3330">
        <v>466</v>
      </c>
      <c r="BG3330">
        <v>708</v>
      </c>
      <c r="BJ3330">
        <v>1</v>
      </c>
      <c r="BL3330" t="s">
        <v>6904</v>
      </c>
      <c r="BM3330" s="4">
        <v>43283.118055555555</v>
      </c>
      <c r="BN3330" s="4">
        <v>43283.124421296299</v>
      </c>
      <c r="BO3330" s="4">
        <v>43283.124421296299</v>
      </c>
      <c r="BP3330" t="s">
        <v>92</v>
      </c>
      <c r="BQ3330" t="s">
        <v>93</v>
      </c>
      <c r="BR3330" t="s">
        <v>94</v>
      </c>
    </row>
    <row r="3331" spans="1:70" x14ac:dyDescent="0.3">
      <c r="A3331" t="str">
        <f>"202375C0300"</f>
        <v>202375C0300</v>
      </c>
      <c r="B3331" t="s">
        <v>6905</v>
      </c>
      <c r="C3331">
        <v>20</v>
      </c>
      <c r="D3331" t="s">
        <v>88</v>
      </c>
      <c r="E3331">
        <v>553</v>
      </c>
      <c r="F3331" t="s">
        <v>6839</v>
      </c>
      <c r="G3331">
        <v>2375</v>
      </c>
      <c r="H3331">
        <v>3</v>
      </c>
      <c r="I3331" t="s">
        <v>98</v>
      </c>
      <c r="J3331">
        <v>0</v>
      </c>
      <c r="K3331">
        <v>2</v>
      </c>
      <c r="L3331">
        <v>5</v>
      </c>
      <c r="M3331">
        <v>270</v>
      </c>
      <c r="N3331">
        <v>463</v>
      </c>
      <c r="O3331">
        <v>8</v>
      </c>
      <c r="P3331">
        <v>463</v>
      </c>
      <c r="Q3331">
        <v>3</v>
      </c>
      <c r="R3331">
        <v>26</v>
      </c>
      <c r="S3331">
        <v>96</v>
      </c>
      <c r="T3331">
        <v>83</v>
      </c>
      <c r="U3331">
        <v>8</v>
      </c>
      <c r="V3331">
        <v>0</v>
      </c>
      <c r="W3331">
        <v>37</v>
      </c>
      <c r="X3331">
        <v>36</v>
      </c>
      <c r="Y3331">
        <v>79</v>
      </c>
      <c r="Z3331">
        <v>2</v>
      </c>
      <c r="AA3331">
        <v>4</v>
      </c>
      <c r="AC3331">
        <v>1</v>
      </c>
      <c r="AD3331">
        <v>0</v>
      </c>
      <c r="AE3331">
        <v>0</v>
      </c>
      <c r="AF3331">
        <v>0</v>
      </c>
      <c r="AK3331">
        <v>2</v>
      </c>
      <c r="AL3331">
        <v>1</v>
      </c>
      <c r="AM3331">
        <v>0</v>
      </c>
      <c r="AN3331">
        <v>2</v>
      </c>
      <c r="AZ3331">
        <v>9</v>
      </c>
      <c r="BA3331">
        <v>4</v>
      </c>
      <c r="BB3331">
        <v>51</v>
      </c>
      <c r="BC3331">
        <v>0</v>
      </c>
      <c r="BD3331">
        <v>19</v>
      </c>
      <c r="BE3331">
        <v>463</v>
      </c>
      <c r="BF3331">
        <v>463</v>
      </c>
      <c r="BG3331">
        <v>708</v>
      </c>
      <c r="BJ3331">
        <v>1</v>
      </c>
      <c r="BL3331" t="s">
        <v>6906</v>
      </c>
      <c r="BM3331" s="4">
        <v>43283.258333333331</v>
      </c>
      <c r="BN3331" s="4">
        <v>43283.285578703704</v>
      </c>
      <c r="BO3331" s="4">
        <v>43283.285578703704</v>
      </c>
      <c r="BP3331" t="s">
        <v>92</v>
      </c>
      <c r="BQ3331" t="s">
        <v>93</v>
      </c>
      <c r="BR3331" t="s">
        <v>94</v>
      </c>
    </row>
    <row r="3332" spans="1:70" x14ac:dyDescent="0.3">
      <c r="A3332" t="str">
        <f>"202376B0100"</f>
        <v>202376B0100</v>
      </c>
      <c r="B3332" t="s">
        <v>6907</v>
      </c>
      <c r="C3332">
        <v>20</v>
      </c>
      <c r="D3332" t="s">
        <v>88</v>
      </c>
      <c r="E3332">
        <v>553</v>
      </c>
      <c r="F3332" t="s">
        <v>6839</v>
      </c>
      <c r="G3332">
        <v>2376</v>
      </c>
      <c r="H3332">
        <v>1</v>
      </c>
      <c r="I3332" t="s">
        <v>90</v>
      </c>
      <c r="J3332">
        <v>0</v>
      </c>
      <c r="K3332">
        <v>2</v>
      </c>
      <c r="L3332">
        <v>5</v>
      </c>
      <c r="M3332">
        <v>158</v>
      </c>
      <c r="N3332">
        <v>355</v>
      </c>
      <c r="O3332">
        <v>9</v>
      </c>
      <c r="P3332">
        <v>355</v>
      </c>
      <c r="Q3332">
        <v>3</v>
      </c>
      <c r="R3332">
        <v>29</v>
      </c>
      <c r="S3332">
        <v>42</v>
      </c>
      <c r="T3332">
        <v>82</v>
      </c>
      <c r="U3332">
        <v>9</v>
      </c>
      <c r="V3332">
        <v>2</v>
      </c>
      <c r="W3332">
        <v>34</v>
      </c>
      <c r="X3332">
        <v>48</v>
      </c>
      <c r="Y3332">
        <v>44</v>
      </c>
      <c r="Z3332">
        <v>0</v>
      </c>
      <c r="AA3332">
        <v>6</v>
      </c>
      <c r="AC3332">
        <v>1</v>
      </c>
      <c r="AD3332">
        <v>0</v>
      </c>
      <c r="AE3332">
        <v>0</v>
      </c>
      <c r="AF3332">
        <v>0</v>
      </c>
      <c r="AK3332">
        <v>0</v>
      </c>
      <c r="AL3332">
        <v>1</v>
      </c>
      <c r="AM3332">
        <v>0</v>
      </c>
      <c r="AN3332">
        <v>0</v>
      </c>
      <c r="AZ3332">
        <v>1</v>
      </c>
      <c r="BA3332">
        <v>4</v>
      </c>
      <c r="BB3332">
        <v>30</v>
      </c>
      <c r="BC3332">
        <v>0</v>
      </c>
      <c r="BD3332">
        <v>19</v>
      </c>
      <c r="BE3332">
        <v>355</v>
      </c>
      <c r="BF3332">
        <v>355</v>
      </c>
      <c r="BG3332">
        <v>487</v>
      </c>
      <c r="BJ3332">
        <v>1</v>
      </c>
      <c r="BL3332" t="s">
        <v>6908</v>
      </c>
      <c r="BM3332" s="4">
        <v>43283.140972222223</v>
      </c>
      <c r="BN3332" s="4">
        <v>43283.147361111114</v>
      </c>
      <c r="BO3332" s="4">
        <v>43283.147361111114</v>
      </c>
      <c r="BP3332" t="s">
        <v>92</v>
      </c>
      <c r="BQ3332" t="s">
        <v>93</v>
      </c>
      <c r="BR3332" t="s">
        <v>94</v>
      </c>
    </row>
    <row r="3333" spans="1:70" x14ac:dyDescent="0.3">
      <c r="A3333" t="str">
        <f>"202376C0100"</f>
        <v>202376C0100</v>
      </c>
      <c r="B3333" t="s">
        <v>6909</v>
      </c>
      <c r="C3333">
        <v>20</v>
      </c>
      <c r="D3333" t="s">
        <v>88</v>
      </c>
      <c r="E3333">
        <v>553</v>
      </c>
      <c r="F3333" t="s">
        <v>6839</v>
      </c>
      <c r="G3333">
        <v>2376</v>
      </c>
      <c r="H3333">
        <v>1</v>
      </c>
      <c r="I3333" t="s">
        <v>98</v>
      </c>
      <c r="J3333">
        <v>0</v>
      </c>
      <c r="K3333">
        <v>2</v>
      </c>
      <c r="L3333">
        <v>5</v>
      </c>
      <c r="M3333">
        <v>210</v>
      </c>
      <c r="N3333">
        <v>301</v>
      </c>
      <c r="O3333">
        <v>8</v>
      </c>
      <c r="P3333">
        <v>302</v>
      </c>
      <c r="Q3333">
        <v>1</v>
      </c>
      <c r="R3333">
        <v>18</v>
      </c>
      <c r="S3333">
        <v>15</v>
      </c>
      <c r="T3333">
        <v>75</v>
      </c>
      <c r="U3333">
        <v>7</v>
      </c>
      <c r="V3333">
        <v>3</v>
      </c>
      <c r="W3333">
        <v>17</v>
      </c>
      <c r="X3333">
        <v>43</v>
      </c>
      <c r="Y3333">
        <v>58</v>
      </c>
      <c r="Z3333">
        <v>3</v>
      </c>
      <c r="AA3333">
        <v>3</v>
      </c>
      <c r="AC3333">
        <v>0</v>
      </c>
      <c r="AD3333">
        <v>0</v>
      </c>
      <c r="AE3333">
        <v>0</v>
      </c>
      <c r="AF3333">
        <v>0</v>
      </c>
      <c r="AK3333">
        <v>2</v>
      </c>
      <c r="AL3333">
        <v>1</v>
      </c>
      <c r="AM3333">
        <v>1</v>
      </c>
      <c r="AN3333">
        <v>3</v>
      </c>
      <c r="AZ3333">
        <v>4</v>
      </c>
      <c r="BA3333">
        <v>3</v>
      </c>
      <c r="BB3333">
        <v>32</v>
      </c>
      <c r="BC3333">
        <v>0</v>
      </c>
      <c r="BD3333">
        <v>13</v>
      </c>
      <c r="BE3333">
        <v>302</v>
      </c>
      <c r="BF3333">
        <v>302</v>
      </c>
      <c r="BG3333">
        <v>487</v>
      </c>
      <c r="BJ3333">
        <v>1</v>
      </c>
      <c r="BL3333" t="s">
        <v>6910</v>
      </c>
      <c r="BM3333" s="4">
        <v>43283.130555555559</v>
      </c>
      <c r="BN3333" s="4">
        <v>43283.134687500002</v>
      </c>
      <c r="BO3333" s="4">
        <v>43283.134687500002</v>
      </c>
      <c r="BP3333" t="s">
        <v>92</v>
      </c>
      <c r="BQ3333" t="s">
        <v>93</v>
      </c>
      <c r="BR3333" t="s">
        <v>94</v>
      </c>
    </row>
    <row r="3334" spans="1:70" x14ac:dyDescent="0.3">
      <c r="A3334" t="str">
        <f>"202376E0100"</f>
        <v>202376E0100</v>
      </c>
      <c r="B3334" s="2" t="s">
        <v>6911</v>
      </c>
      <c r="C3334">
        <v>20</v>
      </c>
      <c r="D3334" t="s">
        <v>88</v>
      </c>
      <c r="E3334">
        <v>553</v>
      </c>
      <c r="F3334" t="s">
        <v>6839</v>
      </c>
      <c r="G3334">
        <v>2376</v>
      </c>
      <c r="H3334">
        <v>1</v>
      </c>
      <c r="I3334" t="s">
        <v>156</v>
      </c>
      <c r="J3334">
        <v>0</v>
      </c>
      <c r="K3334">
        <v>2</v>
      </c>
      <c r="L3334">
        <v>5</v>
      </c>
      <c r="BG3334">
        <v>749</v>
      </c>
      <c r="BI3334" t="s">
        <v>365</v>
      </c>
      <c r="BJ3334">
        <v>0</v>
      </c>
      <c r="BL3334" t="s">
        <v>6912</v>
      </c>
      <c r="BM3334" s="4">
        <v>43282.782638888886</v>
      </c>
      <c r="BN3334" s="4">
        <v>43283.790613425925</v>
      </c>
      <c r="BO3334" s="4">
        <v>43283.790613425925</v>
      </c>
      <c r="BP3334" t="s">
        <v>92</v>
      </c>
      <c r="BQ3334" t="s">
        <v>93</v>
      </c>
      <c r="BR3334" t="s">
        <v>94</v>
      </c>
    </row>
    <row r="3335" spans="1:70" x14ac:dyDescent="0.3">
      <c r="A3335" t="str">
        <f>"202377B0100"</f>
        <v>202377B0100</v>
      </c>
      <c r="B3335" t="s">
        <v>6913</v>
      </c>
      <c r="C3335">
        <v>20</v>
      </c>
      <c r="D3335" t="s">
        <v>88</v>
      </c>
      <c r="E3335">
        <v>553</v>
      </c>
      <c r="F3335" t="s">
        <v>6839</v>
      </c>
      <c r="G3335">
        <v>2377</v>
      </c>
      <c r="H3335">
        <v>1</v>
      </c>
      <c r="I3335" t="s">
        <v>90</v>
      </c>
      <c r="J3335">
        <v>0</v>
      </c>
      <c r="K3335">
        <v>2</v>
      </c>
      <c r="L3335">
        <v>5</v>
      </c>
      <c r="M3335">
        <v>162</v>
      </c>
      <c r="N3335">
        <v>333</v>
      </c>
      <c r="O3335">
        <v>1</v>
      </c>
      <c r="P3335">
        <v>333</v>
      </c>
      <c r="Q3335">
        <v>3</v>
      </c>
      <c r="R3335">
        <v>8</v>
      </c>
      <c r="S3335">
        <v>53</v>
      </c>
      <c r="T3335">
        <v>28</v>
      </c>
      <c r="U3335">
        <v>5</v>
      </c>
      <c r="V3335">
        <v>6</v>
      </c>
      <c r="W3335">
        <v>44</v>
      </c>
      <c r="X3335">
        <v>11</v>
      </c>
      <c r="Y3335">
        <v>43</v>
      </c>
      <c r="Z3335">
        <v>3</v>
      </c>
      <c r="AA3335">
        <v>1</v>
      </c>
      <c r="AC3335">
        <v>0</v>
      </c>
      <c r="AD3335">
        <v>0</v>
      </c>
      <c r="AE3335">
        <v>0</v>
      </c>
      <c r="AF3335">
        <v>0</v>
      </c>
      <c r="AK3335">
        <v>1</v>
      </c>
      <c r="AL3335">
        <v>0</v>
      </c>
      <c r="AM3335">
        <v>0</v>
      </c>
      <c r="AN3335">
        <v>0</v>
      </c>
      <c r="AZ3335">
        <v>8</v>
      </c>
      <c r="BA3335">
        <v>11</v>
      </c>
      <c r="BB3335">
        <v>78</v>
      </c>
      <c r="BC3335">
        <v>0</v>
      </c>
      <c r="BD3335">
        <v>30</v>
      </c>
      <c r="BE3335">
        <v>333</v>
      </c>
      <c r="BF3335">
        <v>333</v>
      </c>
      <c r="BG3335">
        <v>470</v>
      </c>
      <c r="BJ3335">
        <v>1</v>
      </c>
      <c r="BL3335" t="s">
        <v>6914</v>
      </c>
      <c r="BM3335" s="4">
        <v>43283.134722222225</v>
      </c>
      <c r="BN3335" s="4">
        <v>43283.140034722222</v>
      </c>
      <c r="BO3335" s="4">
        <v>43283.140034722222</v>
      </c>
      <c r="BP3335" t="s">
        <v>92</v>
      </c>
      <c r="BQ3335" t="s">
        <v>93</v>
      </c>
      <c r="BR3335" t="s">
        <v>94</v>
      </c>
    </row>
    <row r="3336" spans="1:70" x14ac:dyDescent="0.3">
      <c r="A3336" t="str">
        <f>"202378B0100"</f>
        <v>202378B0100</v>
      </c>
      <c r="B3336" t="s">
        <v>6915</v>
      </c>
      <c r="C3336">
        <v>20</v>
      </c>
      <c r="D3336" t="s">
        <v>88</v>
      </c>
      <c r="E3336">
        <v>553</v>
      </c>
      <c r="F3336" t="s">
        <v>6839</v>
      </c>
      <c r="G3336">
        <v>2378</v>
      </c>
      <c r="H3336">
        <v>1</v>
      </c>
      <c r="I3336" t="s">
        <v>90</v>
      </c>
      <c r="J3336">
        <v>0</v>
      </c>
      <c r="K3336">
        <v>2</v>
      </c>
      <c r="L3336">
        <v>5</v>
      </c>
      <c r="M3336">
        <v>62</v>
      </c>
      <c r="N3336">
        <v>95</v>
      </c>
      <c r="O3336">
        <v>2</v>
      </c>
      <c r="P3336">
        <v>95</v>
      </c>
      <c r="Q3336">
        <v>0</v>
      </c>
      <c r="R3336">
        <v>17</v>
      </c>
      <c r="S3336">
        <v>10</v>
      </c>
      <c r="T3336">
        <v>0</v>
      </c>
      <c r="U3336">
        <v>5</v>
      </c>
      <c r="V3336">
        <v>0</v>
      </c>
      <c r="W3336">
        <v>1</v>
      </c>
      <c r="X3336">
        <v>5</v>
      </c>
      <c r="Y3336">
        <v>42</v>
      </c>
      <c r="Z3336">
        <v>0</v>
      </c>
      <c r="AA3336">
        <v>0</v>
      </c>
      <c r="AC3336">
        <v>0</v>
      </c>
      <c r="AD3336">
        <v>0</v>
      </c>
      <c r="AE3336">
        <v>0</v>
      </c>
      <c r="AF3336">
        <v>0</v>
      </c>
      <c r="AK3336">
        <v>3</v>
      </c>
      <c r="AL3336">
        <v>0</v>
      </c>
      <c r="AM3336">
        <v>0</v>
      </c>
      <c r="AN3336">
        <v>0</v>
      </c>
      <c r="AZ3336">
        <v>4</v>
      </c>
      <c r="BA3336">
        <v>6</v>
      </c>
      <c r="BB3336">
        <v>1</v>
      </c>
      <c r="BC3336">
        <v>0</v>
      </c>
      <c r="BD3336">
        <v>1</v>
      </c>
      <c r="BE3336">
        <v>95</v>
      </c>
      <c r="BF3336">
        <v>95</v>
      </c>
      <c r="BG3336">
        <v>144</v>
      </c>
      <c r="BJ3336">
        <v>1</v>
      </c>
      <c r="BL3336" t="s">
        <v>6916</v>
      </c>
      <c r="BM3336" s="4">
        <v>43283.066666666666</v>
      </c>
      <c r="BN3336" s="4">
        <v>43283.072083333333</v>
      </c>
      <c r="BO3336" s="4">
        <v>43283.072083333333</v>
      </c>
      <c r="BP3336" t="s">
        <v>92</v>
      </c>
      <c r="BQ3336" t="s">
        <v>93</v>
      </c>
      <c r="BR3336" t="s">
        <v>94</v>
      </c>
    </row>
    <row r="3337" spans="1:70" x14ac:dyDescent="0.3">
      <c r="A3337" t="str">
        <f>"202379B0100"</f>
        <v>202379B0100</v>
      </c>
      <c r="B3337" t="s">
        <v>6917</v>
      </c>
      <c r="C3337">
        <v>20</v>
      </c>
      <c r="D3337" t="s">
        <v>88</v>
      </c>
      <c r="E3337">
        <v>553</v>
      </c>
      <c r="F3337" t="s">
        <v>6839</v>
      </c>
      <c r="G3337">
        <v>2379</v>
      </c>
      <c r="H3337">
        <v>1</v>
      </c>
      <c r="I3337" t="s">
        <v>90</v>
      </c>
      <c r="J3337">
        <v>0</v>
      </c>
      <c r="K3337">
        <v>2</v>
      </c>
      <c r="L3337">
        <v>5</v>
      </c>
      <c r="M3337">
        <v>98</v>
      </c>
      <c r="N3337">
        <v>216</v>
      </c>
      <c r="O3337">
        <v>16</v>
      </c>
      <c r="P3337">
        <v>216</v>
      </c>
      <c r="Q3337">
        <v>0</v>
      </c>
      <c r="R3337">
        <v>4</v>
      </c>
      <c r="S3337">
        <v>12</v>
      </c>
      <c r="T3337">
        <v>35</v>
      </c>
      <c r="U3337">
        <v>2</v>
      </c>
      <c r="V3337">
        <v>1</v>
      </c>
      <c r="W3337">
        <v>4</v>
      </c>
      <c r="X3337">
        <v>3</v>
      </c>
      <c r="Y3337">
        <v>36</v>
      </c>
      <c r="Z3337">
        <v>1</v>
      </c>
      <c r="AA3337">
        <v>1</v>
      </c>
      <c r="AC3337">
        <v>0</v>
      </c>
      <c r="AD3337">
        <v>0</v>
      </c>
      <c r="AE3337">
        <v>0</v>
      </c>
      <c r="AF3337">
        <v>0</v>
      </c>
      <c r="AK3337">
        <v>4</v>
      </c>
      <c r="AL3337">
        <v>0</v>
      </c>
      <c r="AM3337">
        <v>0</v>
      </c>
      <c r="AN3337">
        <v>0</v>
      </c>
      <c r="AZ3337">
        <v>0</v>
      </c>
      <c r="BA3337">
        <v>2</v>
      </c>
      <c r="BB3337">
        <v>111</v>
      </c>
      <c r="BC3337">
        <v>0</v>
      </c>
      <c r="BD3337">
        <v>10</v>
      </c>
      <c r="BE3337" t="s">
        <v>105</v>
      </c>
      <c r="BF3337">
        <v>226</v>
      </c>
      <c r="BG3337">
        <v>299</v>
      </c>
      <c r="BJ3337">
        <v>1</v>
      </c>
      <c r="BL3337" t="s">
        <v>6918</v>
      </c>
      <c r="BM3337" s="4">
        <v>43283.113194444442</v>
      </c>
      <c r="BN3337" s="4">
        <v>43283.136041666665</v>
      </c>
      <c r="BO3337" s="4">
        <v>43283.136041666665</v>
      </c>
      <c r="BP3337" t="s">
        <v>92</v>
      </c>
      <c r="BQ3337" t="s">
        <v>93</v>
      </c>
      <c r="BR3337" t="s">
        <v>94</v>
      </c>
    </row>
    <row r="3338" spans="1:70" x14ac:dyDescent="0.3">
      <c r="A3338" t="str">
        <f>"202379E0100"</f>
        <v>202379E0100</v>
      </c>
      <c r="B3338" s="2" t="s">
        <v>6919</v>
      </c>
      <c r="C3338">
        <v>20</v>
      </c>
      <c r="D3338" t="s">
        <v>88</v>
      </c>
      <c r="E3338">
        <v>553</v>
      </c>
      <c r="F3338" t="s">
        <v>6839</v>
      </c>
      <c r="G3338">
        <v>2379</v>
      </c>
      <c r="H3338">
        <v>1</v>
      </c>
      <c r="I3338" t="s">
        <v>156</v>
      </c>
      <c r="J3338">
        <v>0</v>
      </c>
      <c r="K3338">
        <v>2</v>
      </c>
      <c r="L3338">
        <v>5</v>
      </c>
      <c r="M3338">
        <v>108</v>
      </c>
      <c r="N3338">
        <v>238</v>
      </c>
      <c r="O3338">
        <v>12</v>
      </c>
      <c r="P3338">
        <v>238</v>
      </c>
      <c r="Q3338">
        <v>2</v>
      </c>
      <c r="R3338">
        <v>6</v>
      </c>
      <c r="S3338">
        <v>26</v>
      </c>
      <c r="T3338">
        <v>66</v>
      </c>
      <c r="U3338">
        <v>2</v>
      </c>
      <c r="V3338">
        <v>0</v>
      </c>
      <c r="W3338">
        <v>13</v>
      </c>
      <c r="X3338">
        <v>3</v>
      </c>
      <c r="Y3338">
        <v>65</v>
      </c>
      <c r="Z3338">
        <v>0</v>
      </c>
      <c r="AA3338">
        <v>1</v>
      </c>
      <c r="AC3338">
        <v>0</v>
      </c>
      <c r="AD3338">
        <v>0</v>
      </c>
      <c r="AE3338">
        <v>0</v>
      </c>
      <c r="AF3338">
        <v>0</v>
      </c>
      <c r="AK3338">
        <v>0</v>
      </c>
      <c r="AL3338">
        <v>0</v>
      </c>
      <c r="AM3338">
        <v>0</v>
      </c>
      <c r="AN3338">
        <v>0</v>
      </c>
      <c r="AZ3338">
        <v>15</v>
      </c>
      <c r="BA3338">
        <v>0</v>
      </c>
      <c r="BB3338">
        <v>29</v>
      </c>
      <c r="BC3338">
        <v>0</v>
      </c>
      <c r="BD3338">
        <v>10</v>
      </c>
      <c r="BE3338" t="s">
        <v>105</v>
      </c>
      <c r="BF3338">
        <v>238</v>
      </c>
      <c r="BG3338">
        <v>321</v>
      </c>
      <c r="BJ3338">
        <v>1</v>
      </c>
      <c r="BL3338" t="s">
        <v>6920</v>
      </c>
      <c r="BM3338" s="4">
        <v>43283.114583333336</v>
      </c>
      <c r="BN3338" s="4">
        <v>43283.120856481481</v>
      </c>
      <c r="BO3338" s="4">
        <v>43283.120856481481</v>
      </c>
      <c r="BP3338" t="s">
        <v>92</v>
      </c>
      <c r="BQ3338" t="s">
        <v>93</v>
      </c>
      <c r="BR3338" t="s">
        <v>94</v>
      </c>
    </row>
    <row r="3339" spans="1:70" x14ac:dyDescent="0.3">
      <c r="A3339" t="str">
        <f>"202380B0100"</f>
        <v>202380B0100</v>
      </c>
      <c r="B3339" t="s">
        <v>6921</v>
      </c>
      <c r="C3339">
        <v>20</v>
      </c>
      <c r="D3339" t="s">
        <v>88</v>
      </c>
      <c r="E3339">
        <v>553</v>
      </c>
      <c r="F3339" t="s">
        <v>6839</v>
      </c>
      <c r="G3339">
        <v>2380</v>
      </c>
      <c r="H3339">
        <v>1</v>
      </c>
      <c r="I3339" t="s">
        <v>90</v>
      </c>
      <c r="J3339">
        <v>0</v>
      </c>
      <c r="K3339">
        <v>2</v>
      </c>
      <c r="L3339">
        <v>5</v>
      </c>
      <c r="M3339">
        <v>266</v>
      </c>
      <c r="N3339">
        <v>481</v>
      </c>
      <c r="O3339">
        <v>11</v>
      </c>
      <c r="P3339">
        <v>483</v>
      </c>
      <c r="Q3339">
        <v>4</v>
      </c>
      <c r="R3339">
        <v>41</v>
      </c>
      <c r="S3339">
        <v>63</v>
      </c>
      <c r="T3339">
        <v>111</v>
      </c>
      <c r="U3339">
        <v>10</v>
      </c>
      <c r="V3339">
        <v>4</v>
      </c>
      <c r="W3339">
        <v>30</v>
      </c>
      <c r="X3339">
        <v>15</v>
      </c>
      <c r="Y3339">
        <v>106</v>
      </c>
      <c r="Z3339">
        <v>7</v>
      </c>
      <c r="AA3339">
        <v>0</v>
      </c>
      <c r="AC3339">
        <v>0</v>
      </c>
      <c r="AD3339">
        <v>0</v>
      </c>
      <c r="AE3339">
        <v>0</v>
      </c>
      <c r="AF3339">
        <v>0</v>
      </c>
      <c r="AK3339">
        <v>1</v>
      </c>
      <c r="AL3339">
        <v>3</v>
      </c>
      <c r="AM3339">
        <v>0</v>
      </c>
      <c r="AN3339">
        <v>2</v>
      </c>
      <c r="AZ3339">
        <v>10</v>
      </c>
      <c r="BA3339">
        <v>3</v>
      </c>
      <c r="BB3339">
        <v>44</v>
      </c>
      <c r="BC3339">
        <v>0</v>
      </c>
      <c r="BD3339">
        <v>29</v>
      </c>
      <c r="BE3339">
        <v>483</v>
      </c>
      <c r="BF3339">
        <v>483</v>
      </c>
      <c r="BG3339">
        <v>724</v>
      </c>
      <c r="BJ3339">
        <v>1</v>
      </c>
      <c r="BL3339" t="s">
        <v>6922</v>
      </c>
      <c r="BM3339" s="4">
        <v>43283.12777777778</v>
      </c>
      <c r="BN3339" s="4">
        <v>43283.131516203706</v>
      </c>
      <c r="BO3339" s="4">
        <v>43283.131516203706</v>
      </c>
      <c r="BP3339" t="s">
        <v>92</v>
      </c>
      <c r="BQ3339" t="s">
        <v>93</v>
      </c>
      <c r="BR3339" t="s">
        <v>94</v>
      </c>
    </row>
    <row r="3340" spans="1:70" x14ac:dyDescent="0.3">
      <c r="A3340" t="str">
        <f>"202380E0100"</f>
        <v>202380E0100</v>
      </c>
      <c r="B3340" s="2" t="s">
        <v>6923</v>
      </c>
      <c r="C3340">
        <v>20</v>
      </c>
      <c r="D3340" t="s">
        <v>88</v>
      </c>
      <c r="E3340">
        <v>553</v>
      </c>
      <c r="F3340" t="s">
        <v>6839</v>
      </c>
      <c r="G3340">
        <v>2380</v>
      </c>
      <c r="H3340">
        <v>1</v>
      </c>
      <c r="I3340" t="s">
        <v>156</v>
      </c>
      <c r="J3340">
        <v>0</v>
      </c>
      <c r="K3340">
        <v>2</v>
      </c>
      <c r="L3340">
        <v>5</v>
      </c>
      <c r="M3340">
        <v>207</v>
      </c>
      <c r="N3340">
        <v>351</v>
      </c>
      <c r="O3340">
        <v>3</v>
      </c>
      <c r="P3340">
        <v>351</v>
      </c>
      <c r="Q3340">
        <v>8</v>
      </c>
      <c r="R3340">
        <v>23</v>
      </c>
      <c r="S3340">
        <v>58</v>
      </c>
      <c r="T3340">
        <v>92</v>
      </c>
      <c r="U3340">
        <v>3</v>
      </c>
      <c r="V3340">
        <v>8</v>
      </c>
      <c r="W3340">
        <v>9</v>
      </c>
      <c r="X3340">
        <v>17</v>
      </c>
      <c r="Y3340">
        <v>80</v>
      </c>
      <c r="Z3340">
        <v>4</v>
      </c>
      <c r="AA3340">
        <v>1</v>
      </c>
      <c r="AC3340">
        <v>0</v>
      </c>
      <c r="AD3340">
        <v>0</v>
      </c>
      <c r="AE3340">
        <v>0</v>
      </c>
      <c r="AF3340">
        <v>0</v>
      </c>
      <c r="AK3340">
        <v>1</v>
      </c>
      <c r="AL3340">
        <v>1</v>
      </c>
      <c r="AM3340">
        <v>0</v>
      </c>
      <c r="AN3340">
        <v>0</v>
      </c>
      <c r="AZ3340">
        <v>2</v>
      </c>
      <c r="BA3340">
        <v>0</v>
      </c>
      <c r="BB3340">
        <v>28</v>
      </c>
      <c r="BC3340">
        <v>0</v>
      </c>
      <c r="BD3340">
        <v>16</v>
      </c>
      <c r="BE3340">
        <v>351</v>
      </c>
      <c r="BF3340">
        <v>351</v>
      </c>
      <c r="BG3340">
        <v>533</v>
      </c>
      <c r="BJ3340">
        <v>1</v>
      </c>
      <c r="BL3340" s="2" t="s">
        <v>6924</v>
      </c>
      <c r="BM3340" s="4">
        <v>43283.06527777778</v>
      </c>
      <c r="BN3340" s="4">
        <v>43283.06863425926</v>
      </c>
      <c r="BO3340" s="4">
        <v>43283.06863425926</v>
      </c>
      <c r="BP3340" t="s">
        <v>92</v>
      </c>
      <c r="BQ3340" t="s">
        <v>93</v>
      </c>
      <c r="BR3340" t="s">
        <v>94</v>
      </c>
    </row>
    <row r="3341" spans="1:70" x14ac:dyDescent="0.3">
      <c r="A3341" t="str">
        <f>"202381B0100"</f>
        <v>202381B0100</v>
      </c>
      <c r="B3341" t="s">
        <v>6925</v>
      </c>
      <c r="C3341">
        <v>20</v>
      </c>
      <c r="D3341" t="s">
        <v>88</v>
      </c>
      <c r="E3341">
        <v>553</v>
      </c>
      <c r="F3341" t="s">
        <v>6839</v>
      </c>
      <c r="G3341">
        <v>2381</v>
      </c>
      <c r="H3341">
        <v>1</v>
      </c>
      <c r="I3341" t="s">
        <v>90</v>
      </c>
      <c r="J3341">
        <v>0</v>
      </c>
      <c r="K3341">
        <v>2</v>
      </c>
      <c r="L3341">
        <v>5</v>
      </c>
      <c r="M3341">
        <v>234</v>
      </c>
      <c r="N3341">
        <v>621</v>
      </c>
      <c r="O3341">
        <v>0</v>
      </c>
      <c r="P3341">
        <v>387</v>
      </c>
      <c r="Q3341">
        <v>2</v>
      </c>
      <c r="R3341">
        <v>7</v>
      </c>
      <c r="S3341">
        <v>62</v>
      </c>
      <c r="T3341">
        <v>80</v>
      </c>
      <c r="U3341">
        <v>2</v>
      </c>
      <c r="V3341">
        <v>3</v>
      </c>
      <c r="W3341">
        <v>12</v>
      </c>
      <c r="X3341">
        <v>9</v>
      </c>
      <c r="Y3341">
        <v>39</v>
      </c>
      <c r="Z3341">
        <v>0</v>
      </c>
      <c r="AA3341">
        <v>5</v>
      </c>
      <c r="AC3341">
        <v>0</v>
      </c>
      <c r="AD3341">
        <v>0</v>
      </c>
      <c r="AE3341">
        <v>0</v>
      </c>
      <c r="AF3341">
        <v>0</v>
      </c>
      <c r="AK3341">
        <v>0</v>
      </c>
      <c r="AL3341">
        <v>0</v>
      </c>
      <c r="AM3341">
        <v>0</v>
      </c>
      <c r="AN3341">
        <v>0</v>
      </c>
      <c r="AZ3341">
        <v>135</v>
      </c>
      <c r="BA3341">
        <v>1</v>
      </c>
      <c r="BB3341">
        <v>10</v>
      </c>
      <c r="BC3341">
        <v>0</v>
      </c>
      <c r="BD3341">
        <v>20</v>
      </c>
      <c r="BE3341">
        <v>387</v>
      </c>
      <c r="BF3341">
        <v>387</v>
      </c>
      <c r="BG3341">
        <v>597</v>
      </c>
      <c r="BJ3341">
        <v>1</v>
      </c>
      <c r="BL3341" t="s">
        <v>6926</v>
      </c>
      <c r="BM3341" s="4">
        <v>43283.149305555555</v>
      </c>
      <c r="BN3341" s="4">
        <v>43283.160833333335</v>
      </c>
      <c r="BO3341" s="4">
        <v>43283.160833333335</v>
      </c>
      <c r="BP3341" t="s">
        <v>92</v>
      </c>
      <c r="BQ3341" t="s">
        <v>93</v>
      </c>
      <c r="BR3341" t="s">
        <v>94</v>
      </c>
    </row>
    <row r="3342" spans="1:70" x14ac:dyDescent="0.3">
      <c r="A3342" t="str">
        <f>"202381C0100"</f>
        <v>202381C0100</v>
      </c>
      <c r="B3342" t="s">
        <v>6927</v>
      </c>
      <c r="C3342">
        <v>20</v>
      </c>
      <c r="D3342" t="s">
        <v>88</v>
      </c>
      <c r="E3342">
        <v>553</v>
      </c>
      <c r="F3342" t="s">
        <v>6839</v>
      </c>
      <c r="G3342">
        <v>2381</v>
      </c>
      <c r="H3342">
        <v>1</v>
      </c>
      <c r="I3342" t="s">
        <v>98</v>
      </c>
      <c r="J3342">
        <v>0</v>
      </c>
      <c r="K3342">
        <v>2</v>
      </c>
      <c r="L3342">
        <v>5</v>
      </c>
      <c r="M3342">
        <v>227</v>
      </c>
      <c r="N3342">
        <v>393</v>
      </c>
      <c r="O3342">
        <v>0</v>
      </c>
      <c r="P3342">
        <v>393</v>
      </c>
      <c r="Q3342">
        <v>3</v>
      </c>
      <c r="R3342">
        <v>13</v>
      </c>
      <c r="S3342">
        <v>51</v>
      </c>
      <c r="T3342">
        <v>60</v>
      </c>
      <c r="U3342">
        <v>6</v>
      </c>
      <c r="V3342">
        <v>0</v>
      </c>
      <c r="W3342">
        <v>8</v>
      </c>
      <c r="X3342">
        <v>11</v>
      </c>
      <c r="Y3342">
        <v>45</v>
      </c>
      <c r="Z3342">
        <v>2</v>
      </c>
      <c r="AA3342">
        <v>3</v>
      </c>
      <c r="AC3342">
        <v>0</v>
      </c>
      <c r="AD3342">
        <v>0</v>
      </c>
      <c r="AE3342">
        <v>0</v>
      </c>
      <c r="AF3342">
        <v>0</v>
      </c>
      <c r="AK3342">
        <v>0</v>
      </c>
      <c r="AL3342">
        <v>0</v>
      </c>
      <c r="AM3342">
        <v>0</v>
      </c>
      <c r="AN3342">
        <v>0</v>
      </c>
      <c r="AZ3342">
        <v>138</v>
      </c>
      <c r="BA3342">
        <v>0</v>
      </c>
      <c r="BB3342">
        <v>10</v>
      </c>
      <c r="BC3342">
        <v>0</v>
      </c>
      <c r="BD3342">
        <v>44</v>
      </c>
      <c r="BE3342" t="s">
        <v>105</v>
      </c>
      <c r="BF3342">
        <v>394</v>
      </c>
      <c r="BG3342">
        <v>596</v>
      </c>
      <c r="BJ3342">
        <v>1</v>
      </c>
      <c r="BL3342" t="s">
        <v>6928</v>
      </c>
      <c r="BM3342" s="4">
        <v>43283.151388888888</v>
      </c>
      <c r="BN3342" s="4">
        <v>43283.165509259263</v>
      </c>
      <c r="BO3342" s="4">
        <v>43283.165509259263</v>
      </c>
      <c r="BP3342" t="s">
        <v>92</v>
      </c>
      <c r="BQ3342" t="s">
        <v>93</v>
      </c>
      <c r="BR3342" t="s">
        <v>94</v>
      </c>
    </row>
    <row r="3343" spans="1:70" x14ac:dyDescent="0.3">
      <c r="A3343" t="str">
        <f>"202382B0100"</f>
        <v>202382B0100</v>
      </c>
      <c r="B3343" t="s">
        <v>6929</v>
      </c>
      <c r="C3343">
        <v>20</v>
      </c>
      <c r="D3343" t="s">
        <v>88</v>
      </c>
      <c r="E3343">
        <v>553</v>
      </c>
      <c r="F3343" t="s">
        <v>6839</v>
      </c>
      <c r="G3343">
        <v>2382</v>
      </c>
      <c r="H3343">
        <v>1</v>
      </c>
      <c r="I3343" t="s">
        <v>90</v>
      </c>
      <c r="J3343">
        <v>0</v>
      </c>
      <c r="K3343">
        <v>2</v>
      </c>
      <c r="L3343">
        <v>5</v>
      </c>
      <c r="M3343">
        <v>147</v>
      </c>
      <c r="N3343">
        <v>288</v>
      </c>
      <c r="O3343">
        <v>7</v>
      </c>
      <c r="P3343">
        <v>288</v>
      </c>
      <c r="Q3343">
        <v>4</v>
      </c>
      <c r="R3343">
        <v>7</v>
      </c>
      <c r="S3343">
        <v>35</v>
      </c>
      <c r="T3343">
        <v>53</v>
      </c>
      <c r="U3343">
        <v>4</v>
      </c>
      <c r="V3343">
        <v>0</v>
      </c>
      <c r="W3343">
        <v>34</v>
      </c>
      <c r="X3343">
        <v>19</v>
      </c>
      <c r="Y3343">
        <v>46</v>
      </c>
      <c r="Z3343">
        <v>1</v>
      </c>
      <c r="AA3343">
        <v>8</v>
      </c>
      <c r="AC3343">
        <v>0</v>
      </c>
      <c r="AD3343">
        <v>0</v>
      </c>
      <c r="AE3343">
        <v>0</v>
      </c>
      <c r="AF3343">
        <v>0</v>
      </c>
      <c r="AK3343">
        <v>0</v>
      </c>
      <c r="AL3343">
        <v>0</v>
      </c>
      <c r="AM3343">
        <v>0</v>
      </c>
      <c r="AN3343">
        <v>0</v>
      </c>
      <c r="AZ3343">
        <v>44</v>
      </c>
      <c r="BA3343">
        <v>0</v>
      </c>
      <c r="BB3343">
        <v>11</v>
      </c>
      <c r="BC3343" t="s">
        <v>105</v>
      </c>
      <c r="BD3343">
        <v>22</v>
      </c>
      <c r="BE3343">
        <v>288</v>
      </c>
      <c r="BF3343">
        <v>288</v>
      </c>
      <c r="BG3343">
        <v>409</v>
      </c>
      <c r="BI3343" t="s">
        <v>106</v>
      </c>
      <c r="BJ3343">
        <v>1</v>
      </c>
      <c r="BL3343" t="s">
        <v>6930</v>
      </c>
      <c r="BM3343" s="4">
        <v>43283.15</v>
      </c>
      <c r="BN3343" s="4">
        <v>43283.158229166664</v>
      </c>
      <c r="BO3343" s="4">
        <v>43283.158229166664</v>
      </c>
      <c r="BP3343" t="s">
        <v>92</v>
      </c>
      <c r="BQ3343" t="s">
        <v>93</v>
      </c>
      <c r="BR3343" t="s">
        <v>94</v>
      </c>
    </row>
    <row r="3344" spans="1:70" x14ac:dyDescent="0.3">
      <c r="A3344" t="str">
        <f>"202382C0100"</f>
        <v>202382C0100</v>
      </c>
      <c r="B3344" t="s">
        <v>6931</v>
      </c>
      <c r="C3344">
        <v>20</v>
      </c>
      <c r="D3344" t="s">
        <v>88</v>
      </c>
      <c r="E3344">
        <v>553</v>
      </c>
      <c r="F3344" t="s">
        <v>6839</v>
      </c>
      <c r="G3344">
        <v>2382</v>
      </c>
      <c r="H3344">
        <v>1</v>
      </c>
      <c r="I3344" t="s">
        <v>98</v>
      </c>
      <c r="J3344">
        <v>0</v>
      </c>
      <c r="K3344">
        <v>2</v>
      </c>
      <c r="L3344">
        <v>5</v>
      </c>
      <c r="M3344">
        <v>148</v>
      </c>
      <c r="N3344">
        <v>286</v>
      </c>
      <c r="O3344">
        <v>2</v>
      </c>
      <c r="P3344">
        <v>286</v>
      </c>
      <c r="Q3344">
        <v>4</v>
      </c>
      <c r="R3344">
        <v>11</v>
      </c>
      <c r="S3344">
        <v>45</v>
      </c>
      <c r="T3344">
        <v>39</v>
      </c>
      <c r="U3344">
        <v>4</v>
      </c>
      <c r="V3344">
        <v>2</v>
      </c>
      <c r="W3344">
        <v>30</v>
      </c>
      <c r="X3344">
        <v>32</v>
      </c>
      <c r="Y3344">
        <v>37</v>
      </c>
      <c r="Z3344">
        <v>1</v>
      </c>
      <c r="AA3344">
        <v>5</v>
      </c>
      <c r="AC3344">
        <v>0</v>
      </c>
      <c r="AD3344">
        <v>0</v>
      </c>
      <c r="AE3344">
        <v>0</v>
      </c>
      <c r="AF3344">
        <v>0</v>
      </c>
      <c r="AK3344">
        <v>0</v>
      </c>
      <c r="AL3344">
        <v>0</v>
      </c>
      <c r="AM3344">
        <v>0</v>
      </c>
      <c r="AN3344">
        <v>0</v>
      </c>
      <c r="AZ3344">
        <v>47</v>
      </c>
      <c r="BA3344">
        <v>0</v>
      </c>
      <c r="BB3344">
        <v>17</v>
      </c>
      <c r="BC3344">
        <v>0</v>
      </c>
      <c r="BD3344">
        <v>11</v>
      </c>
      <c r="BE3344">
        <v>286</v>
      </c>
      <c r="BF3344">
        <v>285</v>
      </c>
      <c r="BG3344">
        <v>409</v>
      </c>
      <c r="BJ3344">
        <v>1</v>
      </c>
      <c r="BL3344" t="s">
        <v>6932</v>
      </c>
      <c r="BM3344" s="4">
        <v>43283.15</v>
      </c>
      <c r="BN3344" s="4">
        <v>43283.161481481482</v>
      </c>
      <c r="BO3344" s="4">
        <v>43283.161481481482</v>
      </c>
      <c r="BP3344" t="s">
        <v>92</v>
      </c>
      <c r="BQ3344" t="s">
        <v>93</v>
      </c>
      <c r="BR3344" t="s">
        <v>94</v>
      </c>
    </row>
    <row r="3345" spans="1:70" x14ac:dyDescent="0.3">
      <c r="A3345" t="str">
        <f>"202382E0100"</f>
        <v>202382E0100</v>
      </c>
      <c r="B3345" s="2" t="s">
        <v>6933</v>
      </c>
      <c r="C3345">
        <v>20</v>
      </c>
      <c r="D3345" t="s">
        <v>88</v>
      </c>
      <c r="E3345">
        <v>553</v>
      </c>
      <c r="F3345" t="s">
        <v>6839</v>
      </c>
      <c r="G3345">
        <v>2382</v>
      </c>
      <c r="H3345">
        <v>1</v>
      </c>
      <c r="I3345" t="s">
        <v>156</v>
      </c>
      <c r="J3345">
        <v>0</v>
      </c>
      <c r="K3345">
        <v>2</v>
      </c>
      <c r="L3345">
        <v>5</v>
      </c>
      <c r="M3345">
        <v>139</v>
      </c>
      <c r="N3345">
        <v>244</v>
      </c>
      <c r="O3345">
        <v>9</v>
      </c>
      <c r="P3345">
        <v>244</v>
      </c>
      <c r="Q3345">
        <v>0</v>
      </c>
      <c r="R3345">
        <v>2</v>
      </c>
      <c r="S3345">
        <v>47</v>
      </c>
      <c r="T3345">
        <v>20</v>
      </c>
      <c r="U3345">
        <v>5</v>
      </c>
      <c r="V3345">
        <v>5</v>
      </c>
      <c r="W3345">
        <v>22</v>
      </c>
      <c r="X3345">
        <v>5</v>
      </c>
      <c r="Y3345">
        <v>67</v>
      </c>
      <c r="Z3345">
        <v>1</v>
      </c>
      <c r="AA3345">
        <v>4</v>
      </c>
      <c r="AC3345">
        <v>1</v>
      </c>
      <c r="AD3345">
        <v>0</v>
      </c>
      <c r="AE3345">
        <v>0</v>
      </c>
      <c r="AF3345">
        <v>0</v>
      </c>
      <c r="AK3345">
        <v>0</v>
      </c>
      <c r="AL3345">
        <v>0</v>
      </c>
      <c r="AM3345">
        <v>0</v>
      </c>
      <c r="AN3345">
        <v>1</v>
      </c>
      <c r="AZ3345">
        <v>39</v>
      </c>
      <c r="BA3345">
        <v>1</v>
      </c>
      <c r="BB3345">
        <v>11</v>
      </c>
      <c r="BC3345">
        <v>0</v>
      </c>
      <c r="BD3345">
        <v>13</v>
      </c>
      <c r="BE3345">
        <v>244</v>
      </c>
      <c r="BF3345">
        <v>244</v>
      </c>
      <c r="BG3345">
        <v>358</v>
      </c>
      <c r="BJ3345">
        <v>1</v>
      </c>
      <c r="BL3345" t="s">
        <v>6934</v>
      </c>
      <c r="BM3345" s="4">
        <v>43283.134722222225</v>
      </c>
      <c r="BN3345" s="4">
        <v>43283.139594907407</v>
      </c>
      <c r="BO3345" s="4">
        <v>43283.139594907407</v>
      </c>
      <c r="BP3345" t="s">
        <v>92</v>
      </c>
      <c r="BQ3345" t="s">
        <v>93</v>
      </c>
      <c r="BR3345" t="s">
        <v>94</v>
      </c>
    </row>
    <row r="3346" spans="1:70" x14ac:dyDescent="0.3">
      <c r="A3346" t="str">
        <f>"202382E0200"</f>
        <v>202382E0200</v>
      </c>
      <c r="B3346" s="2" t="s">
        <v>6935</v>
      </c>
      <c r="C3346">
        <v>20</v>
      </c>
      <c r="D3346" t="s">
        <v>88</v>
      </c>
      <c r="E3346">
        <v>553</v>
      </c>
      <c r="F3346" t="s">
        <v>6839</v>
      </c>
      <c r="G3346">
        <v>2382</v>
      </c>
      <c r="H3346">
        <v>2</v>
      </c>
      <c r="I3346" t="s">
        <v>156</v>
      </c>
      <c r="J3346">
        <v>0</v>
      </c>
      <c r="K3346">
        <v>2</v>
      </c>
      <c r="L3346">
        <v>5</v>
      </c>
      <c r="M3346">
        <v>184</v>
      </c>
      <c r="N3346">
        <v>177</v>
      </c>
      <c r="O3346">
        <v>7</v>
      </c>
      <c r="P3346">
        <v>177</v>
      </c>
      <c r="Q3346">
        <v>0</v>
      </c>
      <c r="R3346">
        <v>7</v>
      </c>
      <c r="S3346">
        <v>43</v>
      </c>
      <c r="T3346">
        <v>8</v>
      </c>
      <c r="U3346">
        <v>7</v>
      </c>
      <c r="V3346">
        <v>4</v>
      </c>
      <c r="W3346">
        <v>6</v>
      </c>
      <c r="X3346">
        <v>8</v>
      </c>
      <c r="Y3346">
        <v>31</v>
      </c>
      <c r="Z3346">
        <v>0</v>
      </c>
      <c r="AA3346">
        <v>4</v>
      </c>
      <c r="AC3346">
        <v>0</v>
      </c>
      <c r="AD3346">
        <v>0</v>
      </c>
      <c r="AE3346">
        <v>0</v>
      </c>
      <c r="AF3346">
        <v>0</v>
      </c>
      <c r="AK3346">
        <v>0</v>
      </c>
      <c r="AL3346">
        <v>0</v>
      </c>
      <c r="AM3346">
        <v>0</v>
      </c>
      <c r="AN3346">
        <v>0</v>
      </c>
      <c r="AZ3346">
        <v>47</v>
      </c>
      <c r="BA3346">
        <v>0</v>
      </c>
      <c r="BB3346">
        <v>5</v>
      </c>
      <c r="BC3346">
        <v>0</v>
      </c>
      <c r="BD3346">
        <v>7</v>
      </c>
      <c r="BE3346">
        <v>177</v>
      </c>
      <c r="BF3346">
        <v>177</v>
      </c>
      <c r="BG3346">
        <v>336</v>
      </c>
      <c r="BJ3346">
        <v>1</v>
      </c>
      <c r="BL3346" t="s">
        <v>6936</v>
      </c>
      <c r="BM3346" s="4">
        <v>43283.486805555556</v>
      </c>
      <c r="BN3346" s="4">
        <v>43283.490891203706</v>
      </c>
      <c r="BO3346" s="4">
        <v>43283.490891203706</v>
      </c>
      <c r="BP3346" t="s">
        <v>92</v>
      </c>
      <c r="BQ3346" t="s">
        <v>93</v>
      </c>
      <c r="BR3346" t="s">
        <v>94</v>
      </c>
    </row>
    <row r="3347" spans="1:70" x14ac:dyDescent="0.3">
      <c r="A3347" t="str">
        <f>"202383B0100"</f>
        <v>202383B0100</v>
      </c>
      <c r="B3347" t="s">
        <v>6937</v>
      </c>
      <c r="C3347">
        <v>20</v>
      </c>
      <c r="D3347" t="s">
        <v>88</v>
      </c>
      <c r="E3347">
        <v>553</v>
      </c>
      <c r="F3347" t="s">
        <v>6839</v>
      </c>
      <c r="G3347">
        <v>2383</v>
      </c>
      <c r="H3347">
        <v>1</v>
      </c>
      <c r="I3347" t="s">
        <v>90</v>
      </c>
      <c r="J3347">
        <v>0</v>
      </c>
      <c r="K3347">
        <v>2</v>
      </c>
      <c r="L3347">
        <v>5</v>
      </c>
      <c r="BG3347">
        <v>554</v>
      </c>
      <c r="BI3347" t="s">
        <v>365</v>
      </c>
      <c r="BJ3347">
        <v>0</v>
      </c>
      <c r="BL3347" t="s">
        <v>6938</v>
      </c>
      <c r="BM3347" s="4">
        <v>43282.781944444447</v>
      </c>
      <c r="BN3347" s="4">
        <v>43283.790312500001</v>
      </c>
      <c r="BO3347" s="4">
        <v>43283.790312500001</v>
      </c>
      <c r="BP3347" t="s">
        <v>92</v>
      </c>
      <c r="BQ3347" t="s">
        <v>93</v>
      </c>
      <c r="BR3347" t="s">
        <v>94</v>
      </c>
    </row>
    <row r="3348" spans="1:70" x14ac:dyDescent="0.3">
      <c r="A3348" t="str">
        <f>"202383C0100"</f>
        <v>202383C0100</v>
      </c>
      <c r="B3348" t="s">
        <v>6939</v>
      </c>
      <c r="C3348">
        <v>20</v>
      </c>
      <c r="D3348" t="s">
        <v>88</v>
      </c>
      <c r="E3348">
        <v>553</v>
      </c>
      <c r="F3348" t="s">
        <v>6839</v>
      </c>
      <c r="G3348">
        <v>2383</v>
      </c>
      <c r="H3348">
        <v>1</v>
      </c>
      <c r="I3348" t="s">
        <v>98</v>
      </c>
      <c r="J3348">
        <v>0</v>
      </c>
      <c r="K3348">
        <v>2</v>
      </c>
      <c r="L3348">
        <v>5</v>
      </c>
      <c r="BG3348">
        <v>554</v>
      </c>
      <c r="BI3348" t="s">
        <v>365</v>
      </c>
      <c r="BJ3348">
        <v>0</v>
      </c>
      <c r="BL3348" t="s">
        <v>6940</v>
      </c>
      <c r="BM3348" s="4">
        <v>43282.78125</v>
      </c>
      <c r="BN3348" s="4">
        <v>43283.789780092593</v>
      </c>
      <c r="BO3348" s="4">
        <v>43283.789780092593</v>
      </c>
      <c r="BP3348" t="s">
        <v>92</v>
      </c>
      <c r="BQ3348" t="s">
        <v>93</v>
      </c>
      <c r="BR3348" t="s">
        <v>94</v>
      </c>
    </row>
    <row r="3349" spans="1:70" x14ac:dyDescent="0.3">
      <c r="A3349" t="str">
        <f>"202384B0100"</f>
        <v>202384B0100</v>
      </c>
      <c r="B3349" t="s">
        <v>6941</v>
      </c>
      <c r="C3349">
        <v>20</v>
      </c>
      <c r="D3349" t="s">
        <v>88</v>
      </c>
      <c r="E3349">
        <v>553</v>
      </c>
      <c r="F3349" t="s">
        <v>6839</v>
      </c>
      <c r="G3349">
        <v>2384</v>
      </c>
      <c r="H3349">
        <v>1</v>
      </c>
      <c r="I3349" t="s">
        <v>90</v>
      </c>
      <c r="J3349">
        <v>0</v>
      </c>
      <c r="K3349">
        <v>2</v>
      </c>
      <c r="L3349">
        <v>5</v>
      </c>
      <c r="M3349">
        <v>65</v>
      </c>
      <c r="N3349">
        <v>96</v>
      </c>
      <c r="O3349">
        <v>2</v>
      </c>
      <c r="P3349">
        <v>96</v>
      </c>
      <c r="Q3349">
        <v>0</v>
      </c>
      <c r="R3349">
        <v>3</v>
      </c>
      <c r="S3349">
        <v>19</v>
      </c>
      <c r="T3349">
        <v>16</v>
      </c>
      <c r="U3349">
        <v>1</v>
      </c>
      <c r="V3349">
        <v>1</v>
      </c>
      <c r="W3349">
        <v>0</v>
      </c>
      <c r="X3349">
        <v>23</v>
      </c>
      <c r="Y3349">
        <v>4</v>
      </c>
      <c r="Z3349">
        <v>0</v>
      </c>
      <c r="AA3349">
        <v>1</v>
      </c>
      <c r="AC3349">
        <v>0</v>
      </c>
      <c r="AD3349">
        <v>0</v>
      </c>
      <c r="AE3349">
        <v>0</v>
      </c>
      <c r="AF3349">
        <v>0</v>
      </c>
      <c r="AK3349">
        <v>0</v>
      </c>
      <c r="AL3349">
        <v>0</v>
      </c>
      <c r="AM3349">
        <v>0</v>
      </c>
      <c r="AN3349">
        <v>0</v>
      </c>
      <c r="AZ3349">
        <v>1</v>
      </c>
      <c r="BA3349">
        <v>0</v>
      </c>
      <c r="BB3349">
        <v>24</v>
      </c>
      <c r="BC3349">
        <v>0</v>
      </c>
      <c r="BD3349">
        <v>3</v>
      </c>
      <c r="BE3349">
        <v>96</v>
      </c>
      <c r="BF3349">
        <v>96</v>
      </c>
      <c r="BG3349">
        <v>136</v>
      </c>
      <c r="BJ3349">
        <v>1</v>
      </c>
      <c r="BL3349" t="s">
        <v>6942</v>
      </c>
      <c r="BM3349" s="4">
        <v>43283.121527777781</v>
      </c>
      <c r="BN3349" s="4">
        <v>43283.126388888886</v>
      </c>
      <c r="BO3349" s="4">
        <v>43283.126388888886</v>
      </c>
      <c r="BP3349" t="s">
        <v>92</v>
      </c>
      <c r="BQ3349" t="s">
        <v>93</v>
      </c>
      <c r="BR3349" t="s">
        <v>94</v>
      </c>
    </row>
    <row r="3350" spans="1:70" x14ac:dyDescent="0.3">
      <c r="A3350" t="str">
        <f>"202385B0100"</f>
        <v>202385B0100</v>
      </c>
      <c r="B3350" t="s">
        <v>6943</v>
      </c>
      <c r="C3350">
        <v>20</v>
      </c>
      <c r="D3350" t="s">
        <v>88</v>
      </c>
      <c r="E3350">
        <v>553</v>
      </c>
      <c r="F3350" t="s">
        <v>6839</v>
      </c>
      <c r="G3350">
        <v>2385</v>
      </c>
      <c r="H3350">
        <v>1</v>
      </c>
      <c r="I3350" t="s">
        <v>90</v>
      </c>
      <c r="J3350">
        <v>0</v>
      </c>
      <c r="K3350">
        <v>2</v>
      </c>
      <c r="L3350">
        <v>5</v>
      </c>
      <c r="M3350">
        <v>136</v>
      </c>
      <c r="N3350">
        <v>158</v>
      </c>
      <c r="O3350">
        <v>3</v>
      </c>
      <c r="P3350">
        <v>158</v>
      </c>
      <c r="Q3350">
        <v>1</v>
      </c>
      <c r="R3350">
        <v>6</v>
      </c>
      <c r="S3350">
        <v>5</v>
      </c>
      <c r="T3350">
        <v>14</v>
      </c>
      <c r="U3350">
        <v>13</v>
      </c>
      <c r="V3350">
        <v>1</v>
      </c>
      <c r="W3350">
        <v>1</v>
      </c>
      <c r="X3350">
        <v>6</v>
      </c>
      <c r="Y3350">
        <v>94</v>
      </c>
      <c r="Z3350">
        <v>2</v>
      </c>
      <c r="AA3350">
        <v>1</v>
      </c>
      <c r="AC3350">
        <v>0</v>
      </c>
      <c r="AD3350">
        <v>0</v>
      </c>
      <c r="AE3350">
        <v>0</v>
      </c>
      <c r="AF3350">
        <v>0</v>
      </c>
      <c r="AK3350">
        <v>0</v>
      </c>
      <c r="AL3350">
        <v>0</v>
      </c>
      <c r="AM3350">
        <v>0</v>
      </c>
      <c r="AN3350">
        <v>0</v>
      </c>
      <c r="AZ3350">
        <v>7</v>
      </c>
      <c r="BA3350">
        <v>5</v>
      </c>
      <c r="BB3350">
        <v>0</v>
      </c>
      <c r="BC3350">
        <v>0</v>
      </c>
      <c r="BD3350">
        <v>2</v>
      </c>
      <c r="BE3350">
        <v>158</v>
      </c>
      <c r="BF3350">
        <v>158</v>
      </c>
      <c r="BG3350">
        <v>269</v>
      </c>
      <c r="BJ3350">
        <v>1</v>
      </c>
      <c r="BL3350" t="s">
        <v>6944</v>
      </c>
      <c r="BM3350" s="4">
        <v>43283.572222222225</v>
      </c>
      <c r="BN3350" s="4">
        <v>43283.576631944445</v>
      </c>
      <c r="BO3350" s="4">
        <v>43283.576631944445</v>
      </c>
      <c r="BP3350" t="s">
        <v>92</v>
      </c>
      <c r="BQ3350" t="s">
        <v>93</v>
      </c>
      <c r="BR3350" t="s">
        <v>94</v>
      </c>
    </row>
    <row r="3351" spans="1:70" x14ac:dyDescent="0.3">
      <c r="A3351" t="str">
        <f>"202452B0100"</f>
        <v>202452B0100</v>
      </c>
      <c r="B3351" t="s">
        <v>6945</v>
      </c>
      <c r="C3351">
        <v>20</v>
      </c>
      <c r="D3351" t="s">
        <v>88</v>
      </c>
      <c r="E3351">
        <v>553</v>
      </c>
      <c r="F3351" t="s">
        <v>6839</v>
      </c>
      <c r="G3351">
        <v>2452</v>
      </c>
      <c r="H3351">
        <v>1</v>
      </c>
      <c r="I3351" t="s">
        <v>90</v>
      </c>
      <c r="J3351">
        <v>0</v>
      </c>
      <c r="K3351">
        <v>2</v>
      </c>
      <c r="L3351">
        <v>5</v>
      </c>
      <c r="M3351">
        <v>148</v>
      </c>
      <c r="N3351">
        <v>184</v>
      </c>
      <c r="O3351">
        <v>1</v>
      </c>
      <c r="P3351">
        <v>184</v>
      </c>
      <c r="Q3351">
        <v>1</v>
      </c>
      <c r="R3351">
        <v>21</v>
      </c>
      <c r="S3351">
        <v>39</v>
      </c>
      <c r="T3351">
        <v>12</v>
      </c>
      <c r="U3351">
        <v>20</v>
      </c>
      <c r="V3351">
        <v>1</v>
      </c>
      <c r="W3351">
        <v>3</v>
      </c>
      <c r="X3351">
        <v>2</v>
      </c>
      <c r="Y3351">
        <v>51</v>
      </c>
      <c r="Z3351">
        <v>4</v>
      </c>
      <c r="AA3351">
        <v>1</v>
      </c>
      <c r="AC3351">
        <v>0</v>
      </c>
      <c r="AD3351">
        <v>0</v>
      </c>
      <c r="AE3351">
        <v>0</v>
      </c>
      <c r="AF3351">
        <v>0</v>
      </c>
      <c r="AK3351">
        <v>2</v>
      </c>
      <c r="AL3351">
        <v>0</v>
      </c>
      <c r="AM3351">
        <v>0</v>
      </c>
      <c r="AN3351">
        <v>0</v>
      </c>
      <c r="AZ3351">
        <v>8</v>
      </c>
      <c r="BA3351">
        <v>3</v>
      </c>
      <c r="BB3351">
        <v>6</v>
      </c>
      <c r="BC3351">
        <v>0</v>
      </c>
      <c r="BD3351">
        <v>9</v>
      </c>
      <c r="BE3351">
        <v>184</v>
      </c>
      <c r="BF3351">
        <v>183</v>
      </c>
      <c r="BG3351">
        <v>307</v>
      </c>
      <c r="BJ3351">
        <v>1</v>
      </c>
      <c r="BL3351" t="s">
        <v>6946</v>
      </c>
      <c r="BM3351" s="4">
        <v>43283.488194444442</v>
      </c>
      <c r="BN3351" s="4">
        <v>43283.497048611112</v>
      </c>
      <c r="BO3351" s="4">
        <v>43283.497048611112</v>
      </c>
      <c r="BP3351" t="s">
        <v>92</v>
      </c>
      <c r="BQ3351" t="s">
        <v>93</v>
      </c>
      <c r="BR3351" t="s">
        <v>94</v>
      </c>
    </row>
    <row r="3352" spans="1:70" x14ac:dyDescent="0.3">
      <c r="A3352" t="str">
        <f>"202391B0100"</f>
        <v>202391B0100</v>
      </c>
      <c r="B3352" t="s">
        <v>6947</v>
      </c>
      <c r="C3352">
        <v>20</v>
      </c>
      <c r="D3352" t="s">
        <v>88</v>
      </c>
      <c r="E3352">
        <v>555</v>
      </c>
      <c r="F3352" t="s">
        <v>6948</v>
      </c>
      <c r="G3352">
        <v>2391</v>
      </c>
      <c r="H3352">
        <v>1</v>
      </c>
      <c r="I3352" t="s">
        <v>90</v>
      </c>
      <c r="J3352">
        <v>0</v>
      </c>
      <c r="K3352">
        <v>2</v>
      </c>
      <c r="L3352">
        <v>5</v>
      </c>
      <c r="M3352">
        <v>130</v>
      </c>
      <c r="N3352">
        <v>306</v>
      </c>
      <c r="O3352">
        <v>2</v>
      </c>
      <c r="P3352">
        <v>306</v>
      </c>
      <c r="Q3352">
        <v>1</v>
      </c>
      <c r="R3352">
        <v>187</v>
      </c>
      <c r="S3352">
        <v>76</v>
      </c>
      <c r="T3352" t="s">
        <v>105</v>
      </c>
      <c r="U3352">
        <v>1</v>
      </c>
      <c r="V3352">
        <v>2</v>
      </c>
      <c r="X3352">
        <v>2</v>
      </c>
      <c r="Y3352">
        <v>19</v>
      </c>
      <c r="Z3352" t="s">
        <v>105</v>
      </c>
      <c r="AA3352" t="s">
        <v>105</v>
      </c>
      <c r="AB3352">
        <v>3</v>
      </c>
      <c r="AC3352" t="s">
        <v>105</v>
      </c>
      <c r="AD3352">
        <v>1</v>
      </c>
      <c r="AE3352" t="s">
        <v>105</v>
      </c>
      <c r="AF3352" t="s">
        <v>105</v>
      </c>
      <c r="AK3352" t="s">
        <v>105</v>
      </c>
      <c r="AL3352">
        <v>1</v>
      </c>
      <c r="AM3352" t="s">
        <v>105</v>
      </c>
      <c r="AN3352" t="s">
        <v>105</v>
      </c>
      <c r="AU3352">
        <v>1</v>
      </c>
      <c r="BC3352" t="s">
        <v>105</v>
      </c>
      <c r="BD3352">
        <v>12</v>
      </c>
      <c r="BE3352">
        <v>306</v>
      </c>
      <c r="BF3352">
        <v>306</v>
      </c>
      <c r="BG3352">
        <v>414</v>
      </c>
      <c r="BI3352" t="s">
        <v>106</v>
      </c>
      <c r="BJ3352">
        <v>1</v>
      </c>
      <c r="BL3352" t="s">
        <v>6949</v>
      </c>
      <c r="BM3352" s="4">
        <v>43283.297222222223</v>
      </c>
      <c r="BN3352" s="4">
        <v>43283.362384259257</v>
      </c>
      <c r="BO3352" s="4">
        <v>43283.362384259257</v>
      </c>
      <c r="BP3352" t="s">
        <v>92</v>
      </c>
      <c r="BQ3352" t="s">
        <v>93</v>
      </c>
      <c r="BR3352" t="s">
        <v>94</v>
      </c>
    </row>
    <row r="3353" spans="1:70" x14ac:dyDescent="0.3">
      <c r="A3353" t="str">
        <f>"202391C0100"</f>
        <v>202391C0100</v>
      </c>
      <c r="B3353" t="s">
        <v>6950</v>
      </c>
      <c r="C3353">
        <v>20</v>
      </c>
      <c r="D3353" t="s">
        <v>88</v>
      </c>
      <c r="E3353">
        <v>555</v>
      </c>
      <c r="F3353" t="s">
        <v>6948</v>
      </c>
      <c r="G3353">
        <v>2391</v>
      </c>
      <c r="H3353">
        <v>1</v>
      </c>
      <c r="I3353" t="s">
        <v>98</v>
      </c>
      <c r="J3353">
        <v>0</v>
      </c>
      <c r="K3353">
        <v>2</v>
      </c>
      <c r="L3353">
        <v>5</v>
      </c>
      <c r="M3353">
        <v>120</v>
      </c>
      <c r="N3353">
        <v>435</v>
      </c>
      <c r="O3353">
        <v>5</v>
      </c>
      <c r="P3353" t="s">
        <v>105</v>
      </c>
      <c r="Q3353">
        <v>2</v>
      </c>
      <c r="R3353">
        <v>186</v>
      </c>
      <c r="S3353">
        <v>60</v>
      </c>
      <c r="T3353">
        <v>1</v>
      </c>
      <c r="U3353">
        <v>3</v>
      </c>
      <c r="V3353" t="s">
        <v>105</v>
      </c>
      <c r="X3353">
        <v>1</v>
      </c>
      <c r="Y3353">
        <v>36</v>
      </c>
      <c r="Z3353">
        <v>1</v>
      </c>
      <c r="AA3353" t="s">
        <v>105</v>
      </c>
      <c r="AB3353">
        <v>6</v>
      </c>
      <c r="AC3353" t="s">
        <v>105</v>
      </c>
      <c r="AD3353">
        <v>1</v>
      </c>
      <c r="AE3353" t="s">
        <v>105</v>
      </c>
      <c r="AF3353" t="s">
        <v>105</v>
      </c>
      <c r="AK3353" t="s">
        <v>105</v>
      </c>
      <c r="AL3353">
        <v>1</v>
      </c>
      <c r="AM3353" t="s">
        <v>105</v>
      </c>
      <c r="AN3353" t="s">
        <v>105</v>
      </c>
      <c r="AU3353">
        <v>2</v>
      </c>
      <c r="BC3353" t="s">
        <v>105</v>
      </c>
      <c r="BD3353">
        <v>14</v>
      </c>
      <c r="BE3353" t="s">
        <v>105</v>
      </c>
      <c r="BF3353">
        <v>314</v>
      </c>
      <c r="BG3353">
        <v>413</v>
      </c>
      <c r="BI3353" t="s">
        <v>106</v>
      </c>
      <c r="BJ3353">
        <v>1</v>
      </c>
      <c r="BL3353" t="s">
        <v>6951</v>
      </c>
      <c r="BM3353" s="4">
        <v>43283.297222222223</v>
      </c>
      <c r="BN3353" s="4">
        <v>43283.363263888888</v>
      </c>
      <c r="BO3353" s="4">
        <v>43283.363263888888</v>
      </c>
      <c r="BP3353" t="s">
        <v>92</v>
      </c>
      <c r="BQ3353" t="s">
        <v>93</v>
      </c>
      <c r="BR3353" t="s">
        <v>94</v>
      </c>
    </row>
    <row r="3354" spans="1:70" x14ac:dyDescent="0.3">
      <c r="A3354" t="str">
        <f>"202391E0100"</f>
        <v>202391E0100</v>
      </c>
      <c r="B3354" s="2" t="s">
        <v>6952</v>
      </c>
      <c r="C3354">
        <v>20</v>
      </c>
      <c r="D3354" t="s">
        <v>88</v>
      </c>
      <c r="E3354">
        <v>555</v>
      </c>
      <c r="F3354" t="s">
        <v>6948</v>
      </c>
      <c r="G3354">
        <v>2391</v>
      </c>
      <c r="H3354">
        <v>1</v>
      </c>
      <c r="I3354" t="s">
        <v>156</v>
      </c>
      <c r="J3354">
        <v>0</v>
      </c>
      <c r="K3354">
        <v>2</v>
      </c>
      <c r="L3354">
        <v>5</v>
      </c>
      <c r="M3354">
        <v>141</v>
      </c>
      <c r="N3354">
        <v>402</v>
      </c>
      <c r="O3354">
        <v>7</v>
      </c>
      <c r="P3354">
        <v>402</v>
      </c>
      <c r="Q3354">
        <v>3</v>
      </c>
      <c r="R3354">
        <v>113</v>
      </c>
      <c r="S3354">
        <v>176</v>
      </c>
      <c r="T3354" t="s">
        <v>105</v>
      </c>
      <c r="U3354">
        <v>5</v>
      </c>
      <c r="V3354">
        <v>2</v>
      </c>
      <c r="X3354">
        <v>1</v>
      </c>
      <c r="Y3354">
        <v>64</v>
      </c>
      <c r="Z3354">
        <v>1</v>
      </c>
      <c r="AA3354">
        <v>1</v>
      </c>
      <c r="AB3354">
        <v>6</v>
      </c>
      <c r="AC3354">
        <v>4</v>
      </c>
      <c r="AD3354">
        <v>1</v>
      </c>
      <c r="AE3354" t="s">
        <v>105</v>
      </c>
      <c r="AF3354">
        <v>2</v>
      </c>
      <c r="AK3354" t="s">
        <v>105</v>
      </c>
      <c r="AL3354" t="s">
        <v>105</v>
      </c>
      <c r="AM3354" t="s">
        <v>105</v>
      </c>
      <c r="AN3354">
        <v>1</v>
      </c>
      <c r="AU3354" t="s">
        <v>105</v>
      </c>
      <c r="BC3354" t="s">
        <v>105</v>
      </c>
      <c r="BD3354">
        <v>22</v>
      </c>
      <c r="BE3354">
        <v>402</v>
      </c>
      <c r="BF3354">
        <v>402</v>
      </c>
      <c r="BG3354">
        <v>521</v>
      </c>
      <c r="BI3354" t="s">
        <v>106</v>
      </c>
      <c r="BJ3354">
        <v>1</v>
      </c>
      <c r="BL3354" t="s">
        <v>6953</v>
      </c>
      <c r="BM3354" s="4">
        <v>43283.297222222223</v>
      </c>
      <c r="BN3354" s="4">
        <v>43283.359895833331</v>
      </c>
      <c r="BO3354" s="4">
        <v>43283.359895833331</v>
      </c>
      <c r="BP3354" t="s">
        <v>92</v>
      </c>
      <c r="BQ3354" t="s">
        <v>93</v>
      </c>
      <c r="BR3354" t="s">
        <v>94</v>
      </c>
    </row>
    <row r="3355" spans="1:70" x14ac:dyDescent="0.3">
      <c r="A3355" t="str">
        <f>"202392B0100"</f>
        <v>202392B0100</v>
      </c>
      <c r="B3355" t="s">
        <v>6954</v>
      </c>
      <c r="C3355">
        <v>20</v>
      </c>
      <c r="D3355" t="s">
        <v>88</v>
      </c>
      <c r="E3355">
        <v>555</v>
      </c>
      <c r="F3355" t="s">
        <v>6948</v>
      </c>
      <c r="G3355">
        <v>2392</v>
      </c>
      <c r="H3355">
        <v>1</v>
      </c>
      <c r="I3355" t="s">
        <v>90</v>
      </c>
      <c r="J3355">
        <v>0</v>
      </c>
      <c r="K3355">
        <v>2</v>
      </c>
      <c r="L3355">
        <v>5</v>
      </c>
      <c r="M3355">
        <v>192</v>
      </c>
      <c r="N3355">
        <v>529</v>
      </c>
      <c r="O3355" t="s">
        <v>105</v>
      </c>
      <c r="P3355">
        <v>337</v>
      </c>
      <c r="Q3355">
        <v>7</v>
      </c>
      <c r="R3355">
        <v>27</v>
      </c>
      <c r="S3355">
        <v>209</v>
      </c>
      <c r="T3355">
        <v>0</v>
      </c>
      <c r="U3355">
        <v>6</v>
      </c>
      <c r="V3355">
        <v>5</v>
      </c>
      <c r="X3355">
        <v>0</v>
      </c>
      <c r="Y3355">
        <v>38</v>
      </c>
      <c r="Z3355">
        <v>2</v>
      </c>
      <c r="AA3355">
        <v>1</v>
      </c>
      <c r="AB3355">
        <v>23</v>
      </c>
      <c r="AC3355">
        <v>2</v>
      </c>
      <c r="AD3355">
        <v>1</v>
      </c>
      <c r="AE3355">
        <v>0</v>
      </c>
      <c r="AF3355">
        <v>2</v>
      </c>
      <c r="AK3355">
        <v>1</v>
      </c>
      <c r="AL3355">
        <v>0</v>
      </c>
      <c r="AM3355">
        <v>0</v>
      </c>
      <c r="AN3355">
        <v>0</v>
      </c>
      <c r="AU3355">
        <v>1</v>
      </c>
      <c r="BC3355">
        <v>0</v>
      </c>
      <c r="BD3355">
        <v>12</v>
      </c>
      <c r="BE3355">
        <v>337</v>
      </c>
      <c r="BF3355">
        <v>337</v>
      </c>
      <c r="BG3355">
        <v>507</v>
      </c>
      <c r="BJ3355">
        <v>1</v>
      </c>
      <c r="BL3355" t="s">
        <v>6955</v>
      </c>
      <c r="BM3355" s="4">
        <v>43283.297222222223</v>
      </c>
      <c r="BN3355" s="4">
        <v>43283.361145833333</v>
      </c>
      <c r="BO3355" s="4">
        <v>43283.361145833333</v>
      </c>
      <c r="BP3355" t="s">
        <v>92</v>
      </c>
      <c r="BQ3355" t="s">
        <v>93</v>
      </c>
      <c r="BR3355" t="s">
        <v>94</v>
      </c>
    </row>
    <row r="3356" spans="1:70" x14ac:dyDescent="0.3">
      <c r="A3356" t="str">
        <f>"202392C0100"</f>
        <v>202392C0100</v>
      </c>
      <c r="B3356" t="s">
        <v>6956</v>
      </c>
      <c r="C3356">
        <v>20</v>
      </c>
      <c r="D3356" t="s">
        <v>88</v>
      </c>
      <c r="E3356">
        <v>555</v>
      </c>
      <c r="F3356" t="s">
        <v>6948</v>
      </c>
      <c r="G3356">
        <v>2392</v>
      </c>
      <c r="H3356">
        <v>1</v>
      </c>
      <c r="I3356" t="s">
        <v>98</v>
      </c>
      <c r="J3356">
        <v>0</v>
      </c>
      <c r="K3356">
        <v>2</v>
      </c>
      <c r="L3356">
        <v>5</v>
      </c>
      <c r="M3356">
        <v>193</v>
      </c>
      <c r="N3356">
        <v>338</v>
      </c>
      <c r="O3356">
        <v>3</v>
      </c>
      <c r="P3356">
        <v>336</v>
      </c>
      <c r="Q3356">
        <v>7</v>
      </c>
      <c r="R3356">
        <v>14</v>
      </c>
      <c r="S3356">
        <v>214</v>
      </c>
      <c r="T3356">
        <v>1</v>
      </c>
      <c r="U3356">
        <v>4</v>
      </c>
      <c r="V3356">
        <v>4</v>
      </c>
      <c r="X3356">
        <v>1</v>
      </c>
      <c r="Y3356">
        <v>47</v>
      </c>
      <c r="Z3356">
        <v>3</v>
      </c>
      <c r="AA3356">
        <v>0</v>
      </c>
      <c r="AB3356">
        <v>17</v>
      </c>
      <c r="AC3356">
        <v>4</v>
      </c>
      <c r="AD3356">
        <v>4</v>
      </c>
      <c r="AE3356">
        <v>0</v>
      </c>
      <c r="AF3356">
        <v>2</v>
      </c>
      <c r="AK3356">
        <v>5</v>
      </c>
      <c r="AL3356">
        <v>1</v>
      </c>
      <c r="AM3356">
        <v>0</v>
      </c>
      <c r="AN3356">
        <v>1</v>
      </c>
      <c r="AU3356">
        <v>1</v>
      </c>
      <c r="BC3356">
        <v>0</v>
      </c>
      <c r="BD3356">
        <v>6</v>
      </c>
      <c r="BE3356">
        <v>336</v>
      </c>
      <c r="BF3356">
        <v>336</v>
      </c>
      <c r="BG3356">
        <v>507</v>
      </c>
      <c r="BJ3356">
        <v>1</v>
      </c>
      <c r="BL3356" t="s">
        <v>6957</v>
      </c>
      <c r="BM3356" s="4">
        <v>43283.297222222223</v>
      </c>
      <c r="BN3356" s="4">
        <v>43283.365347222221</v>
      </c>
      <c r="BO3356" s="4">
        <v>43283.365347222221</v>
      </c>
      <c r="BP3356" t="s">
        <v>92</v>
      </c>
      <c r="BQ3356" t="s">
        <v>93</v>
      </c>
      <c r="BR3356" t="s">
        <v>94</v>
      </c>
    </row>
    <row r="3357" spans="1:70" x14ac:dyDescent="0.3">
      <c r="A3357" t="str">
        <f>"202394B0100"</f>
        <v>202394B0100</v>
      </c>
      <c r="B3357" t="s">
        <v>6958</v>
      </c>
      <c r="C3357">
        <v>20</v>
      </c>
      <c r="D3357" t="s">
        <v>88</v>
      </c>
      <c r="E3357">
        <v>557</v>
      </c>
      <c r="F3357" t="s">
        <v>6959</v>
      </c>
      <c r="G3357">
        <v>2394</v>
      </c>
      <c r="H3357">
        <v>1</v>
      </c>
      <c r="I3357" t="s">
        <v>90</v>
      </c>
      <c r="J3357">
        <v>0</v>
      </c>
      <c r="K3357">
        <v>1</v>
      </c>
      <c r="L3357">
        <v>5</v>
      </c>
      <c r="M3357">
        <v>170</v>
      </c>
      <c r="N3357">
        <v>488</v>
      </c>
      <c r="O3357">
        <v>1</v>
      </c>
      <c r="P3357">
        <v>21</v>
      </c>
      <c r="Q3357">
        <v>2</v>
      </c>
      <c r="R3357">
        <v>186</v>
      </c>
      <c r="S3357">
        <v>7</v>
      </c>
      <c r="T3357">
        <v>1</v>
      </c>
      <c r="U3357">
        <v>31</v>
      </c>
      <c r="V3357">
        <v>0</v>
      </c>
      <c r="W3357">
        <v>15</v>
      </c>
      <c r="X3357">
        <v>23</v>
      </c>
      <c r="Y3357">
        <v>7</v>
      </c>
      <c r="Z3357">
        <v>4</v>
      </c>
      <c r="AA3357">
        <v>195</v>
      </c>
      <c r="AC3357">
        <v>1</v>
      </c>
      <c r="AD3357">
        <v>1</v>
      </c>
      <c r="AE3357">
        <v>1</v>
      </c>
      <c r="AF3357">
        <v>0</v>
      </c>
      <c r="AG3357">
        <v>1</v>
      </c>
      <c r="AH3357">
        <v>2</v>
      </c>
      <c r="AI3357">
        <v>2</v>
      </c>
      <c r="AJ3357">
        <v>0</v>
      </c>
      <c r="AK3357">
        <v>1</v>
      </c>
      <c r="AL3357">
        <v>1</v>
      </c>
      <c r="AM3357">
        <v>0</v>
      </c>
      <c r="AN3357">
        <v>0</v>
      </c>
      <c r="BC3357">
        <v>0</v>
      </c>
      <c r="BD3357">
        <v>36</v>
      </c>
      <c r="BE3357" t="s">
        <v>105</v>
      </c>
      <c r="BF3357">
        <v>517</v>
      </c>
      <c r="BG3357">
        <v>641</v>
      </c>
      <c r="BJ3357">
        <v>1</v>
      </c>
      <c r="BL3357" t="s">
        <v>6960</v>
      </c>
      <c r="BM3357" s="4">
        <v>43283.068518518521</v>
      </c>
      <c r="BN3357" s="4">
        <v>43283.072175925925</v>
      </c>
      <c r="BO3357" s="4">
        <v>43283.072175925925</v>
      </c>
      <c r="BP3357" t="s">
        <v>92</v>
      </c>
      <c r="BQ3357" t="s">
        <v>93</v>
      </c>
      <c r="BR3357" t="s">
        <v>94</v>
      </c>
    </row>
    <row r="3358" spans="1:70" x14ac:dyDescent="0.3">
      <c r="A3358" t="str">
        <f>"202394C0100"</f>
        <v>202394C0100</v>
      </c>
      <c r="B3358" t="s">
        <v>6961</v>
      </c>
      <c r="C3358">
        <v>20</v>
      </c>
      <c r="D3358" t="s">
        <v>88</v>
      </c>
      <c r="E3358">
        <v>557</v>
      </c>
      <c r="F3358" t="s">
        <v>6959</v>
      </c>
      <c r="G3358">
        <v>2394</v>
      </c>
      <c r="H3358">
        <v>1</v>
      </c>
      <c r="I3358" t="s">
        <v>98</v>
      </c>
      <c r="J3358">
        <v>0</v>
      </c>
      <c r="K3358">
        <v>1</v>
      </c>
      <c r="L3358">
        <v>5</v>
      </c>
      <c r="BG3358">
        <v>641</v>
      </c>
      <c r="BI3358" t="s">
        <v>122</v>
      </c>
      <c r="BJ3358">
        <v>0</v>
      </c>
      <c r="BL3358" t="s">
        <v>6962</v>
      </c>
      <c r="BM3358" s="4">
        <v>43283.279710648145</v>
      </c>
      <c r="BN3358" s="4">
        <v>43283.298067129632</v>
      </c>
      <c r="BO3358" s="4">
        <v>43283.298067129632</v>
      </c>
      <c r="BP3358" t="s">
        <v>92</v>
      </c>
      <c r="BQ3358" t="s">
        <v>93</v>
      </c>
      <c r="BR3358" t="s">
        <v>94</v>
      </c>
    </row>
    <row r="3359" spans="1:70" x14ac:dyDescent="0.3">
      <c r="A3359" t="str">
        <f>"202395B0100"</f>
        <v>202395B0100</v>
      </c>
      <c r="B3359" t="s">
        <v>6963</v>
      </c>
      <c r="C3359">
        <v>20</v>
      </c>
      <c r="D3359" t="s">
        <v>88</v>
      </c>
      <c r="E3359">
        <v>557</v>
      </c>
      <c r="F3359" t="s">
        <v>6959</v>
      </c>
      <c r="G3359">
        <v>2395</v>
      </c>
      <c r="H3359">
        <v>1</v>
      </c>
      <c r="I3359" t="s">
        <v>90</v>
      </c>
      <c r="J3359">
        <v>0</v>
      </c>
      <c r="K3359">
        <v>1</v>
      </c>
      <c r="L3359">
        <v>5</v>
      </c>
      <c r="M3359">
        <v>109</v>
      </c>
      <c r="N3359">
        <v>453</v>
      </c>
      <c r="O3359" t="s">
        <v>105</v>
      </c>
      <c r="P3359">
        <v>340</v>
      </c>
      <c r="Q3359">
        <v>0</v>
      </c>
      <c r="R3359">
        <v>131</v>
      </c>
      <c r="S3359">
        <v>7</v>
      </c>
      <c r="T3359">
        <v>0</v>
      </c>
      <c r="U3359">
        <v>11</v>
      </c>
      <c r="V3359">
        <v>2</v>
      </c>
      <c r="W3359">
        <v>17</v>
      </c>
      <c r="X3359">
        <v>0</v>
      </c>
      <c r="Y3359">
        <v>10</v>
      </c>
      <c r="Z3359">
        <v>0</v>
      </c>
      <c r="AA3359">
        <v>145</v>
      </c>
      <c r="AC3359">
        <v>1</v>
      </c>
      <c r="AD3359">
        <v>0</v>
      </c>
      <c r="AE3359">
        <v>0</v>
      </c>
      <c r="AF3359">
        <v>0</v>
      </c>
      <c r="AG3359">
        <v>0</v>
      </c>
      <c r="AH3359">
        <v>0</v>
      </c>
      <c r="AI3359">
        <v>3</v>
      </c>
      <c r="AJ3359">
        <v>0</v>
      </c>
      <c r="AK3359">
        <v>0</v>
      </c>
      <c r="AL3359">
        <v>1</v>
      </c>
      <c r="AM3359">
        <v>0</v>
      </c>
      <c r="AN3359">
        <v>0</v>
      </c>
      <c r="BC3359">
        <v>0</v>
      </c>
      <c r="BD3359">
        <v>12</v>
      </c>
      <c r="BE3359">
        <v>340</v>
      </c>
      <c r="BF3359">
        <v>340</v>
      </c>
      <c r="BG3359">
        <v>431</v>
      </c>
      <c r="BJ3359">
        <v>1</v>
      </c>
      <c r="BL3359" t="s">
        <v>6964</v>
      </c>
      <c r="BM3359" s="4">
        <v>43283.127256944441</v>
      </c>
      <c r="BN3359" s="4">
        <v>43283.1328587963</v>
      </c>
      <c r="BO3359" s="4">
        <v>43283.1328587963</v>
      </c>
      <c r="BP3359" t="s">
        <v>92</v>
      </c>
      <c r="BQ3359" t="s">
        <v>93</v>
      </c>
      <c r="BR3359" t="s">
        <v>94</v>
      </c>
    </row>
    <row r="3360" spans="1:70" x14ac:dyDescent="0.3">
      <c r="A3360" t="str">
        <f>"202395C0100"</f>
        <v>202395C0100</v>
      </c>
      <c r="B3360" t="s">
        <v>6965</v>
      </c>
      <c r="C3360">
        <v>20</v>
      </c>
      <c r="D3360" t="s">
        <v>88</v>
      </c>
      <c r="E3360">
        <v>557</v>
      </c>
      <c r="F3360" t="s">
        <v>6959</v>
      </c>
      <c r="G3360">
        <v>2395</v>
      </c>
      <c r="H3360">
        <v>1</v>
      </c>
      <c r="I3360" t="s">
        <v>98</v>
      </c>
      <c r="J3360">
        <v>0</v>
      </c>
      <c r="K3360">
        <v>1</v>
      </c>
      <c r="L3360">
        <v>5</v>
      </c>
      <c r="M3360">
        <v>113</v>
      </c>
      <c r="N3360">
        <v>339</v>
      </c>
      <c r="O3360">
        <v>2</v>
      </c>
      <c r="P3360">
        <v>343</v>
      </c>
      <c r="Q3360">
        <v>1</v>
      </c>
      <c r="R3360">
        <v>107</v>
      </c>
      <c r="S3360">
        <v>3</v>
      </c>
      <c r="T3360">
        <v>3</v>
      </c>
      <c r="U3360">
        <v>22</v>
      </c>
      <c r="V3360">
        <v>0</v>
      </c>
      <c r="W3360">
        <v>10</v>
      </c>
      <c r="X3360">
        <v>3</v>
      </c>
      <c r="Y3360">
        <v>7</v>
      </c>
      <c r="Z3360">
        <v>1</v>
      </c>
      <c r="AA3360">
        <v>172</v>
      </c>
      <c r="AC3360">
        <v>0</v>
      </c>
      <c r="AD3360">
        <v>0</v>
      </c>
      <c r="AE3360">
        <v>0</v>
      </c>
      <c r="AF3360">
        <v>0</v>
      </c>
      <c r="AG3360">
        <v>0</v>
      </c>
      <c r="AH3360">
        <v>1</v>
      </c>
      <c r="AI3360">
        <v>1</v>
      </c>
      <c r="AJ3360">
        <v>0</v>
      </c>
      <c r="AK3360">
        <v>2</v>
      </c>
      <c r="AL3360">
        <v>1</v>
      </c>
      <c r="AM3360">
        <v>0</v>
      </c>
      <c r="AN3360">
        <v>0</v>
      </c>
      <c r="BC3360">
        <v>0</v>
      </c>
      <c r="BD3360">
        <v>9</v>
      </c>
      <c r="BE3360">
        <v>343</v>
      </c>
      <c r="BF3360">
        <v>343</v>
      </c>
      <c r="BG3360">
        <v>430</v>
      </c>
      <c r="BJ3360">
        <v>1</v>
      </c>
      <c r="BL3360" t="s">
        <v>6966</v>
      </c>
      <c r="BM3360" s="4">
        <v>43283.127824074072</v>
      </c>
      <c r="BN3360" s="4">
        <v>43283.131354166668</v>
      </c>
      <c r="BO3360" s="4">
        <v>43283.131354166668</v>
      </c>
      <c r="BP3360" t="s">
        <v>92</v>
      </c>
      <c r="BQ3360" t="s">
        <v>93</v>
      </c>
      <c r="BR3360" t="s">
        <v>94</v>
      </c>
    </row>
    <row r="3361" spans="1:70" x14ac:dyDescent="0.3">
      <c r="A3361" t="str">
        <f>"202396B0100"</f>
        <v>202396B0100</v>
      </c>
      <c r="B3361" t="s">
        <v>6967</v>
      </c>
      <c r="C3361">
        <v>20</v>
      </c>
      <c r="D3361" t="s">
        <v>88</v>
      </c>
      <c r="E3361">
        <v>557</v>
      </c>
      <c r="F3361" t="s">
        <v>6959</v>
      </c>
      <c r="G3361">
        <v>2396</v>
      </c>
      <c r="H3361">
        <v>1</v>
      </c>
      <c r="I3361" t="s">
        <v>90</v>
      </c>
      <c r="J3361">
        <v>0</v>
      </c>
      <c r="K3361">
        <v>1</v>
      </c>
      <c r="L3361">
        <v>5</v>
      </c>
      <c r="M3361">
        <v>85</v>
      </c>
      <c r="N3361">
        <v>315</v>
      </c>
      <c r="O3361">
        <v>1</v>
      </c>
      <c r="P3361">
        <v>315</v>
      </c>
      <c r="Q3361">
        <v>1</v>
      </c>
      <c r="R3361">
        <v>95</v>
      </c>
      <c r="S3361">
        <v>16</v>
      </c>
      <c r="T3361">
        <v>0</v>
      </c>
      <c r="U3361">
        <v>8</v>
      </c>
      <c r="V3361">
        <v>0</v>
      </c>
      <c r="W3361">
        <v>6</v>
      </c>
      <c r="X3361">
        <v>2</v>
      </c>
      <c r="Y3361">
        <v>5</v>
      </c>
      <c r="Z3361">
        <v>0</v>
      </c>
      <c r="AA3361">
        <v>160</v>
      </c>
      <c r="AC3361">
        <v>0</v>
      </c>
      <c r="AD3361">
        <v>0</v>
      </c>
      <c r="AE3361">
        <v>0</v>
      </c>
      <c r="AF3361">
        <v>0</v>
      </c>
      <c r="AG3361">
        <v>2</v>
      </c>
      <c r="AH3361">
        <v>0</v>
      </c>
      <c r="AI3361">
        <v>2</v>
      </c>
      <c r="AJ3361">
        <v>0</v>
      </c>
      <c r="AK3361">
        <v>0</v>
      </c>
      <c r="AL3361">
        <v>1</v>
      </c>
      <c r="AM3361">
        <v>0</v>
      </c>
      <c r="AN3361">
        <v>0</v>
      </c>
      <c r="BC3361">
        <v>0</v>
      </c>
      <c r="BD3361">
        <v>16</v>
      </c>
      <c r="BE3361">
        <v>314</v>
      </c>
      <c r="BF3361">
        <v>314</v>
      </c>
      <c r="BG3361">
        <v>378</v>
      </c>
      <c r="BJ3361">
        <v>1</v>
      </c>
      <c r="BL3361" t="s">
        <v>6968</v>
      </c>
      <c r="BM3361" s="4">
        <v>43283.184548611112</v>
      </c>
      <c r="BN3361" s="4">
        <v>43283.201944444445</v>
      </c>
      <c r="BO3361" s="4">
        <v>43283.201944444445</v>
      </c>
      <c r="BP3361" t="s">
        <v>92</v>
      </c>
      <c r="BQ3361" t="s">
        <v>93</v>
      </c>
      <c r="BR3361" t="s">
        <v>94</v>
      </c>
    </row>
    <row r="3362" spans="1:70" x14ac:dyDescent="0.3">
      <c r="A3362" t="str">
        <f>"202396C0100"</f>
        <v>202396C0100</v>
      </c>
      <c r="B3362" t="s">
        <v>6969</v>
      </c>
      <c r="C3362">
        <v>20</v>
      </c>
      <c r="D3362" t="s">
        <v>88</v>
      </c>
      <c r="E3362">
        <v>557</v>
      </c>
      <c r="F3362" t="s">
        <v>6959</v>
      </c>
      <c r="G3362">
        <v>2396</v>
      </c>
      <c r="H3362">
        <v>1</v>
      </c>
      <c r="I3362" t="s">
        <v>98</v>
      </c>
      <c r="J3362">
        <v>0</v>
      </c>
      <c r="K3362">
        <v>1</v>
      </c>
      <c r="L3362">
        <v>5</v>
      </c>
      <c r="M3362">
        <v>92</v>
      </c>
      <c r="N3362">
        <v>308</v>
      </c>
      <c r="O3362">
        <v>2</v>
      </c>
      <c r="P3362">
        <v>308</v>
      </c>
      <c r="Q3362">
        <v>0</v>
      </c>
      <c r="R3362">
        <v>97</v>
      </c>
      <c r="S3362">
        <v>7</v>
      </c>
      <c r="T3362">
        <v>1</v>
      </c>
      <c r="U3362">
        <v>9</v>
      </c>
      <c r="V3362">
        <v>1</v>
      </c>
      <c r="W3362">
        <v>4</v>
      </c>
      <c r="X3362">
        <v>1</v>
      </c>
      <c r="Y3362">
        <v>3</v>
      </c>
      <c r="Z3362">
        <v>0</v>
      </c>
      <c r="AA3362">
        <v>171</v>
      </c>
      <c r="AC3362">
        <v>0</v>
      </c>
      <c r="AD3362">
        <v>0</v>
      </c>
      <c r="AE3362">
        <v>0</v>
      </c>
      <c r="AF3362">
        <v>0</v>
      </c>
      <c r="AG3362">
        <v>0</v>
      </c>
      <c r="AH3362">
        <v>1</v>
      </c>
      <c r="AI3362">
        <v>0</v>
      </c>
      <c r="AJ3362">
        <v>0</v>
      </c>
      <c r="AK3362">
        <v>0</v>
      </c>
      <c r="AL3362">
        <v>2</v>
      </c>
      <c r="AM3362">
        <v>0</v>
      </c>
      <c r="AN3362">
        <v>0</v>
      </c>
      <c r="BC3362">
        <v>1</v>
      </c>
      <c r="BD3362">
        <v>11</v>
      </c>
      <c r="BE3362">
        <v>308</v>
      </c>
      <c r="BF3362">
        <v>309</v>
      </c>
      <c r="BG3362">
        <v>378</v>
      </c>
      <c r="BJ3362">
        <v>1</v>
      </c>
      <c r="BL3362" t="s">
        <v>6970</v>
      </c>
      <c r="BM3362" s="4">
        <v>43283.220497685186</v>
      </c>
      <c r="BN3362" s="4">
        <v>43283.242337962962</v>
      </c>
      <c r="BO3362" s="4">
        <v>43283.242337962962</v>
      </c>
      <c r="BP3362" t="s">
        <v>92</v>
      </c>
      <c r="BQ3362" t="s">
        <v>93</v>
      </c>
      <c r="BR3362" t="s">
        <v>94</v>
      </c>
    </row>
    <row r="3363" spans="1:70" x14ac:dyDescent="0.3">
      <c r="A3363" t="str">
        <f>"202397B0100"</f>
        <v>202397B0100</v>
      </c>
      <c r="B3363" t="s">
        <v>6971</v>
      </c>
      <c r="C3363">
        <v>20</v>
      </c>
      <c r="D3363" t="s">
        <v>88</v>
      </c>
      <c r="E3363">
        <v>557</v>
      </c>
      <c r="F3363" t="s">
        <v>6959</v>
      </c>
      <c r="G3363">
        <v>2397</v>
      </c>
      <c r="H3363">
        <v>1</v>
      </c>
      <c r="I3363" t="s">
        <v>90</v>
      </c>
      <c r="J3363">
        <v>0</v>
      </c>
      <c r="K3363">
        <v>1</v>
      </c>
      <c r="L3363">
        <v>5</v>
      </c>
      <c r="M3363">
        <v>90</v>
      </c>
      <c r="N3363">
        <v>380</v>
      </c>
      <c r="O3363">
        <v>3</v>
      </c>
      <c r="P3363">
        <v>380</v>
      </c>
      <c r="Q3363">
        <v>2</v>
      </c>
      <c r="R3363">
        <v>145</v>
      </c>
      <c r="S3363">
        <v>1</v>
      </c>
      <c r="T3363">
        <v>0</v>
      </c>
      <c r="U3363">
        <v>13</v>
      </c>
      <c r="V3363">
        <v>0</v>
      </c>
      <c r="W3363">
        <v>3</v>
      </c>
      <c r="X3363">
        <v>0</v>
      </c>
      <c r="Y3363">
        <v>5</v>
      </c>
      <c r="Z3363">
        <v>1</v>
      </c>
      <c r="AA3363">
        <v>199</v>
      </c>
      <c r="AC3363">
        <v>0</v>
      </c>
      <c r="AD3363">
        <v>0</v>
      </c>
      <c r="AE3363">
        <v>0</v>
      </c>
      <c r="AF3363">
        <v>0</v>
      </c>
      <c r="AG3363">
        <v>0</v>
      </c>
      <c r="AH3363">
        <v>0</v>
      </c>
      <c r="AI3363">
        <v>0</v>
      </c>
      <c r="AJ3363">
        <v>0</v>
      </c>
      <c r="AK3363">
        <v>0</v>
      </c>
      <c r="AL3363">
        <v>0</v>
      </c>
      <c r="AM3363">
        <v>0</v>
      </c>
      <c r="AN3363">
        <v>0</v>
      </c>
      <c r="BC3363">
        <v>0</v>
      </c>
      <c r="BD3363">
        <v>11</v>
      </c>
      <c r="BE3363">
        <v>380</v>
      </c>
      <c r="BF3363">
        <v>380</v>
      </c>
      <c r="BG3363">
        <v>448</v>
      </c>
      <c r="BJ3363">
        <v>1</v>
      </c>
      <c r="BL3363" t="s">
        <v>6972</v>
      </c>
      <c r="BM3363" s="4">
        <v>43283.21565972222</v>
      </c>
      <c r="BN3363" s="4">
        <v>43283.245324074072</v>
      </c>
      <c r="BO3363" s="4">
        <v>43283.245324074072</v>
      </c>
      <c r="BP3363" t="s">
        <v>92</v>
      </c>
      <c r="BQ3363" t="s">
        <v>93</v>
      </c>
      <c r="BR3363" t="s">
        <v>94</v>
      </c>
    </row>
    <row r="3364" spans="1:70" x14ac:dyDescent="0.3">
      <c r="A3364" t="str">
        <f>"202397C0100"</f>
        <v>202397C0100</v>
      </c>
      <c r="B3364" t="s">
        <v>6973</v>
      </c>
      <c r="C3364">
        <v>20</v>
      </c>
      <c r="D3364" t="s">
        <v>88</v>
      </c>
      <c r="E3364">
        <v>557</v>
      </c>
      <c r="F3364" t="s">
        <v>6959</v>
      </c>
      <c r="G3364">
        <v>2397</v>
      </c>
      <c r="H3364">
        <v>1</v>
      </c>
      <c r="I3364" t="s">
        <v>98</v>
      </c>
      <c r="J3364">
        <v>0</v>
      </c>
      <c r="K3364">
        <v>1</v>
      </c>
      <c r="L3364">
        <v>5</v>
      </c>
      <c r="M3364">
        <v>82</v>
      </c>
      <c r="N3364">
        <v>387</v>
      </c>
      <c r="O3364">
        <v>3</v>
      </c>
      <c r="P3364">
        <v>387</v>
      </c>
      <c r="Q3364">
        <v>0</v>
      </c>
      <c r="R3364">
        <v>151</v>
      </c>
      <c r="S3364">
        <v>1</v>
      </c>
      <c r="T3364">
        <v>0</v>
      </c>
      <c r="U3364">
        <v>17</v>
      </c>
      <c r="V3364">
        <v>2</v>
      </c>
      <c r="W3364">
        <v>5</v>
      </c>
      <c r="X3364">
        <v>0</v>
      </c>
      <c r="Y3364">
        <v>8</v>
      </c>
      <c r="Z3364">
        <v>4</v>
      </c>
      <c r="AA3364">
        <v>187</v>
      </c>
      <c r="AC3364">
        <v>0</v>
      </c>
      <c r="AD3364">
        <v>0</v>
      </c>
      <c r="AE3364">
        <v>0</v>
      </c>
      <c r="AF3364">
        <v>0</v>
      </c>
      <c r="AG3364">
        <v>0</v>
      </c>
      <c r="AH3364">
        <v>0</v>
      </c>
      <c r="AI3364">
        <v>1</v>
      </c>
      <c r="AJ3364">
        <v>0</v>
      </c>
      <c r="AK3364">
        <v>1</v>
      </c>
      <c r="AL3364">
        <v>0</v>
      </c>
      <c r="AM3364">
        <v>0</v>
      </c>
      <c r="AN3364">
        <v>0</v>
      </c>
      <c r="BC3364">
        <v>0</v>
      </c>
      <c r="BD3364">
        <v>10</v>
      </c>
      <c r="BE3364">
        <v>387</v>
      </c>
      <c r="BF3364">
        <v>387</v>
      </c>
      <c r="BG3364">
        <v>447</v>
      </c>
      <c r="BJ3364">
        <v>1</v>
      </c>
      <c r="BL3364" s="2" t="s">
        <v>6974</v>
      </c>
      <c r="BM3364" s="4">
        <v>43283.216192129628</v>
      </c>
      <c r="BN3364" s="4">
        <v>43283.236481481479</v>
      </c>
      <c r="BO3364" s="4">
        <v>43283.236481481479</v>
      </c>
      <c r="BP3364" t="s">
        <v>92</v>
      </c>
      <c r="BQ3364" t="s">
        <v>93</v>
      </c>
      <c r="BR3364" t="s">
        <v>94</v>
      </c>
    </row>
    <row r="3365" spans="1:70" x14ac:dyDescent="0.3">
      <c r="A3365" t="str">
        <f>"202398B0100"</f>
        <v>202398B0100</v>
      </c>
      <c r="B3365" t="s">
        <v>6975</v>
      </c>
      <c r="C3365">
        <v>20</v>
      </c>
      <c r="D3365" t="s">
        <v>88</v>
      </c>
      <c r="E3365">
        <v>557</v>
      </c>
      <c r="F3365" t="s">
        <v>6959</v>
      </c>
      <c r="G3365">
        <v>2398</v>
      </c>
      <c r="H3365">
        <v>1</v>
      </c>
      <c r="I3365" t="s">
        <v>90</v>
      </c>
      <c r="J3365">
        <v>0</v>
      </c>
      <c r="K3365">
        <v>1</v>
      </c>
      <c r="L3365">
        <v>5</v>
      </c>
      <c r="M3365">
        <v>100</v>
      </c>
      <c r="N3365">
        <v>334</v>
      </c>
      <c r="O3365">
        <v>1</v>
      </c>
      <c r="P3365">
        <v>334</v>
      </c>
      <c r="Q3365">
        <v>0</v>
      </c>
      <c r="R3365">
        <v>91</v>
      </c>
      <c r="S3365">
        <v>6</v>
      </c>
      <c r="T3365">
        <v>0</v>
      </c>
      <c r="U3365">
        <v>19</v>
      </c>
      <c r="V3365">
        <v>0</v>
      </c>
      <c r="W3365">
        <v>1</v>
      </c>
      <c r="X3365">
        <v>3</v>
      </c>
      <c r="Y3365">
        <v>13</v>
      </c>
      <c r="Z3365">
        <v>5</v>
      </c>
      <c r="AA3365">
        <v>179</v>
      </c>
      <c r="AC3365">
        <v>0</v>
      </c>
      <c r="AD3365">
        <v>0</v>
      </c>
      <c r="AE3365">
        <v>0</v>
      </c>
      <c r="AF3365">
        <v>0</v>
      </c>
      <c r="AG3365">
        <v>2</v>
      </c>
      <c r="AH3365">
        <v>1</v>
      </c>
      <c r="AI3365">
        <v>0</v>
      </c>
      <c r="AJ3365">
        <v>0</v>
      </c>
      <c r="AK3365">
        <v>0</v>
      </c>
      <c r="AL3365">
        <v>0</v>
      </c>
      <c r="AM3365">
        <v>0</v>
      </c>
      <c r="AN3365">
        <v>0</v>
      </c>
      <c r="BC3365">
        <v>0</v>
      </c>
      <c r="BD3365">
        <v>12</v>
      </c>
      <c r="BE3365">
        <v>333</v>
      </c>
      <c r="BF3365">
        <v>332</v>
      </c>
      <c r="BG3365">
        <v>412</v>
      </c>
      <c r="BJ3365">
        <v>1</v>
      </c>
      <c r="BL3365" t="s">
        <v>6976</v>
      </c>
      <c r="BM3365" s="4">
        <v>43283.135520833333</v>
      </c>
      <c r="BN3365" s="4">
        <v>43283.139710648145</v>
      </c>
      <c r="BO3365" s="4">
        <v>43283.139710648145</v>
      </c>
      <c r="BP3365" t="s">
        <v>92</v>
      </c>
      <c r="BQ3365" t="s">
        <v>93</v>
      </c>
      <c r="BR3365" t="s">
        <v>94</v>
      </c>
    </row>
    <row r="3366" spans="1:70" x14ac:dyDescent="0.3">
      <c r="A3366" t="str">
        <f>"202398C0100"</f>
        <v>202398C0100</v>
      </c>
      <c r="B3366" t="s">
        <v>6977</v>
      </c>
      <c r="C3366">
        <v>20</v>
      </c>
      <c r="D3366" t="s">
        <v>88</v>
      </c>
      <c r="E3366">
        <v>557</v>
      </c>
      <c r="F3366" t="s">
        <v>6959</v>
      </c>
      <c r="G3366">
        <v>2398</v>
      </c>
      <c r="H3366">
        <v>1</v>
      </c>
      <c r="I3366" t="s">
        <v>98</v>
      </c>
      <c r="J3366">
        <v>0</v>
      </c>
      <c r="K3366">
        <v>1</v>
      </c>
      <c r="L3366">
        <v>5</v>
      </c>
      <c r="M3366">
        <v>100</v>
      </c>
      <c r="N3366">
        <v>333</v>
      </c>
      <c r="O3366">
        <v>3</v>
      </c>
      <c r="P3366">
        <v>333</v>
      </c>
      <c r="Q3366">
        <v>0</v>
      </c>
      <c r="R3366">
        <v>90</v>
      </c>
      <c r="S3366">
        <v>1</v>
      </c>
      <c r="T3366">
        <v>0</v>
      </c>
      <c r="U3366">
        <v>11</v>
      </c>
      <c r="V3366">
        <v>1</v>
      </c>
      <c r="W3366">
        <v>3</v>
      </c>
      <c r="X3366">
        <v>4</v>
      </c>
      <c r="Y3366">
        <v>15</v>
      </c>
      <c r="Z3366">
        <v>8</v>
      </c>
      <c r="AA3366">
        <v>181</v>
      </c>
      <c r="AC3366">
        <v>0</v>
      </c>
      <c r="AD3366">
        <v>0</v>
      </c>
      <c r="AE3366">
        <v>0</v>
      </c>
      <c r="AF3366">
        <v>0</v>
      </c>
      <c r="AG3366">
        <v>2</v>
      </c>
      <c r="AH3366">
        <v>1</v>
      </c>
      <c r="AI3366">
        <v>2</v>
      </c>
      <c r="AJ3366">
        <v>0</v>
      </c>
      <c r="AK3366">
        <v>0</v>
      </c>
      <c r="AL3366">
        <v>0</v>
      </c>
      <c r="AM3366">
        <v>0</v>
      </c>
      <c r="AN3366">
        <v>0</v>
      </c>
      <c r="BC3366">
        <v>0</v>
      </c>
      <c r="BD3366">
        <v>14</v>
      </c>
      <c r="BE3366">
        <v>333</v>
      </c>
      <c r="BF3366">
        <v>333</v>
      </c>
      <c r="BG3366">
        <v>411</v>
      </c>
      <c r="BJ3366">
        <v>1</v>
      </c>
      <c r="BL3366" t="s">
        <v>6978</v>
      </c>
      <c r="BM3366" s="4">
        <v>43283.134895833333</v>
      </c>
      <c r="BN3366" s="4">
        <v>43283.138958333337</v>
      </c>
      <c r="BO3366" s="4">
        <v>43283.138958333337</v>
      </c>
      <c r="BP3366" t="s">
        <v>92</v>
      </c>
      <c r="BQ3366" t="s">
        <v>93</v>
      </c>
      <c r="BR3366" t="s">
        <v>94</v>
      </c>
    </row>
    <row r="3367" spans="1:70" x14ac:dyDescent="0.3">
      <c r="A3367" t="str">
        <f>"202399B0100"</f>
        <v>202399B0100</v>
      </c>
      <c r="B3367" t="s">
        <v>6979</v>
      </c>
      <c r="C3367">
        <v>20</v>
      </c>
      <c r="D3367" t="s">
        <v>88</v>
      </c>
      <c r="E3367">
        <v>557</v>
      </c>
      <c r="F3367" t="s">
        <v>6959</v>
      </c>
      <c r="G3367">
        <v>2399</v>
      </c>
      <c r="H3367">
        <v>1</v>
      </c>
      <c r="I3367" t="s">
        <v>90</v>
      </c>
      <c r="J3367">
        <v>0</v>
      </c>
      <c r="K3367">
        <v>1</v>
      </c>
      <c r="L3367">
        <v>5</v>
      </c>
      <c r="M3367">
        <v>162</v>
      </c>
      <c r="N3367">
        <v>530</v>
      </c>
      <c r="O3367">
        <v>0</v>
      </c>
      <c r="P3367">
        <v>530</v>
      </c>
      <c r="Q3367">
        <v>1</v>
      </c>
      <c r="R3367">
        <v>131</v>
      </c>
      <c r="S3367">
        <v>9</v>
      </c>
      <c r="T3367">
        <v>2</v>
      </c>
      <c r="U3367">
        <v>18</v>
      </c>
      <c r="V3367">
        <v>0</v>
      </c>
      <c r="W3367">
        <v>3</v>
      </c>
      <c r="X3367">
        <v>4</v>
      </c>
      <c r="Y3367">
        <v>12</v>
      </c>
      <c r="Z3367">
        <v>0</v>
      </c>
      <c r="AA3367">
        <v>332</v>
      </c>
      <c r="AC3367">
        <v>0</v>
      </c>
      <c r="AD3367">
        <v>0</v>
      </c>
      <c r="AE3367">
        <v>0</v>
      </c>
      <c r="AF3367">
        <v>2</v>
      </c>
      <c r="AG3367">
        <v>0</v>
      </c>
      <c r="AH3367">
        <v>0</v>
      </c>
      <c r="AI3367">
        <v>0</v>
      </c>
      <c r="AJ3367">
        <v>0</v>
      </c>
      <c r="AK3367">
        <v>0</v>
      </c>
      <c r="AL3367">
        <v>0</v>
      </c>
      <c r="AM3367">
        <v>0</v>
      </c>
      <c r="AN3367">
        <v>0</v>
      </c>
      <c r="BC3367">
        <v>0</v>
      </c>
      <c r="BD3367">
        <v>16</v>
      </c>
      <c r="BE3367">
        <v>530</v>
      </c>
      <c r="BF3367">
        <v>530</v>
      </c>
      <c r="BG3367">
        <v>671</v>
      </c>
      <c r="BJ3367">
        <v>1</v>
      </c>
      <c r="BL3367" t="s">
        <v>6980</v>
      </c>
      <c r="BM3367" s="4">
        <v>43283.164699074077</v>
      </c>
      <c r="BN3367" s="4">
        <v>43283.174849537034</v>
      </c>
      <c r="BO3367" s="4">
        <v>43283.174849537034</v>
      </c>
      <c r="BP3367" t="s">
        <v>92</v>
      </c>
      <c r="BQ3367" t="s">
        <v>93</v>
      </c>
      <c r="BR3367" t="s">
        <v>94</v>
      </c>
    </row>
    <row r="3368" spans="1:70" x14ac:dyDescent="0.3">
      <c r="A3368" t="str">
        <f>"202400B0100"</f>
        <v>202400B0100</v>
      </c>
      <c r="B3368" t="s">
        <v>6981</v>
      </c>
      <c r="C3368">
        <v>20</v>
      </c>
      <c r="D3368" t="s">
        <v>88</v>
      </c>
      <c r="E3368">
        <v>557</v>
      </c>
      <c r="F3368" t="s">
        <v>6959</v>
      </c>
      <c r="G3368">
        <v>2400</v>
      </c>
      <c r="H3368">
        <v>1</v>
      </c>
      <c r="I3368" t="s">
        <v>90</v>
      </c>
      <c r="J3368">
        <v>0</v>
      </c>
      <c r="K3368">
        <v>1</v>
      </c>
      <c r="L3368">
        <v>5</v>
      </c>
      <c r="M3368">
        <v>172</v>
      </c>
      <c r="N3368">
        <v>595</v>
      </c>
      <c r="O3368">
        <v>0</v>
      </c>
      <c r="P3368">
        <v>595</v>
      </c>
      <c r="Q3368">
        <v>1</v>
      </c>
      <c r="R3368">
        <v>184</v>
      </c>
      <c r="S3368">
        <v>8</v>
      </c>
      <c r="T3368">
        <v>1</v>
      </c>
      <c r="U3368">
        <v>38</v>
      </c>
      <c r="V3368">
        <v>1</v>
      </c>
      <c r="W3368">
        <v>8</v>
      </c>
      <c r="X3368">
        <v>5</v>
      </c>
      <c r="Y3368">
        <v>10</v>
      </c>
      <c r="Z3368">
        <v>3</v>
      </c>
      <c r="AA3368">
        <v>317</v>
      </c>
      <c r="AC3368">
        <v>0</v>
      </c>
      <c r="AD3368">
        <v>0</v>
      </c>
      <c r="AE3368">
        <v>0</v>
      </c>
      <c r="AF3368">
        <v>0</v>
      </c>
      <c r="AG3368">
        <v>0</v>
      </c>
      <c r="AH3368">
        <v>0</v>
      </c>
      <c r="AI3368">
        <v>0</v>
      </c>
      <c r="AJ3368">
        <v>0</v>
      </c>
      <c r="AK3368">
        <v>0</v>
      </c>
      <c r="AL3368">
        <v>0</v>
      </c>
      <c r="AM3368">
        <v>0</v>
      </c>
      <c r="AN3368">
        <v>0</v>
      </c>
      <c r="BC3368">
        <v>0</v>
      </c>
      <c r="BD3368">
        <v>21</v>
      </c>
      <c r="BE3368">
        <v>597</v>
      </c>
      <c r="BF3368">
        <v>597</v>
      </c>
      <c r="BG3368">
        <v>746</v>
      </c>
      <c r="BJ3368">
        <v>1</v>
      </c>
      <c r="BL3368" t="s">
        <v>6982</v>
      </c>
      <c r="BM3368" s="4">
        <v>43283.08321759259</v>
      </c>
      <c r="BN3368" s="4">
        <v>43283.087314814817</v>
      </c>
      <c r="BO3368" s="4">
        <v>43283.087314814817</v>
      </c>
      <c r="BP3368" t="s">
        <v>92</v>
      </c>
      <c r="BQ3368" t="s">
        <v>93</v>
      </c>
      <c r="BR3368" t="s">
        <v>254</v>
      </c>
    </row>
    <row r="3369" spans="1:70" x14ac:dyDescent="0.3">
      <c r="A3369" t="str">
        <f>"202401B0100"</f>
        <v>202401B0100</v>
      </c>
      <c r="B3369" t="s">
        <v>6983</v>
      </c>
      <c r="C3369">
        <v>20</v>
      </c>
      <c r="D3369" t="s">
        <v>88</v>
      </c>
      <c r="E3369">
        <v>557</v>
      </c>
      <c r="F3369" t="s">
        <v>6959</v>
      </c>
      <c r="G3369">
        <v>2401</v>
      </c>
      <c r="H3369">
        <v>1</v>
      </c>
      <c r="I3369" t="s">
        <v>90</v>
      </c>
      <c r="J3369">
        <v>0</v>
      </c>
      <c r="K3369">
        <v>1</v>
      </c>
      <c r="L3369">
        <v>5</v>
      </c>
      <c r="M3369">
        <v>166</v>
      </c>
      <c r="N3369">
        <v>538</v>
      </c>
      <c r="O3369">
        <v>1</v>
      </c>
      <c r="P3369">
        <v>538</v>
      </c>
      <c r="Q3369">
        <v>0</v>
      </c>
      <c r="R3369">
        <v>166</v>
      </c>
      <c r="S3369">
        <v>6</v>
      </c>
      <c r="T3369">
        <v>1</v>
      </c>
      <c r="U3369">
        <v>29</v>
      </c>
      <c r="V3369">
        <v>1</v>
      </c>
      <c r="W3369">
        <v>16</v>
      </c>
      <c r="X3369">
        <v>3</v>
      </c>
      <c r="Y3369">
        <v>7</v>
      </c>
      <c r="Z3369">
        <v>0</v>
      </c>
      <c r="AA3369">
        <v>279</v>
      </c>
      <c r="AC3369">
        <v>0</v>
      </c>
      <c r="AD3369">
        <v>0</v>
      </c>
      <c r="AE3369">
        <v>0</v>
      </c>
      <c r="AF3369">
        <v>0</v>
      </c>
      <c r="AG3369">
        <v>1</v>
      </c>
      <c r="AH3369">
        <v>0</v>
      </c>
      <c r="AI3369">
        <v>1</v>
      </c>
      <c r="AJ3369">
        <v>0</v>
      </c>
      <c r="AK3369">
        <v>1</v>
      </c>
      <c r="AL3369">
        <v>0</v>
      </c>
      <c r="AM3369">
        <v>0</v>
      </c>
      <c r="AN3369">
        <v>0</v>
      </c>
      <c r="BC3369">
        <v>1</v>
      </c>
      <c r="BD3369">
        <v>26</v>
      </c>
      <c r="BE3369">
        <v>538</v>
      </c>
      <c r="BF3369">
        <v>538</v>
      </c>
      <c r="BG3369">
        <v>682</v>
      </c>
      <c r="BJ3369">
        <v>1</v>
      </c>
      <c r="BL3369" t="s">
        <v>6984</v>
      </c>
      <c r="BM3369" s="4">
        <v>43283.110219907408</v>
      </c>
      <c r="BN3369" s="4">
        <v>43283.113599537035</v>
      </c>
      <c r="BO3369" s="4">
        <v>43283.113599537035</v>
      </c>
      <c r="BP3369" t="s">
        <v>92</v>
      </c>
      <c r="BQ3369" t="s">
        <v>93</v>
      </c>
      <c r="BR3369" t="s">
        <v>94</v>
      </c>
    </row>
    <row r="3370" spans="1:70" x14ac:dyDescent="0.3">
      <c r="A3370" t="str">
        <f>"202401C0100"</f>
        <v>202401C0100</v>
      </c>
      <c r="B3370" t="s">
        <v>6985</v>
      </c>
      <c r="C3370">
        <v>20</v>
      </c>
      <c r="D3370" t="s">
        <v>88</v>
      </c>
      <c r="E3370">
        <v>557</v>
      </c>
      <c r="F3370" t="s">
        <v>6959</v>
      </c>
      <c r="G3370">
        <v>2401</v>
      </c>
      <c r="H3370">
        <v>1</v>
      </c>
      <c r="I3370" t="s">
        <v>98</v>
      </c>
      <c r="J3370">
        <v>0</v>
      </c>
      <c r="K3370">
        <v>1</v>
      </c>
      <c r="L3370">
        <v>5</v>
      </c>
      <c r="M3370">
        <v>157</v>
      </c>
      <c r="N3370">
        <v>546</v>
      </c>
      <c r="O3370">
        <v>0</v>
      </c>
      <c r="P3370">
        <v>548</v>
      </c>
      <c r="Q3370">
        <v>0</v>
      </c>
      <c r="R3370">
        <v>144</v>
      </c>
      <c r="S3370">
        <v>3</v>
      </c>
      <c r="T3370">
        <v>0</v>
      </c>
      <c r="U3370">
        <v>40</v>
      </c>
      <c r="V3370">
        <v>0</v>
      </c>
      <c r="W3370">
        <v>11</v>
      </c>
      <c r="X3370">
        <v>1</v>
      </c>
      <c r="Y3370">
        <v>12</v>
      </c>
      <c r="Z3370">
        <v>0</v>
      </c>
      <c r="AA3370">
        <v>307</v>
      </c>
      <c r="AC3370">
        <v>0</v>
      </c>
      <c r="AD3370">
        <v>0</v>
      </c>
      <c r="AE3370">
        <v>0</v>
      </c>
      <c r="AF3370">
        <v>0</v>
      </c>
      <c r="AG3370">
        <v>0</v>
      </c>
      <c r="AH3370">
        <v>0</v>
      </c>
      <c r="AI3370">
        <v>0</v>
      </c>
      <c r="AJ3370">
        <v>0</v>
      </c>
      <c r="AK3370">
        <v>2</v>
      </c>
      <c r="AL3370">
        <v>1</v>
      </c>
      <c r="AM3370">
        <v>0</v>
      </c>
      <c r="AN3370">
        <v>0</v>
      </c>
      <c r="BC3370">
        <v>0</v>
      </c>
      <c r="BD3370">
        <v>27</v>
      </c>
      <c r="BE3370">
        <v>548</v>
      </c>
      <c r="BF3370">
        <v>548</v>
      </c>
      <c r="BG3370">
        <v>682</v>
      </c>
      <c r="BJ3370">
        <v>1</v>
      </c>
      <c r="BL3370" t="s">
        <v>6986</v>
      </c>
      <c r="BM3370" s="4">
        <v>43283.11109953704</v>
      </c>
      <c r="BN3370" s="4">
        <v>43283.114907407406</v>
      </c>
      <c r="BO3370" s="4">
        <v>43283.114907407406</v>
      </c>
      <c r="BP3370" t="s">
        <v>92</v>
      </c>
      <c r="BQ3370" t="s">
        <v>93</v>
      </c>
      <c r="BR3370" t="s">
        <v>94</v>
      </c>
    </row>
    <row r="3371" spans="1:70" x14ac:dyDescent="0.3">
      <c r="A3371" t="str">
        <f>"202402B0100"</f>
        <v>202402B0100</v>
      </c>
      <c r="B3371" t="s">
        <v>6987</v>
      </c>
      <c r="C3371">
        <v>20</v>
      </c>
      <c r="D3371" t="s">
        <v>88</v>
      </c>
      <c r="E3371">
        <v>557</v>
      </c>
      <c r="F3371" t="s">
        <v>6959</v>
      </c>
      <c r="G3371">
        <v>2402</v>
      </c>
      <c r="H3371">
        <v>1</v>
      </c>
      <c r="I3371" t="s">
        <v>90</v>
      </c>
      <c r="J3371">
        <v>0</v>
      </c>
      <c r="K3371">
        <v>1</v>
      </c>
      <c r="L3371">
        <v>5</v>
      </c>
      <c r="M3371">
        <v>118</v>
      </c>
      <c r="N3371">
        <v>412</v>
      </c>
      <c r="O3371">
        <v>1</v>
      </c>
      <c r="P3371">
        <v>414</v>
      </c>
      <c r="Q3371">
        <v>0</v>
      </c>
      <c r="R3371">
        <v>169</v>
      </c>
      <c r="S3371">
        <v>1</v>
      </c>
      <c r="T3371">
        <v>0</v>
      </c>
      <c r="U3371">
        <v>26</v>
      </c>
      <c r="V3371">
        <v>0</v>
      </c>
      <c r="W3371">
        <v>8</v>
      </c>
      <c r="X3371">
        <v>1</v>
      </c>
      <c r="Y3371">
        <v>9</v>
      </c>
      <c r="Z3371">
        <v>0</v>
      </c>
      <c r="AA3371">
        <v>178</v>
      </c>
      <c r="AC3371">
        <v>0</v>
      </c>
      <c r="AD3371">
        <v>0</v>
      </c>
      <c r="AE3371">
        <v>0</v>
      </c>
      <c r="AF3371">
        <v>3</v>
      </c>
      <c r="AG3371">
        <v>0</v>
      </c>
      <c r="AH3371">
        <v>0</v>
      </c>
      <c r="AI3371">
        <v>0</v>
      </c>
      <c r="AJ3371">
        <v>0</v>
      </c>
      <c r="AK3371">
        <v>0</v>
      </c>
      <c r="AL3371">
        <v>0</v>
      </c>
      <c r="AM3371">
        <v>0</v>
      </c>
      <c r="AN3371">
        <v>0</v>
      </c>
      <c r="BC3371">
        <v>0</v>
      </c>
      <c r="BD3371">
        <v>19</v>
      </c>
      <c r="BE3371">
        <v>414</v>
      </c>
      <c r="BF3371">
        <v>414</v>
      </c>
      <c r="BG3371">
        <v>507</v>
      </c>
      <c r="BJ3371">
        <v>1</v>
      </c>
      <c r="BL3371" t="s">
        <v>6988</v>
      </c>
      <c r="BM3371" s="4">
        <v>43283.134143518517</v>
      </c>
      <c r="BN3371" s="4">
        <v>43283.139074074075</v>
      </c>
      <c r="BO3371" s="4">
        <v>43283.139074074075</v>
      </c>
      <c r="BP3371" t="s">
        <v>92</v>
      </c>
      <c r="BQ3371" t="s">
        <v>93</v>
      </c>
      <c r="BR3371" t="s">
        <v>94</v>
      </c>
    </row>
    <row r="3372" spans="1:70" x14ac:dyDescent="0.3">
      <c r="A3372" t="str">
        <f>"202402C0100"</f>
        <v>202402C0100</v>
      </c>
      <c r="B3372" t="s">
        <v>6989</v>
      </c>
      <c r="C3372">
        <v>20</v>
      </c>
      <c r="D3372" t="s">
        <v>88</v>
      </c>
      <c r="E3372">
        <v>557</v>
      </c>
      <c r="F3372" t="s">
        <v>6959</v>
      </c>
      <c r="G3372">
        <v>2402</v>
      </c>
      <c r="H3372">
        <v>1</v>
      </c>
      <c r="I3372" t="s">
        <v>98</v>
      </c>
      <c r="J3372">
        <v>0</v>
      </c>
      <c r="K3372">
        <v>1</v>
      </c>
      <c r="L3372">
        <v>5</v>
      </c>
      <c r="BG3372">
        <v>507</v>
      </c>
      <c r="BI3372" t="s">
        <v>122</v>
      </c>
      <c r="BJ3372">
        <v>0</v>
      </c>
      <c r="BL3372" s="2" t="s">
        <v>6990</v>
      </c>
      <c r="BM3372" s="4">
        <v>43283.567187499997</v>
      </c>
      <c r="BN3372" s="4">
        <v>43283.568819444445</v>
      </c>
      <c r="BO3372" s="4">
        <v>43283.568819444445</v>
      </c>
      <c r="BP3372" t="s">
        <v>92</v>
      </c>
      <c r="BQ3372" t="s">
        <v>93</v>
      </c>
      <c r="BR3372" t="s">
        <v>94</v>
      </c>
    </row>
    <row r="3373" spans="1:70" x14ac:dyDescent="0.3">
      <c r="A3373" t="str">
        <f>"202402C0200"</f>
        <v>202402C0200</v>
      </c>
      <c r="B3373" t="s">
        <v>6991</v>
      </c>
      <c r="C3373">
        <v>20</v>
      </c>
      <c r="D3373" t="s">
        <v>88</v>
      </c>
      <c r="E3373">
        <v>557</v>
      </c>
      <c r="F3373" t="s">
        <v>6959</v>
      </c>
      <c r="G3373">
        <v>2402</v>
      </c>
      <c r="H3373">
        <v>2</v>
      </c>
      <c r="I3373" t="s">
        <v>98</v>
      </c>
      <c r="J3373">
        <v>0</v>
      </c>
      <c r="K3373">
        <v>1</v>
      </c>
      <c r="L3373">
        <v>5</v>
      </c>
      <c r="BG3373">
        <v>507</v>
      </c>
      <c r="BI3373" t="s">
        <v>122</v>
      </c>
      <c r="BJ3373">
        <v>0</v>
      </c>
      <c r="BL3373" t="s">
        <v>6992</v>
      </c>
      <c r="BM3373" s="4">
        <v>43283.281539351854</v>
      </c>
      <c r="BN3373" s="4">
        <v>43283.300219907411</v>
      </c>
      <c r="BO3373" s="4">
        <v>43283.300219907411</v>
      </c>
      <c r="BP3373" t="s">
        <v>92</v>
      </c>
      <c r="BQ3373" t="s">
        <v>93</v>
      </c>
      <c r="BR3373" t="s">
        <v>94</v>
      </c>
    </row>
    <row r="3374" spans="1:70" x14ac:dyDescent="0.3">
      <c r="A3374" t="str">
        <f>"202403B0100"</f>
        <v>202403B0100</v>
      </c>
      <c r="B3374" t="s">
        <v>6993</v>
      </c>
      <c r="C3374">
        <v>20</v>
      </c>
      <c r="D3374" t="s">
        <v>88</v>
      </c>
      <c r="E3374">
        <v>557</v>
      </c>
      <c r="F3374" t="s">
        <v>6959</v>
      </c>
      <c r="G3374">
        <v>2403</v>
      </c>
      <c r="H3374">
        <v>1</v>
      </c>
      <c r="I3374" t="s">
        <v>90</v>
      </c>
      <c r="J3374">
        <v>0</v>
      </c>
      <c r="K3374">
        <v>1</v>
      </c>
      <c r="L3374">
        <v>5</v>
      </c>
      <c r="M3374">
        <v>131</v>
      </c>
      <c r="N3374">
        <v>451</v>
      </c>
      <c r="O3374">
        <v>0</v>
      </c>
      <c r="P3374">
        <v>451</v>
      </c>
      <c r="Q3374">
        <v>1</v>
      </c>
      <c r="R3374">
        <v>135</v>
      </c>
      <c r="S3374">
        <v>6</v>
      </c>
      <c r="T3374">
        <v>0</v>
      </c>
      <c r="U3374">
        <v>21</v>
      </c>
      <c r="V3374">
        <v>1</v>
      </c>
      <c r="W3374">
        <v>5</v>
      </c>
      <c r="X3374">
        <v>1</v>
      </c>
      <c r="Y3374">
        <v>15</v>
      </c>
      <c r="Z3374">
        <v>0</v>
      </c>
      <c r="AA3374">
        <v>240</v>
      </c>
      <c r="AC3374">
        <v>0</v>
      </c>
      <c r="AD3374">
        <v>0</v>
      </c>
      <c r="AE3374">
        <v>0</v>
      </c>
      <c r="AF3374">
        <v>0</v>
      </c>
      <c r="AG3374">
        <v>4</v>
      </c>
      <c r="AH3374">
        <v>0</v>
      </c>
      <c r="AI3374">
        <v>0</v>
      </c>
      <c r="AJ3374">
        <v>0</v>
      </c>
      <c r="AK3374">
        <v>2</v>
      </c>
      <c r="AL3374">
        <v>0</v>
      </c>
      <c r="AM3374">
        <v>0</v>
      </c>
      <c r="AN3374">
        <v>0</v>
      </c>
      <c r="BC3374">
        <v>0</v>
      </c>
      <c r="BD3374">
        <v>19</v>
      </c>
      <c r="BE3374">
        <v>451</v>
      </c>
      <c r="BF3374">
        <v>450</v>
      </c>
      <c r="BG3374">
        <v>560</v>
      </c>
      <c r="BJ3374">
        <v>1</v>
      </c>
      <c r="BL3374" t="s">
        <v>6994</v>
      </c>
      <c r="BM3374" s="4">
        <v>43283.059270833335</v>
      </c>
      <c r="BN3374" s="4">
        <v>43283.062013888892</v>
      </c>
      <c r="BO3374" s="4">
        <v>43283.062013888892</v>
      </c>
      <c r="BP3374" t="s">
        <v>92</v>
      </c>
      <c r="BQ3374" t="s">
        <v>93</v>
      </c>
      <c r="BR3374" t="s">
        <v>94</v>
      </c>
    </row>
    <row r="3375" spans="1:70" x14ac:dyDescent="0.3">
      <c r="A3375" t="str">
        <f>"202403C0100"</f>
        <v>202403C0100</v>
      </c>
      <c r="B3375" t="s">
        <v>6995</v>
      </c>
      <c r="C3375">
        <v>20</v>
      </c>
      <c r="D3375" t="s">
        <v>88</v>
      </c>
      <c r="E3375">
        <v>557</v>
      </c>
      <c r="F3375" t="s">
        <v>6959</v>
      </c>
      <c r="G3375">
        <v>2403</v>
      </c>
      <c r="H3375">
        <v>1</v>
      </c>
      <c r="I3375" t="s">
        <v>98</v>
      </c>
      <c r="J3375">
        <v>0</v>
      </c>
      <c r="K3375">
        <v>1</v>
      </c>
      <c r="L3375">
        <v>5</v>
      </c>
      <c r="M3375">
        <v>119</v>
      </c>
      <c r="N3375">
        <v>461</v>
      </c>
      <c r="O3375">
        <v>1</v>
      </c>
      <c r="P3375">
        <v>461</v>
      </c>
      <c r="Q3375">
        <v>0</v>
      </c>
      <c r="R3375">
        <v>156</v>
      </c>
      <c r="S3375">
        <v>3</v>
      </c>
      <c r="T3375">
        <v>0</v>
      </c>
      <c r="U3375">
        <v>23</v>
      </c>
      <c r="V3375">
        <v>1</v>
      </c>
      <c r="W3375">
        <v>6</v>
      </c>
      <c r="X3375">
        <v>1</v>
      </c>
      <c r="Y3375">
        <v>15</v>
      </c>
      <c r="Z3375">
        <v>2</v>
      </c>
      <c r="AA3375">
        <v>235</v>
      </c>
      <c r="AC3375">
        <v>0</v>
      </c>
      <c r="AD3375">
        <v>0</v>
      </c>
      <c r="AE3375">
        <v>0</v>
      </c>
      <c r="AF3375">
        <v>0</v>
      </c>
      <c r="AG3375">
        <v>1</v>
      </c>
      <c r="AH3375">
        <v>0</v>
      </c>
      <c r="AI3375">
        <v>1</v>
      </c>
      <c r="AJ3375">
        <v>0</v>
      </c>
      <c r="AK3375">
        <v>0</v>
      </c>
      <c r="AL3375">
        <v>0</v>
      </c>
      <c r="AM3375">
        <v>0</v>
      </c>
      <c r="AN3375">
        <v>0</v>
      </c>
      <c r="BC3375">
        <v>0</v>
      </c>
      <c r="BD3375">
        <v>16</v>
      </c>
      <c r="BE3375">
        <v>460</v>
      </c>
      <c r="BF3375">
        <v>460</v>
      </c>
      <c r="BG3375">
        <v>559</v>
      </c>
      <c r="BJ3375">
        <v>1</v>
      </c>
      <c r="BL3375" t="s">
        <v>6996</v>
      </c>
      <c r="BM3375" s="4">
        <v>43283.060173611113</v>
      </c>
      <c r="BN3375" s="4">
        <v>43283.062905092593</v>
      </c>
      <c r="BO3375" s="4">
        <v>43283.062905092593</v>
      </c>
      <c r="BP3375" t="s">
        <v>92</v>
      </c>
      <c r="BQ3375" t="s">
        <v>93</v>
      </c>
      <c r="BR3375" t="s">
        <v>94</v>
      </c>
    </row>
    <row r="3376" spans="1:70" x14ac:dyDescent="0.3">
      <c r="A3376" t="str">
        <f>"202404B0100"</f>
        <v>202404B0100</v>
      </c>
      <c r="B3376" t="s">
        <v>6997</v>
      </c>
      <c r="C3376">
        <v>20</v>
      </c>
      <c r="D3376" t="s">
        <v>88</v>
      </c>
      <c r="E3376">
        <v>557</v>
      </c>
      <c r="F3376" t="s">
        <v>6959</v>
      </c>
      <c r="G3376">
        <v>2404</v>
      </c>
      <c r="H3376">
        <v>1</v>
      </c>
      <c r="I3376" t="s">
        <v>90</v>
      </c>
      <c r="J3376">
        <v>0</v>
      </c>
      <c r="K3376">
        <v>1</v>
      </c>
      <c r="L3376">
        <v>5</v>
      </c>
      <c r="BG3376">
        <v>441</v>
      </c>
      <c r="BI3376" t="s">
        <v>122</v>
      </c>
      <c r="BJ3376">
        <v>0</v>
      </c>
      <c r="BL3376" t="s">
        <v>6998</v>
      </c>
      <c r="BM3376" s="4">
        <v>43283.280393518522</v>
      </c>
      <c r="BN3376" s="4">
        <v>43283.298344907409</v>
      </c>
      <c r="BO3376" s="4">
        <v>43283.298344907409</v>
      </c>
      <c r="BP3376" t="s">
        <v>92</v>
      </c>
      <c r="BQ3376" t="s">
        <v>93</v>
      </c>
      <c r="BR3376" t="s">
        <v>94</v>
      </c>
    </row>
    <row r="3377" spans="1:70" x14ac:dyDescent="0.3">
      <c r="A3377" t="str">
        <f>"202404C0100"</f>
        <v>202404C0100</v>
      </c>
      <c r="B3377" t="s">
        <v>6999</v>
      </c>
      <c r="C3377">
        <v>20</v>
      </c>
      <c r="D3377" t="s">
        <v>88</v>
      </c>
      <c r="E3377">
        <v>557</v>
      </c>
      <c r="F3377" t="s">
        <v>6959</v>
      </c>
      <c r="G3377">
        <v>2404</v>
      </c>
      <c r="H3377">
        <v>1</v>
      </c>
      <c r="I3377" t="s">
        <v>98</v>
      </c>
      <c r="J3377">
        <v>0</v>
      </c>
      <c r="K3377">
        <v>1</v>
      </c>
      <c r="L3377">
        <v>5</v>
      </c>
      <c r="M3377">
        <v>99</v>
      </c>
      <c r="N3377">
        <v>364</v>
      </c>
      <c r="O3377">
        <v>1</v>
      </c>
      <c r="P3377">
        <v>0</v>
      </c>
      <c r="Q3377">
        <v>0</v>
      </c>
      <c r="R3377">
        <v>163</v>
      </c>
      <c r="S3377">
        <v>5</v>
      </c>
      <c r="T3377">
        <v>0</v>
      </c>
      <c r="U3377">
        <v>28</v>
      </c>
      <c r="V3377">
        <v>0</v>
      </c>
      <c r="W3377">
        <v>3</v>
      </c>
      <c r="X3377">
        <v>1</v>
      </c>
      <c r="Y3377">
        <v>9</v>
      </c>
      <c r="Z3377">
        <v>0</v>
      </c>
      <c r="AA3377">
        <v>141</v>
      </c>
      <c r="AC3377">
        <v>0</v>
      </c>
      <c r="AD3377">
        <v>0</v>
      </c>
      <c r="AE3377">
        <v>0</v>
      </c>
      <c r="AF3377">
        <v>0</v>
      </c>
      <c r="AG3377">
        <v>2</v>
      </c>
      <c r="AH3377">
        <v>0</v>
      </c>
      <c r="AI3377">
        <v>0</v>
      </c>
      <c r="AJ3377">
        <v>0</v>
      </c>
      <c r="AK3377">
        <v>2</v>
      </c>
      <c r="AL3377">
        <v>0</v>
      </c>
      <c r="AM3377">
        <v>0</v>
      </c>
      <c r="AN3377">
        <v>0</v>
      </c>
      <c r="BC3377">
        <v>1</v>
      </c>
      <c r="BD3377">
        <v>10</v>
      </c>
      <c r="BE3377">
        <v>364</v>
      </c>
      <c r="BF3377">
        <v>365</v>
      </c>
      <c r="BG3377">
        <v>441</v>
      </c>
      <c r="BJ3377">
        <v>1</v>
      </c>
      <c r="BL3377" t="s">
        <v>7000</v>
      </c>
      <c r="BM3377" s="4">
        <v>43283.05846064815</v>
      </c>
      <c r="BN3377" s="4">
        <v>43283.064027777778</v>
      </c>
      <c r="BO3377" s="4">
        <v>43283.064027777778</v>
      </c>
      <c r="BP3377" t="s">
        <v>92</v>
      </c>
      <c r="BQ3377" t="s">
        <v>93</v>
      </c>
      <c r="BR3377" t="s">
        <v>94</v>
      </c>
    </row>
    <row r="3378" spans="1:70" x14ac:dyDescent="0.3">
      <c r="A3378" t="str">
        <f>"202405B0100"</f>
        <v>202405B0100</v>
      </c>
      <c r="B3378" t="s">
        <v>7001</v>
      </c>
      <c r="C3378">
        <v>20</v>
      </c>
      <c r="D3378" t="s">
        <v>88</v>
      </c>
      <c r="E3378">
        <v>558</v>
      </c>
      <c r="F3378" t="s">
        <v>7002</v>
      </c>
      <c r="G3378">
        <v>2405</v>
      </c>
      <c r="H3378">
        <v>1</v>
      </c>
      <c r="I3378" t="s">
        <v>90</v>
      </c>
      <c r="J3378">
        <v>0</v>
      </c>
      <c r="K3378">
        <v>1</v>
      </c>
      <c r="L3378">
        <v>5</v>
      </c>
      <c r="M3378" t="s">
        <v>105</v>
      </c>
      <c r="N3378">
        <v>600</v>
      </c>
      <c r="O3378">
        <v>0</v>
      </c>
      <c r="P3378">
        <v>600</v>
      </c>
      <c r="Q3378">
        <v>2</v>
      </c>
      <c r="R3378">
        <v>14</v>
      </c>
      <c r="S3378">
        <v>77</v>
      </c>
      <c r="T3378">
        <v>51</v>
      </c>
      <c r="U3378">
        <v>3</v>
      </c>
      <c r="V3378" t="s">
        <v>105</v>
      </c>
      <c r="W3378">
        <v>309</v>
      </c>
      <c r="X3378">
        <v>2</v>
      </c>
      <c r="Y3378">
        <v>83</v>
      </c>
      <c r="Z3378">
        <v>5</v>
      </c>
      <c r="AA3378">
        <v>33</v>
      </c>
      <c r="AC3378">
        <v>0</v>
      </c>
      <c r="AD3378">
        <v>1</v>
      </c>
      <c r="AE3378">
        <v>0</v>
      </c>
      <c r="AF3378">
        <v>0</v>
      </c>
      <c r="AG3378">
        <v>1</v>
      </c>
      <c r="AH3378">
        <v>2</v>
      </c>
      <c r="AI3378">
        <v>0</v>
      </c>
      <c r="AJ3378">
        <v>0</v>
      </c>
      <c r="AK3378">
        <v>1</v>
      </c>
      <c r="AL3378">
        <v>2</v>
      </c>
      <c r="AM3378">
        <v>0</v>
      </c>
      <c r="AN3378">
        <v>2</v>
      </c>
      <c r="BC3378">
        <v>0</v>
      </c>
      <c r="BD3378">
        <v>13</v>
      </c>
      <c r="BE3378">
        <v>601</v>
      </c>
      <c r="BF3378">
        <v>601</v>
      </c>
      <c r="BG3378">
        <v>739</v>
      </c>
      <c r="BI3378" t="s">
        <v>106</v>
      </c>
      <c r="BJ3378">
        <v>1</v>
      </c>
      <c r="BL3378" t="s">
        <v>7003</v>
      </c>
      <c r="BM3378" s="4">
        <v>43283.217361111114</v>
      </c>
      <c r="BN3378" s="4">
        <v>43283.253252314818</v>
      </c>
      <c r="BO3378" s="4">
        <v>43283.253252314818</v>
      </c>
      <c r="BP3378" t="s">
        <v>92</v>
      </c>
      <c r="BQ3378" t="s">
        <v>93</v>
      </c>
      <c r="BR3378" t="s">
        <v>94</v>
      </c>
    </row>
    <row r="3379" spans="1:70" x14ac:dyDescent="0.3">
      <c r="A3379" t="str">
        <f>"202406B0100"</f>
        <v>202406B0100</v>
      </c>
      <c r="B3379" t="s">
        <v>7004</v>
      </c>
      <c r="C3379">
        <v>20</v>
      </c>
      <c r="D3379" t="s">
        <v>88</v>
      </c>
      <c r="E3379">
        <v>558</v>
      </c>
      <c r="F3379" t="s">
        <v>7002</v>
      </c>
      <c r="G3379">
        <v>2406</v>
      </c>
      <c r="H3379">
        <v>1</v>
      </c>
      <c r="I3379" t="s">
        <v>90</v>
      </c>
      <c r="J3379">
        <v>0</v>
      </c>
      <c r="K3379">
        <v>2</v>
      </c>
      <c r="L3379">
        <v>5</v>
      </c>
      <c r="M3379" t="s">
        <v>105</v>
      </c>
      <c r="N3379" t="s">
        <v>105</v>
      </c>
      <c r="O3379" t="s">
        <v>105</v>
      </c>
      <c r="P3379" t="s">
        <v>105</v>
      </c>
      <c r="Q3379">
        <v>0</v>
      </c>
      <c r="R3379">
        <v>12</v>
      </c>
      <c r="S3379">
        <v>1</v>
      </c>
      <c r="T3379">
        <v>71</v>
      </c>
      <c r="U3379">
        <v>2</v>
      </c>
      <c r="V3379">
        <v>0</v>
      </c>
      <c r="W3379">
        <v>154</v>
      </c>
      <c r="X3379">
        <v>0</v>
      </c>
      <c r="Y3379">
        <v>91</v>
      </c>
      <c r="Z3379">
        <v>6</v>
      </c>
      <c r="AA3379">
        <v>50</v>
      </c>
      <c r="AC3379">
        <v>0</v>
      </c>
      <c r="AD3379">
        <v>0</v>
      </c>
      <c r="AE3379">
        <v>0</v>
      </c>
      <c r="AF3379">
        <v>0</v>
      </c>
      <c r="AG3379">
        <v>2</v>
      </c>
      <c r="AH3379">
        <v>6</v>
      </c>
      <c r="AI3379">
        <v>0</v>
      </c>
      <c r="AJ3379">
        <v>1</v>
      </c>
      <c r="AK3379">
        <v>4</v>
      </c>
      <c r="AL3379">
        <v>0</v>
      </c>
      <c r="AM3379">
        <v>0</v>
      </c>
      <c r="AN3379">
        <v>4</v>
      </c>
      <c r="BC3379">
        <v>0</v>
      </c>
      <c r="BD3379">
        <v>18</v>
      </c>
      <c r="BE3379">
        <v>422</v>
      </c>
      <c r="BF3379">
        <v>422</v>
      </c>
      <c r="BG3379">
        <v>511</v>
      </c>
      <c r="BJ3379">
        <v>1</v>
      </c>
      <c r="BL3379" t="s">
        <v>7005</v>
      </c>
      <c r="BM3379" s="4">
        <v>43283.217361111114</v>
      </c>
      <c r="BN3379" s="4">
        <v>43283.257222222222</v>
      </c>
      <c r="BO3379" s="4">
        <v>43283.257222222222</v>
      </c>
      <c r="BP3379" t="s">
        <v>92</v>
      </c>
      <c r="BQ3379" t="s">
        <v>93</v>
      </c>
      <c r="BR3379" t="s">
        <v>94</v>
      </c>
    </row>
    <row r="3380" spans="1:70" x14ac:dyDescent="0.3">
      <c r="A3380" t="str">
        <f>"202408B0100"</f>
        <v>202408B0100</v>
      </c>
      <c r="B3380" t="s">
        <v>7006</v>
      </c>
      <c r="C3380">
        <v>20</v>
      </c>
      <c r="D3380" t="s">
        <v>88</v>
      </c>
      <c r="E3380">
        <v>560</v>
      </c>
      <c r="F3380" t="s">
        <v>7007</v>
      </c>
      <c r="G3380">
        <v>2408</v>
      </c>
      <c r="H3380">
        <v>1</v>
      </c>
      <c r="I3380" t="s">
        <v>90</v>
      </c>
      <c r="J3380">
        <v>0</v>
      </c>
      <c r="K3380">
        <v>1</v>
      </c>
      <c r="L3380">
        <v>5</v>
      </c>
      <c r="M3380">
        <v>226</v>
      </c>
      <c r="N3380">
        <v>457</v>
      </c>
      <c r="O3380">
        <v>2</v>
      </c>
      <c r="P3380">
        <v>457</v>
      </c>
      <c r="Q3380">
        <v>23</v>
      </c>
      <c r="R3380">
        <v>78</v>
      </c>
      <c r="S3380">
        <v>15</v>
      </c>
      <c r="T3380">
        <v>0</v>
      </c>
      <c r="U3380">
        <v>11</v>
      </c>
      <c r="V3380">
        <v>143</v>
      </c>
      <c r="W3380">
        <v>87</v>
      </c>
      <c r="X3380">
        <v>1</v>
      </c>
      <c r="Y3380">
        <v>51</v>
      </c>
      <c r="Z3380">
        <v>4</v>
      </c>
      <c r="AA3380">
        <v>8</v>
      </c>
      <c r="AB3380">
        <v>2</v>
      </c>
      <c r="AC3380">
        <v>3</v>
      </c>
      <c r="AD3380">
        <v>1</v>
      </c>
      <c r="AE3380">
        <v>1</v>
      </c>
      <c r="AF3380">
        <v>0</v>
      </c>
      <c r="AG3380">
        <v>3</v>
      </c>
      <c r="AH3380">
        <v>2</v>
      </c>
      <c r="AI3380">
        <v>0</v>
      </c>
      <c r="AJ3380">
        <v>0</v>
      </c>
      <c r="AK3380">
        <v>2</v>
      </c>
      <c r="AL3380">
        <v>0</v>
      </c>
      <c r="AM3380">
        <v>0</v>
      </c>
      <c r="AN3380">
        <v>0</v>
      </c>
      <c r="BC3380">
        <v>3</v>
      </c>
      <c r="BD3380">
        <v>19</v>
      </c>
      <c r="BE3380">
        <v>457</v>
      </c>
      <c r="BF3380">
        <v>457</v>
      </c>
      <c r="BG3380">
        <v>681</v>
      </c>
      <c r="BJ3380">
        <v>1</v>
      </c>
      <c r="BL3380" t="s">
        <v>7008</v>
      </c>
      <c r="BM3380" s="4">
        <v>43283.225694444445</v>
      </c>
      <c r="BN3380" s="4">
        <v>43283.248263888891</v>
      </c>
      <c r="BO3380" s="4">
        <v>43283.248263888891</v>
      </c>
      <c r="BP3380" t="s">
        <v>92</v>
      </c>
      <c r="BQ3380" t="s">
        <v>93</v>
      </c>
      <c r="BR3380" t="s">
        <v>94</v>
      </c>
    </row>
    <row r="3381" spans="1:70" x14ac:dyDescent="0.3">
      <c r="A3381" t="str">
        <f>"202408C0100"</f>
        <v>202408C0100</v>
      </c>
      <c r="B3381" t="s">
        <v>7009</v>
      </c>
      <c r="C3381">
        <v>20</v>
      </c>
      <c r="D3381" t="s">
        <v>88</v>
      </c>
      <c r="E3381">
        <v>560</v>
      </c>
      <c r="F3381" t="s">
        <v>7007</v>
      </c>
      <c r="G3381">
        <v>2408</v>
      </c>
      <c r="H3381">
        <v>1</v>
      </c>
      <c r="I3381" t="s">
        <v>98</v>
      </c>
      <c r="J3381">
        <v>0</v>
      </c>
      <c r="K3381">
        <v>1</v>
      </c>
      <c r="L3381">
        <v>5</v>
      </c>
      <c r="M3381">
        <v>232</v>
      </c>
      <c r="N3381">
        <v>471</v>
      </c>
      <c r="O3381">
        <v>12</v>
      </c>
      <c r="P3381">
        <v>471</v>
      </c>
      <c r="Q3381">
        <v>14</v>
      </c>
      <c r="R3381">
        <v>83</v>
      </c>
      <c r="S3381">
        <v>23</v>
      </c>
      <c r="T3381">
        <v>2</v>
      </c>
      <c r="U3381">
        <v>11</v>
      </c>
      <c r="V3381">
        <v>144</v>
      </c>
      <c r="W3381">
        <v>90</v>
      </c>
      <c r="X3381">
        <v>2</v>
      </c>
      <c r="Y3381">
        <v>61</v>
      </c>
      <c r="Z3381">
        <v>1</v>
      </c>
      <c r="AA3381">
        <v>4</v>
      </c>
      <c r="AB3381">
        <v>6</v>
      </c>
      <c r="AC3381">
        <v>5</v>
      </c>
      <c r="AD3381">
        <v>0</v>
      </c>
      <c r="AE3381">
        <v>2</v>
      </c>
      <c r="AF3381">
        <v>0</v>
      </c>
      <c r="AG3381">
        <v>1</v>
      </c>
      <c r="AH3381">
        <v>2</v>
      </c>
      <c r="AI3381">
        <v>0</v>
      </c>
      <c r="AJ3381">
        <v>0</v>
      </c>
      <c r="AK3381">
        <v>4</v>
      </c>
      <c r="AL3381">
        <v>4</v>
      </c>
      <c r="AM3381">
        <v>0</v>
      </c>
      <c r="AN3381">
        <v>2</v>
      </c>
      <c r="BC3381">
        <v>0</v>
      </c>
      <c r="BD3381">
        <v>10</v>
      </c>
      <c r="BE3381">
        <v>471</v>
      </c>
      <c r="BF3381">
        <v>471</v>
      </c>
      <c r="BG3381">
        <v>681</v>
      </c>
      <c r="BJ3381">
        <v>1</v>
      </c>
      <c r="BL3381" t="s">
        <v>7010</v>
      </c>
      <c r="BM3381" s="4">
        <v>43283.224305555559</v>
      </c>
      <c r="BN3381" s="4">
        <v>43283.24796296296</v>
      </c>
      <c r="BO3381" s="4">
        <v>43283.24796296296</v>
      </c>
      <c r="BP3381" t="s">
        <v>92</v>
      </c>
      <c r="BQ3381" t="s">
        <v>93</v>
      </c>
      <c r="BR3381" t="s">
        <v>94</v>
      </c>
    </row>
    <row r="3382" spans="1:70" x14ac:dyDescent="0.3">
      <c r="A3382" t="str">
        <f>"202409B0100"</f>
        <v>202409B0100</v>
      </c>
      <c r="B3382" t="s">
        <v>7011</v>
      </c>
      <c r="C3382">
        <v>20</v>
      </c>
      <c r="D3382" t="s">
        <v>88</v>
      </c>
      <c r="E3382">
        <v>560</v>
      </c>
      <c r="F3382" t="s">
        <v>7007</v>
      </c>
      <c r="G3382">
        <v>2409</v>
      </c>
      <c r="H3382">
        <v>1</v>
      </c>
      <c r="I3382" t="s">
        <v>90</v>
      </c>
      <c r="J3382">
        <v>0</v>
      </c>
      <c r="K3382">
        <v>1</v>
      </c>
      <c r="L3382">
        <v>5</v>
      </c>
      <c r="M3382">
        <v>160</v>
      </c>
      <c r="N3382">
        <v>390</v>
      </c>
      <c r="O3382">
        <v>0</v>
      </c>
      <c r="P3382">
        <v>390</v>
      </c>
      <c r="Q3382">
        <v>15</v>
      </c>
      <c r="R3382">
        <v>61</v>
      </c>
      <c r="S3382">
        <v>10</v>
      </c>
      <c r="T3382">
        <v>3</v>
      </c>
      <c r="U3382">
        <v>4</v>
      </c>
      <c r="V3382">
        <v>139</v>
      </c>
      <c r="W3382">
        <v>87</v>
      </c>
      <c r="X3382">
        <v>0</v>
      </c>
      <c r="Y3382">
        <v>37</v>
      </c>
      <c r="Z3382">
        <v>0</v>
      </c>
      <c r="AA3382">
        <v>9</v>
      </c>
      <c r="AB3382">
        <v>3</v>
      </c>
      <c r="AC3382">
        <v>4</v>
      </c>
      <c r="AD3382" t="s">
        <v>105</v>
      </c>
      <c r="AE3382">
        <v>1</v>
      </c>
      <c r="AF3382" t="s">
        <v>105</v>
      </c>
      <c r="AG3382" t="s">
        <v>105</v>
      </c>
      <c r="AH3382" t="s">
        <v>105</v>
      </c>
      <c r="AI3382" t="s">
        <v>105</v>
      </c>
      <c r="AJ3382" t="s">
        <v>105</v>
      </c>
      <c r="AK3382" t="s">
        <v>105</v>
      </c>
      <c r="AL3382" t="s">
        <v>105</v>
      </c>
      <c r="AM3382" t="s">
        <v>105</v>
      </c>
      <c r="AN3382" t="s">
        <v>105</v>
      </c>
      <c r="BC3382" t="s">
        <v>105</v>
      </c>
      <c r="BD3382">
        <v>17</v>
      </c>
      <c r="BE3382">
        <v>390</v>
      </c>
      <c r="BF3382">
        <v>390</v>
      </c>
      <c r="BG3382">
        <v>528</v>
      </c>
      <c r="BI3382" t="s">
        <v>106</v>
      </c>
      <c r="BJ3382">
        <v>1</v>
      </c>
      <c r="BL3382" t="s">
        <v>7012</v>
      </c>
      <c r="BM3382" s="4">
        <v>43283.223611111112</v>
      </c>
      <c r="BN3382" s="4">
        <v>43283.244976851849</v>
      </c>
      <c r="BO3382" s="4">
        <v>43283.244976851849</v>
      </c>
      <c r="BP3382" t="s">
        <v>92</v>
      </c>
      <c r="BQ3382" t="s">
        <v>93</v>
      </c>
      <c r="BR3382" t="s">
        <v>94</v>
      </c>
    </row>
    <row r="3383" spans="1:70" x14ac:dyDescent="0.3">
      <c r="A3383" t="str">
        <f>"202409C0100"</f>
        <v>202409C0100</v>
      </c>
      <c r="B3383" t="s">
        <v>7013</v>
      </c>
      <c r="C3383">
        <v>20</v>
      </c>
      <c r="D3383" t="s">
        <v>88</v>
      </c>
      <c r="E3383">
        <v>560</v>
      </c>
      <c r="F3383" t="s">
        <v>7007</v>
      </c>
      <c r="G3383">
        <v>2409</v>
      </c>
      <c r="H3383">
        <v>1</v>
      </c>
      <c r="I3383" t="s">
        <v>98</v>
      </c>
      <c r="J3383">
        <v>0</v>
      </c>
      <c r="K3383">
        <v>1</v>
      </c>
      <c r="L3383">
        <v>5</v>
      </c>
      <c r="M3383">
        <v>175</v>
      </c>
      <c r="N3383">
        <v>375</v>
      </c>
      <c r="O3383">
        <v>0</v>
      </c>
      <c r="P3383">
        <v>375</v>
      </c>
      <c r="Q3383">
        <v>17</v>
      </c>
      <c r="R3383">
        <v>48</v>
      </c>
      <c r="S3383">
        <v>16</v>
      </c>
      <c r="T3383">
        <v>4</v>
      </c>
      <c r="U3383">
        <v>4</v>
      </c>
      <c r="V3383">
        <v>151</v>
      </c>
      <c r="W3383">
        <v>82</v>
      </c>
      <c r="X3383">
        <v>1</v>
      </c>
      <c r="Y3383">
        <v>29</v>
      </c>
      <c r="Z3383">
        <v>0</v>
      </c>
      <c r="AA3383">
        <v>5</v>
      </c>
      <c r="AB3383">
        <v>2</v>
      </c>
      <c r="AC3383">
        <v>7</v>
      </c>
      <c r="AD3383">
        <v>0</v>
      </c>
      <c r="AE3383">
        <v>0</v>
      </c>
      <c r="AF3383">
        <v>0</v>
      </c>
      <c r="AG3383">
        <v>0</v>
      </c>
      <c r="AH3383">
        <v>0</v>
      </c>
      <c r="AI3383">
        <v>0</v>
      </c>
      <c r="AJ3383">
        <v>0</v>
      </c>
      <c r="AK3383">
        <v>1</v>
      </c>
      <c r="AL3383">
        <v>0</v>
      </c>
      <c r="AM3383">
        <v>0</v>
      </c>
      <c r="AN3383">
        <v>1</v>
      </c>
      <c r="BC3383">
        <v>0</v>
      </c>
      <c r="BD3383">
        <v>7</v>
      </c>
      <c r="BE3383">
        <v>375</v>
      </c>
      <c r="BF3383">
        <v>375</v>
      </c>
      <c r="BG3383">
        <v>528</v>
      </c>
      <c r="BJ3383">
        <v>1</v>
      </c>
      <c r="BL3383" t="s">
        <v>7014</v>
      </c>
      <c r="BM3383" s="4">
        <v>43283.227083333331</v>
      </c>
      <c r="BN3383" s="4">
        <v>43283.248657407406</v>
      </c>
      <c r="BO3383" s="4">
        <v>43283.248657407406</v>
      </c>
      <c r="BP3383" t="s">
        <v>92</v>
      </c>
      <c r="BQ3383" t="s">
        <v>93</v>
      </c>
      <c r="BR3383" t="s">
        <v>94</v>
      </c>
    </row>
    <row r="3384" spans="1:70" x14ac:dyDescent="0.3">
      <c r="A3384" t="str">
        <f>"202409C0200"</f>
        <v>202409C0200</v>
      </c>
      <c r="B3384" t="s">
        <v>7015</v>
      </c>
      <c r="C3384">
        <v>20</v>
      </c>
      <c r="D3384" t="s">
        <v>88</v>
      </c>
      <c r="E3384">
        <v>560</v>
      </c>
      <c r="F3384" t="s">
        <v>7007</v>
      </c>
      <c r="G3384">
        <v>2409</v>
      </c>
      <c r="H3384">
        <v>2</v>
      </c>
      <c r="I3384" t="s">
        <v>98</v>
      </c>
      <c r="J3384">
        <v>0</v>
      </c>
      <c r="K3384">
        <v>1</v>
      </c>
      <c r="L3384">
        <v>5</v>
      </c>
      <c r="M3384">
        <v>202</v>
      </c>
      <c r="N3384">
        <v>348</v>
      </c>
      <c r="O3384">
        <v>1</v>
      </c>
      <c r="P3384">
        <v>347</v>
      </c>
      <c r="Q3384">
        <v>11</v>
      </c>
      <c r="R3384">
        <v>59</v>
      </c>
      <c r="S3384">
        <v>25</v>
      </c>
      <c r="T3384">
        <v>0</v>
      </c>
      <c r="U3384">
        <v>3</v>
      </c>
      <c r="V3384">
        <v>124</v>
      </c>
      <c r="W3384">
        <v>54</v>
      </c>
      <c r="X3384">
        <v>2</v>
      </c>
      <c r="Y3384">
        <v>41</v>
      </c>
      <c r="Z3384">
        <v>0</v>
      </c>
      <c r="AA3384">
        <v>4</v>
      </c>
      <c r="AB3384">
        <v>0</v>
      </c>
      <c r="AC3384">
        <v>3</v>
      </c>
      <c r="AD3384">
        <v>0</v>
      </c>
      <c r="AE3384">
        <v>2</v>
      </c>
      <c r="AF3384">
        <v>1</v>
      </c>
      <c r="AG3384">
        <v>2</v>
      </c>
      <c r="AH3384">
        <v>1</v>
      </c>
      <c r="AI3384">
        <v>0</v>
      </c>
      <c r="AJ3384">
        <v>0</v>
      </c>
      <c r="AK3384">
        <v>0</v>
      </c>
      <c r="AL3384">
        <v>2</v>
      </c>
      <c r="AM3384">
        <v>0</v>
      </c>
      <c r="AN3384">
        <v>0</v>
      </c>
      <c r="BC3384">
        <v>1</v>
      </c>
      <c r="BD3384">
        <v>12</v>
      </c>
      <c r="BE3384" t="s">
        <v>105</v>
      </c>
      <c r="BF3384">
        <v>347</v>
      </c>
      <c r="BG3384">
        <v>528</v>
      </c>
      <c r="BJ3384">
        <v>1</v>
      </c>
      <c r="BL3384" t="s">
        <v>7016</v>
      </c>
      <c r="BM3384" s="4">
        <v>43283.21597222222</v>
      </c>
      <c r="BN3384" s="4">
        <v>43283.240335648145</v>
      </c>
      <c r="BO3384" s="4">
        <v>43283.240335648145</v>
      </c>
      <c r="BP3384" t="s">
        <v>92</v>
      </c>
      <c r="BQ3384" t="s">
        <v>93</v>
      </c>
      <c r="BR3384" t="s">
        <v>94</v>
      </c>
    </row>
    <row r="3385" spans="1:70" x14ac:dyDescent="0.3">
      <c r="A3385" t="str">
        <f>"202409S0100"</f>
        <v>202409S0100</v>
      </c>
      <c r="B3385" t="s">
        <v>7017</v>
      </c>
      <c r="C3385">
        <v>20</v>
      </c>
      <c r="D3385" t="s">
        <v>88</v>
      </c>
      <c r="E3385">
        <v>560</v>
      </c>
      <c r="F3385" t="s">
        <v>7007</v>
      </c>
      <c r="G3385">
        <v>2409</v>
      </c>
      <c r="H3385">
        <v>1</v>
      </c>
      <c r="I3385" t="s">
        <v>113</v>
      </c>
      <c r="J3385">
        <v>0</v>
      </c>
      <c r="K3385">
        <v>1</v>
      </c>
      <c r="L3385">
        <v>6</v>
      </c>
      <c r="M3385">
        <v>759</v>
      </c>
      <c r="N3385">
        <v>13</v>
      </c>
      <c r="O3385">
        <v>0</v>
      </c>
      <c r="P3385">
        <v>13</v>
      </c>
      <c r="Q3385" t="s">
        <v>105</v>
      </c>
      <c r="R3385" t="s">
        <v>105</v>
      </c>
      <c r="S3385" t="s">
        <v>105</v>
      </c>
      <c r="T3385" t="s">
        <v>105</v>
      </c>
      <c r="U3385" t="s">
        <v>105</v>
      </c>
      <c r="V3385">
        <v>9</v>
      </c>
      <c r="W3385">
        <v>2</v>
      </c>
      <c r="X3385" t="s">
        <v>105</v>
      </c>
      <c r="Y3385">
        <v>1</v>
      </c>
      <c r="Z3385" t="s">
        <v>105</v>
      </c>
      <c r="AA3385" t="s">
        <v>105</v>
      </c>
      <c r="AB3385" t="s">
        <v>105</v>
      </c>
      <c r="AC3385">
        <v>1</v>
      </c>
      <c r="AD3385" t="s">
        <v>105</v>
      </c>
      <c r="AE3385" t="s">
        <v>105</v>
      </c>
      <c r="AF3385" t="s">
        <v>105</v>
      </c>
      <c r="AG3385" t="s">
        <v>105</v>
      </c>
      <c r="AH3385" t="s">
        <v>105</v>
      </c>
      <c r="AI3385" t="s">
        <v>105</v>
      </c>
      <c r="AJ3385" t="s">
        <v>105</v>
      </c>
      <c r="AK3385" t="s">
        <v>105</v>
      </c>
      <c r="AL3385" t="s">
        <v>105</v>
      </c>
      <c r="AM3385" t="s">
        <v>105</v>
      </c>
      <c r="AN3385" t="s">
        <v>105</v>
      </c>
      <c r="BC3385" t="s">
        <v>105</v>
      </c>
      <c r="BD3385" t="s">
        <v>105</v>
      </c>
      <c r="BE3385">
        <v>13</v>
      </c>
      <c r="BF3385">
        <v>13</v>
      </c>
      <c r="BG3385">
        <v>0</v>
      </c>
      <c r="BI3385" t="s">
        <v>106</v>
      </c>
      <c r="BJ3385">
        <v>1</v>
      </c>
      <c r="BL3385" t="s">
        <v>7018</v>
      </c>
      <c r="BM3385" s="4">
        <v>43283.214583333334</v>
      </c>
      <c r="BN3385" s="4">
        <v>43283.234143518515</v>
      </c>
      <c r="BO3385" s="4">
        <v>43283.234143518515</v>
      </c>
      <c r="BP3385" t="s">
        <v>92</v>
      </c>
      <c r="BQ3385" t="s">
        <v>93</v>
      </c>
      <c r="BR3385" t="s">
        <v>94</v>
      </c>
    </row>
    <row r="3386" spans="1:70" x14ac:dyDescent="0.3">
      <c r="A3386" t="str">
        <f>"202410B0100"</f>
        <v>202410B0100</v>
      </c>
      <c r="B3386" t="s">
        <v>7019</v>
      </c>
      <c r="C3386">
        <v>20</v>
      </c>
      <c r="D3386" t="s">
        <v>88</v>
      </c>
      <c r="E3386">
        <v>560</v>
      </c>
      <c r="F3386" t="s">
        <v>7007</v>
      </c>
      <c r="G3386">
        <v>2410</v>
      </c>
      <c r="H3386">
        <v>1</v>
      </c>
      <c r="I3386" t="s">
        <v>90</v>
      </c>
      <c r="J3386">
        <v>0</v>
      </c>
      <c r="K3386">
        <v>1</v>
      </c>
      <c r="L3386">
        <v>5</v>
      </c>
      <c r="M3386" t="s">
        <v>127</v>
      </c>
      <c r="N3386" t="s">
        <v>127</v>
      </c>
      <c r="O3386" t="s">
        <v>127</v>
      </c>
      <c r="P3386" t="s">
        <v>127</v>
      </c>
      <c r="Q3386" t="s">
        <v>127</v>
      </c>
      <c r="R3386" t="s">
        <v>127</v>
      </c>
      <c r="S3386" t="s">
        <v>127</v>
      </c>
      <c r="T3386" t="s">
        <v>127</v>
      </c>
      <c r="U3386" t="s">
        <v>127</v>
      </c>
      <c r="V3386" t="s">
        <v>127</v>
      </c>
      <c r="W3386" t="s">
        <v>127</v>
      </c>
      <c r="X3386" t="s">
        <v>127</v>
      </c>
      <c r="Y3386" t="s">
        <v>127</v>
      </c>
      <c r="Z3386" t="s">
        <v>127</v>
      </c>
      <c r="AA3386" t="s">
        <v>127</v>
      </c>
      <c r="AB3386" t="s">
        <v>127</v>
      </c>
      <c r="AC3386" t="s">
        <v>127</v>
      </c>
      <c r="AD3386" t="s">
        <v>127</v>
      </c>
      <c r="AE3386" t="s">
        <v>127</v>
      </c>
      <c r="AF3386" t="s">
        <v>127</v>
      </c>
      <c r="AG3386" t="s">
        <v>127</v>
      </c>
      <c r="AH3386" t="s">
        <v>127</v>
      </c>
      <c r="AI3386" t="s">
        <v>127</v>
      </c>
      <c r="AJ3386" t="s">
        <v>127</v>
      </c>
      <c r="AK3386" t="s">
        <v>127</v>
      </c>
      <c r="AL3386" t="s">
        <v>127</v>
      </c>
      <c r="AM3386" t="s">
        <v>127</v>
      </c>
      <c r="AN3386" t="s">
        <v>127</v>
      </c>
      <c r="BC3386" t="s">
        <v>127</v>
      </c>
      <c r="BD3386" t="s">
        <v>127</v>
      </c>
      <c r="BG3386">
        <v>652</v>
      </c>
      <c r="BI3386" t="s">
        <v>1244</v>
      </c>
      <c r="BJ3386">
        <v>0</v>
      </c>
      <c r="BL3386" t="s">
        <v>7020</v>
      </c>
      <c r="BM3386" s="4">
        <v>43283.227777777778</v>
      </c>
      <c r="BN3386" s="4">
        <v>43283.251840277779</v>
      </c>
      <c r="BO3386" s="4">
        <v>43283.251840277779</v>
      </c>
      <c r="BP3386" t="s">
        <v>92</v>
      </c>
      <c r="BQ3386" t="s">
        <v>93</v>
      </c>
      <c r="BR3386" t="s">
        <v>94</v>
      </c>
    </row>
    <row r="3387" spans="1:70" x14ac:dyDescent="0.3">
      <c r="A3387" t="str">
        <f>"202410C0100"</f>
        <v>202410C0100</v>
      </c>
      <c r="B3387" t="s">
        <v>7021</v>
      </c>
      <c r="C3387">
        <v>20</v>
      </c>
      <c r="D3387" t="s">
        <v>88</v>
      </c>
      <c r="E3387">
        <v>560</v>
      </c>
      <c r="F3387" t="s">
        <v>7007</v>
      </c>
      <c r="G3387">
        <v>2410</v>
      </c>
      <c r="H3387">
        <v>1</v>
      </c>
      <c r="I3387" t="s">
        <v>98</v>
      </c>
      <c r="J3387">
        <v>0</v>
      </c>
      <c r="K3387">
        <v>1</v>
      </c>
      <c r="L3387">
        <v>5</v>
      </c>
      <c r="M3387">
        <v>239</v>
      </c>
      <c r="N3387">
        <v>435</v>
      </c>
      <c r="O3387">
        <v>3</v>
      </c>
      <c r="P3387">
        <v>435</v>
      </c>
      <c r="Q3387">
        <v>10</v>
      </c>
      <c r="R3387">
        <v>84</v>
      </c>
      <c r="S3387">
        <v>16</v>
      </c>
      <c r="T3387">
        <v>2</v>
      </c>
      <c r="U3387">
        <v>16</v>
      </c>
      <c r="V3387">
        <v>125</v>
      </c>
      <c r="W3387">
        <v>89</v>
      </c>
      <c r="X3387">
        <v>3</v>
      </c>
      <c r="Y3387">
        <v>57</v>
      </c>
      <c r="Z3387">
        <v>4</v>
      </c>
      <c r="AA3387">
        <v>8</v>
      </c>
      <c r="AB3387">
        <v>3</v>
      </c>
      <c r="AC3387">
        <v>5</v>
      </c>
      <c r="AD3387">
        <v>0</v>
      </c>
      <c r="AE3387">
        <v>0</v>
      </c>
      <c r="AF3387">
        <v>1</v>
      </c>
      <c r="AG3387">
        <v>1</v>
      </c>
      <c r="AH3387">
        <v>2</v>
      </c>
      <c r="AI3387">
        <v>0</v>
      </c>
      <c r="AJ3387">
        <v>0</v>
      </c>
      <c r="AK3387">
        <v>0</v>
      </c>
      <c r="AL3387">
        <v>0</v>
      </c>
      <c r="AM3387">
        <v>0</v>
      </c>
      <c r="AN3387">
        <v>1</v>
      </c>
      <c r="BC3387">
        <v>0</v>
      </c>
      <c r="BD3387">
        <v>11</v>
      </c>
      <c r="BE3387">
        <v>438</v>
      </c>
      <c r="BF3387">
        <v>438</v>
      </c>
      <c r="BG3387">
        <v>652</v>
      </c>
      <c r="BJ3387">
        <v>1</v>
      </c>
      <c r="BL3387" t="s">
        <v>7022</v>
      </c>
      <c r="BM3387" s="4">
        <v>43283.218055555553</v>
      </c>
      <c r="BN3387" s="4">
        <v>43283.240266203706</v>
      </c>
      <c r="BO3387" s="4">
        <v>43283.240266203706</v>
      </c>
      <c r="BP3387" t="s">
        <v>92</v>
      </c>
      <c r="BQ3387" t="s">
        <v>93</v>
      </c>
      <c r="BR3387" t="s">
        <v>94</v>
      </c>
    </row>
    <row r="3388" spans="1:70" x14ac:dyDescent="0.3">
      <c r="A3388" t="str">
        <f>"202410C0200"</f>
        <v>202410C0200</v>
      </c>
      <c r="B3388" t="s">
        <v>7023</v>
      </c>
      <c r="C3388">
        <v>20</v>
      </c>
      <c r="D3388" t="s">
        <v>88</v>
      </c>
      <c r="E3388">
        <v>560</v>
      </c>
      <c r="F3388" t="s">
        <v>7007</v>
      </c>
      <c r="G3388">
        <v>2410</v>
      </c>
      <c r="H3388">
        <v>2</v>
      </c>
      <c r="I3388" t="s">
        <v>98</v>
      </c>
      <c r="J3388">
        <v>0</v>
      </c>
      <c r="K3388">
        <v>1</v>
      </c>
      <c r="L3388">
        <v>5</v>
      </c>
      <c r="M3388">
        <v>224</v>
      </c>
      <c r="N3388">
        <v>450</v>
      </c>
      <c r="O3388" t="s">
        <v>127</v>
      </c>
      <c r="P3388">
        <v>450</v>
      </c>
      <c r="Q3388">
        <v>14</v>
      </c>
      <c r="R3388">
        <v>77</v>
      </c>
      <c r="S3388">
        <v>17</v>
      </c>
      <c r="T3388">
        <v>4</v>
      </c>
      <c r="U3388">
        <v>13</v>
      </c>
      <c r="V3388">
        <v>126</v>
      </c>
      <c r="W3388">
        <v>95</v>
      </c>
      <c r="X3388">
        <v>5</v>
      </c>
      <c r="Y3388">
        <v>3</v>
      </c>
      <c r="Z3388">
        <v>2</v>
      </c>
      <c r="AA3388">
        <v>7</v>
      </c>
      <c r="AB3388">
        <v>4</v>
      </c>
      <c r="AC3388">
        <v>0</v>
      </c>
      <c r="AD3388">
        <v>1</v>
      </c>
      <c r="AE3388">
        <v>0</v>
      </c>
      <c r="AF3388">
        <v>1</v>
      </c>
      <c r="AG3388">
        <v>1</v>
      </c>
      <c r="AH3388">
        <v>1</v>
      </c>
      <c r="AI3388" t="s">
        <v>105</v>
      </c>
      <c r="AJ3388" t="s">
        <v>105</v>
      </c>
      <c r="AK3388">
        <v>9</v>
      </c>
      <c r="AL3388">
        <v>2</v>
      </c>
      <c r="AM3388">
        <v>0</v>
      </c>
      <c r="AN3388">
        <v>1</v>
      </c>
      <c r="BC3388" t="s">
        <v>105</v>
      </c>
      <c r="BD3388">
        <v>11</v>
      </c>
      <c r="BE3388" t="s">
        <v>127</v>
      </c>
      <c r="BF3388">
        <v>394</v>
      </c>
      <c r="BG3388">
        <v>652</v>
      </c>
      <c r="BI3388" t="s">
        <v>106</v>
      </c>
      <c r="BJ3388">
        <v>1</v>
      </c>
      <c r="BL3388" t="s">
        <v>7024</v>
      </c>
      <c r="BM3388" s="4">
        <v>43283.238194444442</v>
      </c>
      <c r="BN3388" s="4">
        <v>43283.272094907406</v>
      </c>
      <c r="BO3388" s="4">
        <v>43283.272094907406</v>
      </c>
      <c r="BP3388" t="s">
        <v>92</v>
      </c>
      <c r="BQ3388" t="s">
        <v>93</v>
      </c>
      <c r="BR3388" t="s">
        <v>94</v>
      </c>
    </row>
    <row r="3389" spans="1:70" x14ac:dyDescent="0.3">
      <c r="A3389" t="str">
        <f>"202410C0300"</f>
        <v>202410C0300</v>
      </c>
      <c r="B3389" t="s">
        <v>7025</v>
      </c>
      <c r="C3389">
        <v>20</v>
      </c>
      <c r="D3389" t="s">
        <v>88</v>
      </c>
      <c r="E3389">
        <v>560</v>
      </c>
      <c r="F3389" t="s">
        <v>7007</v>
      </c>
      <c r="G3389">
        <v>2410</v>
      </c>
      <c r="H3389">
        <v>3</v>
      </c>
      <c r="I3389" t="s">
        <v>98</v>
      </c>
      <c r="J3389">
        <v>0</v>
      </c>
      <c r="K3389">
        <v>1</v>
      </c>
      <c r="L3389">
        <v>5</v>
      </c>
      <c r="M3389">
        <v>231</v>
      </c>
      <c r="N3389">
        <v>442</v>
      </c>
      <c r="O3389">
        <v>4</v>
      </c>
      <c r="P3389">
        <v>442</v>
      </c>
      <c r="Q3389">
        <v>18</v>
      </c>
      <c r="R3389">
        <v>72</v>
      </c>
      <c r="S3389">
        <v>17</v>
      </c>
      <c r="T3389">
        <v>2</v>
      </c>
      <c r="U3389">
        <v>14</v>
      </c>
      <c r="V3389">
        <v>127</v>
      </c>
      <c r="W3389">
        <v>95</v>
      </c>
      <c r="X3389">
        <v>0</v>
      </c>
      <c r="Y3389">
        <v>49</v>
      </c>
      <c r="Z3389">
        <v>3</v>
      </c>
      <c r="AA3389">
        <v>8</v>
      </c>
      <c r="AB3389">
        <v>9</v>
      </c>
      <c r="AC3389">
        <v>4</v>
      </c>
      <c r="AD3389">
        <v>0</v>
      </c>
      <c r="AE3389">
        <v>0</v>
      </c>
      <c r="AF3389">
        <v>0</v>
      </c>
      <c r="AG3389">
        <v>1</v>
      </c>
      <c r="AH3389">
        <v>0</v>
      </c>
      <c r="AI3389">
        <v>0</v>
      </c>
      <c r="AJ3389">
        <v>0</v>
      </c>
      <c r="AK3389">
        <v>3</v>
      </c>
      <c r="AL3389">
        <v>3</v>
      </c>
      <c r="AM3389">
        <v>0</v>
      </c>
      <c r="AN3389">
        <v>0</v>
      </c>
      <c r="BC3389">
        <v>0</v>
      </c>
      <c r="BD3389">
        <v>17</v>
      </c>
      <c r="BE3389">
        <v>442</v>
      </c>
      <c r="BF3389">
        <v>442</v>
      </c>
      <c r="BG3389">
        <v>651</v>
      </c>
      <c r="BJ3389">
        <v>1</v>
      </c>
      <c r="BL3389" t="s">
        <v>7026</v>
      </c>
      <c r="BM3389" s="4">
        <v>43283.22152777778</v>
      </c>
      <c r="BN3389" s="4">
        <v>43283.245092592595</v>
      </c>
      <c r="BO3389" s="4">
        <v>43283.245092592595</v>
      </c>
      <c r="BP3389" t="s">
        <v>92</v>
      </c>
      <c r="BQ3389" t="s">
        <v>93</v>
      </c>
      <c r="BR3389" t="s">
        <v>94</v>
      </c>
    </row>
    <row r="3390" spans="1:70" x14ac:dyDescent="0.3">
      <c r="A3390" t="str">
        <f>"202411B0100"</f>
        <v>202411B0100</v>
      </c>
      <c r="B3390" t="s">
        <v>7027</v>
      </c>
      <c r="C3390">
        <v>20</v>
      </c>
      <c r="D3390" t="s">
        <v>88</v>
      </c>
      <c r="E3390">
        <v>560</v>
      </c>
      <c r="F3390" t="s">
        <v>7007</v>
      </c>
      <c r="G3390">
        <v>2411</v>
      </c>
      <c r="H3390">
        <v>1</v>
      </c>
      <c r="I3390" t="s">
        <v>90</v>
      </c>
      <c r="J3390">
        <v>0</v>
      </c>
      <c r="K3390">
        <v>2</v>
      </c>
      <c r="L3390">
        <v>5</v>
      </c>
      <c r="M3390">
        <v>190</v>
      </c>
      <c r="N3390">
        <v>427</v>
      </c>
      <c r="O3390">
        <v>2</v>
      </c>
      <c r="P3390">
        <v>426</v>
      </c>
      <c r="Q3390">
        <v>7</v>
      </c>
      <c r="R3390">
        <v>73</v>
      </c>
      <c r="S3390">
        <v>22</v>
      </c>
      <c r="T3390">
        <v>1</v>
      </c>
      <c r="U3390">
        <v>16</v>
      </c>
      <c r="V3390">
        <v>77</v>
      </c>
      <c r="W3390">
        <v>111</v>
      </c>
      <c r="X3390">
        <v>1</v>
      </c>
      <c r="Y3390">
        <v>81</v>
      </c>
      <c r="Z3390">
        <v>2</v>
      </c>
      <c r="AA3390">
        <v>2</v>
      </c>
      <c r="AB3390">
        <v>12</v>
      </c>
      <c r="AC3390">
        <v>1</v>
      </c>
      <c r="AD3390">
        <v>0</v>
      </c>
      <c r="AE3390">
        <v>0</v>
      </c>
      <c r="AF3390">
        <v>0</v>
      </c>
      <c r="AG3390">
        <v>2</v>
      </c>
      <c r="AH3390">
        <v>3</v>
      </c>
      <c r="AI3390">
        <v>0</v>
      </c>
      <c r="AJ3390">
        <v>0</v>
      </c>
      <c r="AK3390">
        <v>5</v>
      </c>
      <c r="AL3390">
        <v>0</v>
      </c>
      <c r="AM3390">
        <v>0</v>
      </c>
      <c r="AN3390">
        <v>0</v>
      </c>
      <c r="BC3390">
        <v>0</v>
      </c>
      <c r="BD3390">
        <v>10</v>
      </c>
      <c r="BE3390">
        <v>426</v>
      </c>
      <c r="BF3390">
        <v>426</v>
      </c>
      <c r="BG3390">
        <v>594</v>
      </c>
      <c r="BJ3390">
        <v>1</v>
      </c>
      <c r="BL3390" t="s">
        <v>7028</v>
      </c>
      <c r="BM3390" s="4">
        <v>43283.016956018517</v>
      </c>
      <c r="BN3390" s="4">
        <v>43283.021307870367</v>
      </c>
      <c r="BO3390" s="4">
        <v>43283.021307870367</v>
      </c>
      <c r="BP3390" t="s">
        <v>339</v>
      </c>
      <c r="BQ3390" t="s">
        <v>340</v>
      </c>
      <c r="BR3390" t="s">
        <v>94</v>
      </c>
    </row>
    <row r="3391" spans="1:70" x14ac:dyDescent="0.3">
      <c r="A3391" t="str">
        <f>"202411C0100"</f>
        <v>202411C0100</v>
      </c>
      <c r="B3391" t="s">
        <v>7029</v>
      </c>
      <c r="C3391">
        <v>20</v>
      </c>
      <c r="D3391" t="s">
        <v>88</v>
      </c>
      <c r="E3391">
        <v>560</v>
      </c>
      <c r="F3391" t="s">
        <v>7007</v>
      </c>
      <c r="G3391">
        <v>2411</v>
      </c>
      <c r="H3391">
        <v>1</v>
      </c>
      <c r="I3391" t="s">
        <v>98</v>
      </c>
      <c r="J3391">
        <v>0</v>
      </c>
      <c r="K3391">
        <v>2</v>
      </c>
      <c r="L3391">
        <v>5</v>
      </c>
      <c r="M3391">
        <v>176</v>
      </c>
      <c r="N3391">
        <v>437</v>
      </c>
      <c r="O3391">
        <v>5</v>
      </c>
      <c r="P3391">
        <v>437</v>
      </c>
      <c r="Q3391">
        <v>15</v>
      </c>
      <c r="R3391">
        <v>58</v>
      </c>
      <c r="S3391">
        <v>12</v>
      </c>
      <c r="T3391">
        <v>0</v>
      </c>
      <c r="U3391">
        <v>11</v>
      </c>
      <c r="V3391">
        <v>70</v>
      </c>
      <c r="W3391">
        <v>135</v>
      </c>
      <c r="X3391">
        <v>2</v>
      </c>
      <c r="Y3391">
        <v>95</v>
      </c>
      <c r="Z3391">
        <v>3</v>
      </c>
      <c r="AA3391">
        <v>2</v>
      </c>
      <c r="AB3391">
        <v>7</v>
      </c>
      <c r="AC3391">
        <v>4</v>
      </c>
      <c r="AD3391">
        <v>2</v>
      </c>
      <c r="AE3391">
        <v>1</v>
      </c>
      <c r="AF3391">
        <v>0</v>
      </c>
      <c r="AG3391">
        <v>3</v>
      </c>
      <c r="AH3391">
        <v>1</v>
      </c>
      <c r="AI3391">
        <v>0</v>
      </c>
      <c r="AJ3391">
        <v>1</v>
      </c>
      <c r="AK3391">
        <v>2</v>
      </c>
      <c r="AL3391">
        <v>0</v>
      </c>
      <c r="AM3391">
        <v>0</v>
      </c>
      <c r="AN3391">
        <v>0</v>
      </c>
      <c r="BC3391">
        <v>1</v>
      </c>
      <c r="BD3391">
        <v>11</v>
      </c>
      <c r="BE3391">
        <v>437</v>
      </c>
      <c r="BF3391">
        <v>436</v>
      </c>
      <c r="BG3391">
        <v>593</v>
      </c>
      <c r="BJ3391">
        <v>1</v>
      </c>
      <c r="BL3391" t="s">
        <v>7030</v>
      </c>
      <c r="BM3391" s="4">
        <v>43283.046076388891</v>
      </c>
      <c r="BN3391" s="4">
        <v>43283.050243055557</v>
      </c>
      <c r="BO3391" s="4">
        <v>43283.050243055557</v>
      </c>
      <c r="BP3391" t="s">
        <v>339</v>
      </c>
      <c r="BQ3391" t="s">
        <v>340</v>
      </c>
      <c r="BR3391" t="s">
        <v>94</v>
      </c>
    </row>
    <row r="3392" spans="1:70" x14ac:dyDescent="0.3">
      <c r="A3392" t="str">
        <f>"202411C0200"</f>
        <v>202411C0200</v>
      </c>
      <c r="B3392" t="s">
        <v>7031</v>
      </c>
      <c r="C3392">
        <v>20</v>
      </c>
      <c r="D3392" t="s">
        <v>88</v>
      </c>
      <c r="E3392">
        <v>560</v>
      </c>
      <c r="F3392" t="s">
        <v>7007</v>
      </c>
      <c r="G3392">
        <v>2411</v>
      </c>
      <c r="H3392">
        <v>2</v>
      </c>
      <c r="I3392" t="s">
        <v>98</v>
      </c>
      <c r="J3392">
        <v>0</v>
      </c>
      <c r="K3392">
        <v>2</v>
      </c>
      <c r="L3392">
        <v>5</v>
      </c>
      <c r="M3392">
        <v>199</v>
      </c>
      <c r="N3392">
        <v>416</v>
      </c>
      <c r="O3392">
        <v>9</v>
      </c>
      <c r="P3392">
        <v>416</v>
      </c>
      <c r="Q3392">
        <v>8</v>
      </c>
      <c r="R3392">
        <v>59</v>
      </c>
      <c r="S3392">
        <v>17</v>
      </c>
      <c r="T3392">
        <v>5</v>
      </c>
      <c r="U3392">
        <v>13</v>
      </c>
      <c r="V3392">
        <v>61</v>
      </c>
      <c r="W3392">
        <v>111</v>
      </c>
      <c r="X3392">
        <v>1</v>
      </c>
      <c r="Y3392">
        <v>96</v>
      </c>
      <c r="Z3392">
        <v>5</v>
      </c>
      <c r="AA3392">
        <v>5</v>
      </c>
      <c r="AB3392">
        <v>15</v>
      </c>
      <c r="AC3392">
        <v>2</v>
      </c>
      <c r="AD3392">
        <v>1</v>
      </c>
      <c r="AE3392">
        <v>0</v>
      </c>
      <c r="AF3392">
        <v>0</v>
      </c>
      <c r="AG3392">
        <v>0</v>
      </c>
      <c r="AH3392">
        <v>2</v>
      </c>
      <c r="AI3392">
        <v>0</v>
      </c>
      <c r="AJ3392">
        <v>0</v>
      </c>
      <c r="AK3392">
        <v>2</v>
      </c>
      <c r="AL3392">
        <v>1</v>
      </c>
      <c r="AM3392">
        <v>0</v>
      </c>
      <c r="AN3392">
        <v>2</v>
      </c>
      <c r="BC3392">
        <v>0</v>
      </c>
      <c r="BD3392">
        <v>10</v>
      </c>
      <c r="BE3392" t="s">
        <v>127</v>
      </c>
      <c r="BF3392">
        <v>416</v>
      </c>
      <c r="BG3392">
        <v>593</v>
      </c>
      <c r="BJ3392">
        <v>1</v>
      </c>
      <c r="BL3392" t="s">
        <v>7032</v>
      </c>
      <c r="BM3392" s="4">
        <v>43282.996180555558</v>
      </c>
      <c r="BN3392" s="4">
        <v>43283.001018518517</v>
      </c>
      <c r="BO3392" s="4">
        <v>43283.001018518517</v>
      </c>
      <c r="BP3392" t="s">
        <v>339</v>
      </c>
      <c r="BQ3392" t="s">
        <v>340</v>
      </c>
      <c r="BR3392" t="s">
        <v>94</v>
      </c>
    </row>
    <row r="3393" spans="1:70" x14ac:dyDescent="0.3">
      <c r="A3393" t="str">
        <f>"202411C0300"</f>
        <v>202411C0300</v>
      </c>
      <c r="B3393" t="s">
        <v>7033</v>
      </c>
      <c r="C3393">
        <v>20</v>
      </c>
      <c r="D3393" t="s">
        <v>88</v>
      </c>
      <c r="E3393">
        <v>560</v>
      </c>
      <c r="F3393" t="s">
        <v>7007</v>
      </c>
      <c r="G3393">
        <v>2411</v>
      </c>
      <c r="H3393">
        <v>3</v>
      </c>
      <c r="I3393" t="s">
        <v>98</v>
      </c>
      <c r="J3393">
        <v>0</v>
      </c>
      <c r="K3393">
        <v>2</v>
      </c>
      <c r="L3393">
        <v>5</v>
      </c>
      <c r="M3393">
        <v>181</v>
      </c>
      <c r="N3393">
        <v>615</v>
      </c>
      <c r="O3393">
        <v>5</v>
      </c>
      <c r="P3393">
        <v>439</v>
      </c>
      <c r="Q3393">
        <v>7</v>
      </c>
      <c r="R3393">
        <v>68</v>
      </c>
      <c r="S3393">
        <v>22</v>
      </c>
      <c r="T3393">
        <v>1</v>
      </c>
      <c r="U3393">
        <v>20</v>
      </c>
      <c r="V3393">
        <v>62</v>
      </c>
      <c r="W3393">
        <v>128</v>
      </c>
      <c r="X3393">
        <v>6</v>
      </c>
      <c r="Y3393">
        <v>79</v>
      </c>
      <c r="Z3393">
        <v>2</v>
      </c>
      <c r="AA3393">
        <v>4</v>
      </c>
      <c r="AB3393">
        <v>15</v>
      </c>
      <c r="AC3393" t="s">
        <v>105</v>
      </c>
      <c r="AD3393" t="s">
        <v>105</v>
      </c>
      <c r="AE3393" t="s">
        <v>105</v>
      </c>
      <c r="AF3393">
        <v>2</v>
      </c>
      <c r="AG3393">
        <v>1</v>
      </c>
      <c r="AH3393">
        <v>1</v>
      </c>
      <c r="AI3393" t="s">
        <v>105</v>
      </c>
      <c r="AJ3393" t="s">
        <v>105</v>
      </c>
      <c r="AK3393">
        <v>2</v>
      </c>
      <c r="AL3393" t="s">
        <v>105</v>
      </c>
      <c r="AM3393" t="s">
        <v>105</v>
      </c>
      <c r="AN3393" t="s">
        <v>105</v>
      </c>
      <c r="BC3393" t="s">
        <v>105</v>
      </c>
      <c r="BD3393" t="s">
        <v>105</v>
      </c>
      <c r="BE3393" t="s">
        <v>105</v>
      </c>
      <c r="BF3393">
        <v>420</v>
      </c>
      <c r="BG3393">
        <v>593</v>
      </c>
      <c r="BI3393" t="s">
        <v>106</v>
      </c>
      <c r="BJ3393">
        <v>1</v>
      </c>
      <c r="BL3393" t="s">
        <v>7034</v>
      </c>
      <c r="BM3393" s="4">
        <v>43282.968761574077</v>
      </c>
      <c r="BN3393" s="4">
        <v>43282.97583333333</v>
      </c>
      <c r="BO3393" s="4">
        <v>43282.97583333333</v>
      </c>
      <c r="BP3393" t="s">
        <v>339</v>
      </c>
      <c r="BQ3393" t="s">
        <v>340</v>
      </c>
      <c r="BR3393" t="s">
        <v>94</v>
      </c>
    </row>
    <row r="3394" spans="1:70" x14ac:dyDescent="0.3">
      <c r="A3394" t="str">
        <f>"202423B0100"</f>
        <v>202423B0100</v>
      </c>
      <c r="B3394" t="s">
        <v>7035</v>
      </c>
      <c r="C3394">
        <v>20</v>
      </c>
      <c r="D3394" t="s">
        <v>88</v>
      </c>
      <c r="E3394">
        <v>566</v>
      </c>
      <c r="F3394" t="s">
        <v>7036</v>
      </c>
      <c r="G3394">
        <v>2423</v>
      </c>
      <c r="H3394">
        <v>1</v>
      </c>
      <c r="I3394" t="s">
        <v>90</v>
      </c>
      <c r="J3394">
        <v>0</v>
      </c>
      <c r="K3394">
        <v>1</v>
      </c>
      <c r="L3394">
        <v>5</v>
      </c>
      <c r="M3394">
        <v>168</v>
      </c>
      <c r="N3394">
        <v>465</v>
      </c>
      <c r="O3394">
        <v>9</v>
      </c>
      <c r="P3394" t="s">
        <v>105</v>
      </c>
      <c r="Q3394">
        <v>2</v>
      </c>
      <c r="R3394">
        <v>10</v>
      </c>
      <c r="S3394">
        <v>52</v>
      </c>
      <c r="T3394">
        <v>1</v>
      </c>
      <c r="U3394">
        <v>4</v>
      </c>
      <c r="V3394">
        <v>2</v>
      </c>
      <c r="W3394">
        <v>172</v>
      </c>
      <c r="X3394">
        <v>6</v>
      </c>
      <c r="Y3394">
        <v>58</v>
      </c>
      <c r="Z3394">
        <v>2</v>
      </c>
      <c r="AA3394">
        <v>12</v>
      </c>
      <c r="AB3394">
        <v>10</v>
      </c>
      <c r="AC3394">
        <v>0</v>
      </c>
      <c r="AD3394">
        <v>0</v>
      </c>
      <c r="AE3394">
        <v>0</v>
      </c>
      <c r="AF3394">
        <v>0</v>
      </c>
      <c r="AG3394">
        <v>2</v>
      </c>
      <c r="AH3394">
        <v>1</v>
      </c>
      <c r="AI3394">
        <v>1</v>
      </c>
      <c r="AJ3394">
        <v>1</v>
      </c>
      <c r="AK3394">
        <v>1</v>
      </c>
      <c r="AL3394">
        <v>0</v>
      </c>
      <c r="AM3394">
        <v>0</v>
      </c>
      <c r="AN3394">
        <v>0</v>
      </c>
      <c r="AZ3394">
        <v>115</v>
      </c>
      <c r="BC3394" t="s">
        <v>105</v>
      </c>
      <c r="BD3394">
        <v>13</v>
      </c>
      <c r="BE3394">
        <v>465</v>
      </c>
      <c r="BF3394">
        <v>465</v>
      </c>
      <c r="BG3394">
        <v>610</v>
      </c>
      <c r="BI3394" t="s">
        <v>106</v>
      </c>
      <c r="BJ3394">
        <v>1</v>
      </c>
      <c r="BL3394" t="s">
        <v>7037</v>
      </c>
      <c r="BM3394" s="4">
        <v>43282.991932870369</v>
      </c>
      <c r="BN3394" s="4">
        <v>43282.99560185185</v>
      </c>
      <c r="BO3394" s="4">
        <v>43282.99560185185</v>
      </c>
      <c r="BP3394" t="s">
        <v>339</v>
      </c>
      <c r="BQ3394" t="s">
        <v>340</v>
      </c>
      <c r="BR3394" t="s">
        <v>94</v>
      </c>
    </row>
    <row r="3395" spans="1:70" x14ac:dyDescent="0.3">
      <c r="A3395" t="str">
        <f>"202423C0100"</f>
        <v>202423C0100</v>
      </c>
      <c r="B3395" t="s">
        <v>7038</v>
      </c>
      <c r="C3395">
        <v>20</v>
      </c>
      <c r="D3395" t="s">
        <v>88</v>
      </c>
      <c r="E3395">
        <v>566</v>
      </c>
      <c r="F3395" t="s">
        <v>7036</v>
      </c>
      <c r="G3395">
        <v>2423</v>
      </c>
      <c r="H3395">
        <v>1</v>
      </c>
      <c r="I3395" t="s">
        <v>98</v>
      </c>
      <c r="J3395">
        <v>0</v>
      </c>
      <c r="K3395">
        <v>1</v>
      </c>
      <c r="L3395">
        <v>5</v>
      </c>
      <c r="M3395">
        <v>169</v>
      </c>
      <c r="N3395">
        <v>464</v>
      </c>
      <c r="O3395">
        <v>3</v>
      </c>
      <c r="P3395">
        <v>464</v>
      </c>
      <c r="Q3395">
        <v>8</v>
      </c>
      <c r="R3395">
        <v>17</v>
      </c>
      <c r="S3395">
        <v>55</v>
      </c>
      <c r="T3395">
        <v>1</v>
      </c>
      <c r="U3395">
        <v>0</v>
      </c>
      <c r="V3395">
        <v>3</v>
      </c>
      <c r="W3395">
        <v>153</v>
      </c>
      <c r="X3395">
        <v>10</v>
      </c>
      <c r="Y3395">
        <v>66</v>
      </c>
      <c r="Z3395">
        <v>1</v>
      </c>
      <c r="AA3395">
        <v>11</v>
      </c>
      <c r="AB3395">
        <v>16</v>
      </c>
      <c r="AC3395">
        <v>3</v>
      </c>
      <c r="AD3395">
        <v>0</v>
      </c>
      <c r="AE3395">
        <v>0</v>
      </c>
      <c r="AF3395">
        <v>1</v>
      </c>
      <c r="AG3395">
        <v>1</v>
      </c>
      <c r="AH3395">
        <v>0</v>
      </c>
      <c r="AI3395">
        <v>1</v>
      </c>
      <c r="AJ3395">
        <v>0</v>
      </c>
      <c r="AK3395">
        <v>1</v>
      </c>
      <c r="AL3395">
        <v>0</v>
      </c>
      <c r="AM3395">
        <v>0</v>
      </c>
      <c r="AN3395">
        <v>0</v>
      </c>
      <c r="AZ3395">
        <v>108</v>
      </c>
      <c r="BC3395">
        <v>0</v>
      </c>
      <c r="BD3395">
        <v>8</v>
      </c>
      <c r="BE3395">
        <v>464</v>
      </c>
      <c r="BF3395">
        <v>464</v>
      </c>
      <c r="BG3395">
        <v>610</v>
      </c>
      <c r="BJ3395">
        <v>1</v>
      </c>
      <c r="BL3395" t="s">
        <v>7039</v>
      </c>
      <c r="BM3395" s="4">
        <v>43282.996249999997</v>
      </c>
      <c r="BN3395" s="4">
        <v>43283.004641203705</v>
      </c>
      <c r="BO3395" s="4">
        <v>43283.004641203705</v>
      </c>
      <c r="BP3395" t="s">
        <v>339</v>
      </c>
      <c r="BQ3395" t="s">
        <v>340</v>
      </c>
      <c r="BR3395" t="s">
        <v>94</v>
      </c>
    </row>
    <row r="3396" spans="1:70" x14ac:dyDescent="0.3">
      <c r="A3396" t="str">
        <f>"202423C0200"</f>
        <v>202423C0200</v>
      </c>
      <c r="B3396" t="s">
        <v>7040</v>
      </c>
      <c r="C3396">
        <v>20</v>
      </c>
      <c r="D3396" t="s">
        <v>88</v>
      </c>
      <c r="E3396">
        <v>566</v>
      </c>
      <c r="F3396" t="s">
        <v>7036</v>
      </c>
      <c r="G3396">
        <v>2423</v>
      </c>
      <c r="H3396">
        <v>2</v>
      </c>
      <c r="I3396" t="s">
        <v>98</v>
      </c>
      <c r="J3396">
        <v>0</v>
      </c>
      <c r="K3396">
        <v>1</v>
      </c>
      <c r="L3396">
        <v>5</v>
      </c>
      <c r="M3396">
        <v>176</v>
      </c>
      <c r="N3396">
        <v>457</v>
      </c>
      <c r="O3396">
        <v>3</v>
      </c>
      <c r="P3396">
        <v>457</v>
      </c>
      <c r="Q3396">
        <v>0</v>
      </c>
      <c r="R3396">
        <v>17</v>
      </c>
      <c r="S3396">
        <v>39</v>
      </c>
      <c r="T3396">
        <v>2</v>
      </c>
      <c r="U3396">
        <v>3</v>
      </c>
      <c r="V3396">
        <v>2</v>
      </c>
      <c r="W3396">
        <v>150</v>
      </c>
      <c r="X3396">
        <v>7</v>
      </c>
      <c r="Y3396">
        <v>58</v>
      </c>
      <c r="Z3396">
        <v>2</v>
      </c>
      <c r="AA3396">
        <v>19</v>
      </c>
      <c r="AB3396">
        <v>13</v>
      </c>
      <c r="AC3396">
        <v>1</v>
      </c>
      <c r="AD3396">
        <v>0</v>
      </c>
      <c r="AE3396">
        <v>0</v>
      </c>
      <c r="AF3396">
        <v>0</v>
      </c>
      <c r="AG3396">
        <v>4</v>
      </c>
      <c r="AH3396">
        <v>0</v>
      </c>
      <c r="AI3396">
        <v>0</v>
      </c>
      <c r="AJ3396">
        <v>0</v>
      </c>
      <c r="AK3396">
        <v>4</v>
      </c>
      <c r="AL3396">
        <v>0</v>
      </c>
      <c r="AM3396">
        <v>0</v>
      </c>
      <c r="AN3396">
        <v>0</v>
      </c>
      <c r="AZ3396">
        <v>127</v>
      </c>
      <c r="BC3396">
        <v>0</v>
      </c>
      <c r="BD3396">
        <v>13</v>
      </c>
      <c r="BE3396">
        <v>457</v>
      </c>
      <c r="BF3396">
        <v>461</v>
      </c>
      <c r="BG3396">
        <v>610</v>
      </c>
      <c r="BJ3396">
        <v>1</v>
      </c>
      <c r="BL3396" t="s">
        <v>7041</v>
      </c>
      <c r="BM3396" s="4">
        <v>43283.08556712963</v>
      </c>
      <c r="BN3396" s="4">
        <v>43283.088425925926</v>
      </c>
      <c r="BO3396" s="4">
        <v>43283.088425925926</v>
      </c>
      <c r="BP3396" t="s">
        <v>339</v>
      </c>
      <c r="BQ3396" t="s">
        <v>340</v>
      </c>
      <c r="BR3396" t="s">
        <v>94</v>
      </c>
    </row>
    <row r="3397" spans="1:70" x14ac:dyDescent="0.3">
      <c r="A3397" t="str">
        <f>"202423C0300"</f>
        <v>202423C0300</v>
      </c>
      <c r="B3397" t="s">
        <v>7042</v>
      </c>
      <c r="C3397">
        <v>20</v>
      </c>
      <c r="D3397" t="s">
        <v>88</v>
      </c>
      <c r="E3397">
        <v>566</v>
      </c>
      <c r="F3397" t="s">
        <v>7036</v>
      </c>
      <c r="G3397">
        <v>2423</v>
      </c>
      <c r="H3397">
        <v>3</v>
      </c>
      <c r="I3397" t="s">
        <v>98</v>
      </c>
      <c r="J3397">
        <v>0</v>
      </c>
      <c r="K3397">
        <v>1</v>
      </c>
      <c r="L3397">
        <v>5</v>
      </c>
      <c r="M3397" t="s">
        <v>105</v>
      </c>
      <c r="N3397">
        <v>457</v>
      </c>
      <c r="O3397">
        <v>7</v>
      </c>
      <c r="P3397">
        <v>457</v>
      </c>
      <c r="Q3397">
        <v>4</v>
      </c>
      <c r="R3397">
        <v>14</v>
      </c>
      <c r="S3397">
        <v>57</v>
      </c>
      <c r="T3397">
        <v>0</v>
      </c>
      <c r="U3397">
        <v>5</v>
      </c>
      <c r="V3397">
        <v>2</v>
      </c>
      <c r="W3397">
        <v>160</v>
      </c>
      <c r="X3397">
        <v>7</v>
      </c>
      <c r="Y3397">
        <v>59</v>
      </c>
      <c r="Z3397">
        <v>1</v>
      </c>
      <c r="AA3397">
        <v>12</v>
      </c>
      <c r="AB3397">
        <v>3</v>
      </c>
      <c r="AC3397">
        <v>2</v>
      </c>
      <c r="AD3397">
        <v>1</v>
      </c>
      <c r="AE3397">
        <v>0</v>
      </c>
      <c r="AF3397">
        <v>0</v>
      </c>
      <c r="AG3397">
        <v>0</v>
      </c>
      <c r="AH3397">
        <v>1</v>
      </c>
      <c r="AI3397">
        <v>0</v>
      </c>
      <c r="AJ3397">
        <v>0</v>
      </c>
      <c r="AK3397">
        <v>0</v>
      </c>
      <c r="AL3397">
        <v>0</v>
      </c>
      <c r="AM3397">
        <v>0</v>
      </c>
      <c r="AN3397">
        <v>0</v>
      </c>
      <c r="AZ3397">
        <v>125</v>
      </c>
      <c r="BC3397" t="s">
        <v>105</v>
      </c>
      <c r="BD3397">
        <v>4</v>
      </c>
      <c r="BE3397">
        <v>457</v>
      </c>
      <c r="BF3397">
        <v>457</v>
      </c>
      <c r="BG3397">
        <v>609</v>
      </c>
      <c r="BI3397" t="s">
        <v>106</v>
      </c>
      <c r="BJ3397">
        <v>1</v>
      </c>
      <c r="BL3397" t="s">
        <v>7043</v>
      </c>
      <c r="BM3397" s="4">
        <v>43283.039039351854</v>
      </c>
      <c r="BN3397" s="4">
        <v>43283.045312499999</v>
      </c>
      <c r="BO3397" s="4">
        <v>43283.045312499999</v>
      </c>
      <c r="BP3397" t="s">
        <v>339</v>
      </c>
      <c r="BQ3397" t="s">
        <v>340</v>
      </c>
      <c r="BR3397" t="s">
        <v>94</v>
      </c>
    </row>
    <row r="3398" spans="1:70" x14ac:dyDescent="0.3">
      <c r="A3398" t="str">
        <f>"202423C0400"</f>
        <v>202423C0400</v>
      </c>
      <c r="B3398" t="s">
        <v>7044</v>
      </c>
      <c r="C3398">
        <v>20</v>
      </c>
      <c r="D3398" t="s">
        <v>88</v>
      </c>
      <c r="E3398">
        <v>566</v>
      </c>
      <c r="F3398" t="s">
        <v>7036</v>
      </c>
      <c r="G3398">
        <v>2423</v>
      </c>
      <c r="H3398">
        <v>4</v>
      </c>
      <c r="I3398" t="s">
        <v>98</v>
      </c>
      <c r="J3398">
        <v>0</v>
      </c>
      <c r="K3398">
        <v>1</v>
      </c>
      <c r="L3398">
        <v>5</v>
      </c>
      <c r="M3398">
        <v>177</v>
      </c>
      <c r="N3398">
        <v>455</v>
      </c>
      <c r="O3398">
        <v>4</v>
      </c>
      <c r="P3398">
        <v>455</v>
      </c>
      <c r="Q3398">
        <v>2</v>
      </c>
      <c r="R3398">
        <v>31</v>
      </c>
      <c r="S3398">
        <v>32</v>
      </c>
      <c r="T3398">
        <v>2</v>
      </c>
      <c r="U3398">
        <v>1</v>
      </c>
      <c r="V3398">
        <v>4</v>
      </c>
      <c r="W3398">
        <v>158</v>
      </c>
      <c r="X3398">
        <v>13</v>
      </c>
      <c r="Y3398">
        <v>60</v>
      </c>
      <c r="Z3398">
        <v>2</v>
      </c>
      <c r="AA3398">
        <v>19</v>
      </c>
      <c r="AB3398">
        <v>8</v>
      </c>
      <c r="AC3398">
        <v>2</v>
      </c>
      <c r="AD3398">
        <v>0</v>
      </c>
      <c r="AE3398">
        <v>0</v>
      </c>
      <c r="AF3398">
        <v>0</v>
      </c>
      <c r="AG3398">
        <v>0</v>
      </c>
      <c r="AH3398">
        <v>0</v>
      </c>
      <c r="AI3398">
        <v>0</v>
      </c>
      <c r="AJ3398">
        <v>0</v>
      </c>
      <c r="AK3398">
        <v>1</v>
      </c>
      <c r="AL3398">
        <v>0</v>
      </c>
      <c r="AM3398">
        <v>0</v>
      </c>
      <c r="AN3398">
        <v>1</v>
      </c>
      <c r="AZ3398">
        <v>97</v>
      </c>
      <c r="BC3398">
        <v>0</v>
      </c>
      <c r="BD3398">
        <v>24</v>
      </c>
      <c r="BE3398">
        <v>455</v>
      </c>
      <c r="BF3398">
        <v>457</v>
      </c>
      <c r="BG3398">
        <v>609</v>
      </c>
      <c r="BJ3398">
        <v>1</v>
      </c>
      <c r="BL3398" s="2" t="s">
        <v>7045</v>
      </c>
      <c r="BM3398" s="4">
        <v>43283.070821759262</v>
      </c>
      <c r="BN3398" s="4">
        <v>43283.07916666667</v>
      </c>
      <c r="BO3398" s="4">
        <v>43283.07916666667</v>
      </c>
      <c r="BP3398" t="s">
        <v>339</v>
      </c>
      <c r="BQ3398" t="s">
        <v>340</v>
      </c>
      <c r="BR3398" t="s">
        <v>94</v>
      </c>
    </row>
    <row r="3399" spans="1:70" x14ac:dyDescent="0.3">
      <c r="A3399" t="str">
        <f>"202424B0100"</f>
        <v>202424B0100</v>
      </c>
      <c r="B3399" t="s">
        <v>7046</v>
      </c>
      <c r="C3399">
        <v>20</v>
      </c>
      <c r="D3399" t="s">
        <v>88</v>
      </c>
      <c r="E3399">
        <v>566</v>
      </c>
      <c r="F3399" t="s">
        <v>7036</v>
      </c>
      <c r="G3399">
        <v>2424</v>
      </c>
      <c r="H3399">
        <v>1</v>
      </c>
      <c r="I3399" t="s">
        <v>90</v>
      </c>
      <c r="J3399">
        <v>0</v>
      </c>
      <c r="K3399">
        <v>1</v>
      </c>
      <c r="L3399">
        <v>5</v>
      </c>
      <c r="M3399">
        <v>163</v>
      </c>
      <c r="N3399">
        <v>559</v>
      </c>
      <c r="O3399">
        <v>10</v>
      </c>
      <c r="P3399" t="s">
        <v>105</v>
      </c>
      <c r="Q3399">
        <v>4</v>
      </c>
      <c r="R3399">
        <v>16</v>
      </c>
      <c r="S3399">
        <v>44</v>
      </c>
      <c r="T3399">
        <v>1</v>
      </c>
      <c r="U3399">
        <v>3</v>
      </c>
      <c r="V3399">
        <v>1</v>
      </c>
      <c r="W3399">
        <v>258</v>
      </c>
      <c r="X3399">
        <v>5</v>
      </c>
      <c r="Y3399">
        <v>73</v>
      </c>
      <c r="Z3399">
        <v>2</v>
      </c>
      <c r="AA3399">
        <v>12</v>
      </c>
      <c r="AB3399">
        <v>9</v>
      </c>
      <c r="AC3399">
        <v>1</v>
      </c>
      <c r="AD3399">
        <v>0</v>
      </c>
      <c r="AE3399">
        <v>0</v>
      </c>
      <c r="AF3399">
        <v>0</v>
      </c>
      <c r="AG3399">
        <v>3</v>
      </c>
      <c r="AH3399">
        <v>0</v>
      </c>
      <c r="AI3399">
        <v>0</v>
      </c>
      <c r="AJ3399">
        <v>0</v>
      </c>
      <c r="AK3399">
        <v>0</v>
      </c>
      <c r="AL3399">
        <v>0</v>
      </c>
      <c r="AM3399">
        <v>0</v>
      </c>
      <c r="AN3399">
        <v>0</v>
      </c>
      <c r="AZ3399">
        <v>121</v>
      </c>
      <c r="BC3399">
        <v>0</v>
      </c>
      <c r="BD3399">
        <v>10</v>
      </c>
      <c r="BE3399">
        <v>563</v>
      </c>
      <c r="BF3399">
        <v>563</v>
      </c>
      <c r="BG3399">
        <v>700</v>
      </c>
      <c r="BJ3399">
        <v>1</v>
      </c>
      <c r="BL3399" t="s">
        <v>7047</v>
      </c>
      <c r="BM3399" s="4">
        <v>43283.09946759259</v>
      </c>
      <c r="BN3399" s="4">
        <v>43283.103194444448</v>
      </c>
      <c r="BO3399" s="4">
        <v>43283.103194444448</v>
      </c>
      <c r="BP3399" t="s">
        <v>339</v>
      </c>
      <c r="BQ3399" t="s">
        <v>340</v>
      </c>
      <c r="BR3399" t="s">
        <v>94</v>
      </c>
    </row>
    <row r="3400" spans="1:70" x14ac:dyDescent="0.3">
      <c r="A3400" t="str">
        <f>"202424C0100"</f>
        <v>202424C0100</v>
      </c>
      <c r="B3400" t="s">
        <v>7048</v>
      </c>
      <c r="C3400">
        <v>20</v>
      </c>
      <c r="D3400" t="s">
        <v>88</v>
      </c>
      <c r="E3400">
        <v>566</v>
      </c>
      <c r="F3400" t="s">
        <v>7036</v>
      </c>
      <c r="G3400">
        <v>2424</v>
      </c>
      <c r="H3400">
        <v>1</v>
      </c>
      <c r="I3400" t="s">
        <v>98</v>
      </c>
      <c r="J3400">
        <v>0</v>
      </c>
      <c r="K3400">
        <v>1</v>
      </c>
      <c r="L3400">
        <v>5</v>
      </c>
      <c r="M3400">
        <v>186</v>
      </c>
      <c r="N3400">
        <v>536</v>
      </c>
      <c r="O3400">
        <v>12</v>
      </c>
      <c r="P3400">
        <v>543</v>
      </c>
      <c r="Q3400">
        <v>7</v>
      </c>
      <c r="R3400">
        <v>15</v>
      </c>
      <c r="S3400">
        <v>53</v>
      </c>
      <c r="T3400">
        <v>1</v>
      </c>
      <c r="U3400">
        <v>3</v>
      </c>
      <c r="V3400">
        <v>0</v>
      </c>
      <c r="W3400">
        <v>221</v>
      </c>
      <c r="X3400">
        <v>6</v>
      </c>
      <c r="Y3400">
        <v>63</v>
      </c>
      <c r="Z3400">
        <v>2</v>
      </c>
      <c r="AA3400">
        <v>30</v>
      </c>
      <c r="AB3400">
        <v>7</v>
      </c>
      <c r="AC3400">
        <v>0</v>
      </c>
      <c r="AD3400">
        <v>0</v>
      </c>
      <c r="AE3400">
        <v>0</v>
      </c>
      <c r="AF3400">
        <v>0</v>
      </c>
      <c r="AG3400">
        <v>0</v>
      </c>
      <c r="AH3400">
        <v>0</v>
      </c>
      <c r="AI3400">
        <v>1</v>
      </c>
      <c r="AJ3400">
        <v>0</v>
      </c>
      <c r="AK3400">
        <v>1</v>
      </c>
      <c r="AL3400">
        <v>0</v>
      </c>
      <c r="AM3400">
        <v>0</v>
      </c>
      <c r="AN3400">
        <v>0</v>
      </c>
      <c r="AZ3400">
        <v>114</v>
      </c>
      <c r="BC3400">
        <v>0</v>
      </c>
      <c r="BD3400">
        <v>18</v>
      </c>
      <c r="BE3400">
        <v>543</v>
      </c>
      <c r="BF3400">
        <v>542</v>
      </c>
      <c r="BG3400">
        <v>700</v>
      </c>
      <c r="BJ3400">
        <v>1</v>
      </c>
      <c r="BL3400" t="s">
        <v>7049</v>
      </c>
      <c r="BM3400" s="4">
        <v>43283.172442129631</v>
      </c>
      <c r="BN3400" s="4">
        <v>43283.185810185183</v>
      </c>
      <c r="BO3400" s="4">
        <v>43283.185810185183</v>
      </c>
      <c r="BP3400" t="s">
        <v>339</v>
      </c>
      <c r="BQ3400" t="s">
        <v>340</v>
      </c>
      <c r="BR3400" t="s">
        <v>94</v>
      </c>
    </row>
    <row r="3401" spans="1:70" x14ac:dyDescent="0.3">
      <c r="A3401" t="str">
        <f>"202424C0200"</f>
        <v>202424C0200</v>
      </c>
      <c r="B3401" t="s">
        <v>7050</v>
      </c>
      <c r="C3401">
        <v>20</v>
      </c>
      <c r="D3401" t="s">
        <v>88</v>
      </c>
      <c r="E3401">
        <v>566</v>
      </c>
      <c r="F3401" t="s">
        <v>7036</v>
      </c>
      <c r="G3401">
        <v>2424</v>
      </c>
      <c r="H3401">
        <v>2</v>
      </c>
      <c r="I3401" t="s">
        <v>98</v>
      </c>
      <c r="J3401">
        <v>0</v>
      </c>
      <c r="K3401">
        <v>1</v>
      </c>
      <c r="L3401">
        <v>5</v>
      </c>
      <c r="M3401">
        <v>223</v>
      </c>
      <c r="N3401" t="s">
        <v>105</v>
      </c>
      <c r="O3401" t="s">
        <v>105</v>
      </c>
      <c r="P3401" t="s">
        <v>105</v>
      </c>
      <c r="Q3401">
        <v>5</v>
      </c>
      <c r="R3401">
        <v>14</v>
      </c>
      <c r="S3401">
        <v>41</v>
      </c>
      <c r="T3401">
        <v>5</v>
      </c>
      <c r="U3401">
        <v>4</v>
      </c>
      <c r="V3401">
        <v>2</v>
      </c>
      <c r="W3401">
        <v>212</v>
      </c>
      <c r="X3401">
        <v>9</v>
      </c>
      <c r="Y3401">
        <v>59</v>
      </c>
      <c r="Z3401">
        <v>1</v>
      </c>
      <c r="AA3401">
        <v>17</v>
      </c>
      <c r="AB3401">
        <v>7</v>
      </c>
      <c r="AC3401">
        <v>1</v>
      </c>
      <c r="AD3401" t="s">
        <v>105</v>
      </c>
      <c r="AE3401" t="s">
        <v>105</v>
      </c>
      <c r="AF3401" t="s">
        <v>105</v>
      </c>
      <c r="AG3401">
        <v>3</v>
      </c>
      <c r="AH3401" t="s">
        <v>105</v>
      </c>
      <c r="AI3401" t="s">
        <v>105</v>
      </c>
      <c r="AJ3401" t="s">
        <v>105</v>
      </c>
      <c r="AK3401">
        <v>2</v>
      </c>
      <c r="AL3401" t="s">
        <v>105</v>
      </c>
      <c r="AM3401" t="s">
        <v>105</v>
      </c>
      <c r="AN3401" t="s">
        <v>105</v>
      </c>
      <c r="AZ3401">
        <v>98</v>
      </c>
      <c r="BC3401" t="s">
        <v>105</v>
      </c>
      <c r="BD3401">
        <v>18</v>
      </c>
      <c r="BE3401">
        <v>498</v>
      </c>
      <c r="BF3401">
        <v>498</v>
      </c>
      <c r="BG3401">
        <v>700</v>
      </c>
      <c r="BI3401" t="s">
        <v>106</v>
      </c>
      <c r="BJ3401">
        <v>1</v>
      </c>
      <c r="BL3401" t="s">
        <v>7051</v>
      </c>
      <c r="BM3401" s="4">
        <v>43283.189803240741</v>
      </c>
      <c r="BN3401" s="4">
        <v>43283.207245370373</v>
      </c>
      <c r="BO3401" s="4">
        <v>43283.207245370373</v>
      </c>
      <c r="BP3401" t="s">
        <v>339</v>
      </c>
      <c r="BQ3401" t="s">
        <v>340</v>
      </c>
      <c r="BR3401" t="s">
        <v>94</v>
      </c>
    </row>
    <row r="3402" spans="1:70" x14ac:dyDescent="0.3">
      <c r="A3402" t="str">
        <f>"202424C0300"</f>
        <v>202424C0300</v>
      </c>
      <c r="B3402" t="s">
        <v>7052</v>
      </c>
      <c r="C3402">
        <v>20</v>
      </c>
      <c r="D3402" t="s">
        <v>88</v>
      </c>
      <c r="E3402">
        <v>566</v>
      </c>
      <c r="F3402" t="s">
        <v>7036</v>
      </c>
      <c r="G3402">
        <v>2424</v>
      </c>
      <c r="H3402">
        <v>3</v>
      </c>
      <c r="I3402" t="s">
        <v>98</v>
      </c>
      <c r="J3402">
        <v>0</v>
      </c>
      <c r="K3402">
        <v>1</v>
      </c>
      <c r="L3402">
        <v>5</v>
      </c>
      <c r="M3402">
        <v>186</v>
      </c>
      <c r="N3402">
        <v>539</v>
      </c>
      <c r="O3402">
        <v>4</v>
      </c>
      <c r="P3402">
        <v>525</v>
      </c>
      <c r="Q3402">
        <v>5</v>
      </c>
      <c r="R3402">
        <v>14</v>
      </c>
      <c r="S3402">
        <v>42</v>
      </c>
      <c r="T3402">
        <v>2</v>
      </c>
      <c r="U3402">
        <v>1</v>
      </c>
      <c r="V3402">
        <v>2</v>
      </c>
      <c r="W3402">
        <v>211</v>
      </c>
      <c r="X3402">
        <v>11</v>
      </c>
      <c r="Y3402">
        <v>80</v>
      </c>
      <c r="Z3402">
        <v>2</v>
      </c>
      <c r="AA3402">
        <v>11</v>
      </c>
      <c r="AB3402">
        <v>11</v>
      </c>
      <c r="AC3402">
        <v>6</v>
      </c>
      <c r="AD3402">
        <v>0</v>
      </c>
      <c r="AE3402">
        <v>0</v>
      </c>
      <c r="AF3402">
        <v>0</v>
      </c>
      <c r="AG3402">
        <v>0</v>
      </c>
      <c r="AH3402">
        <v>0</v>
      </c>
      <c r="AI3402">
        <v>0</v>
      </c>
      <c r="AJ3402">
        <v>0</v>
      </c>
      <c r="AK3402">
        <v>3</v>
      </c>
      <c r="AL3402">
        <v>0</v>
      </c>
      <c r="AM3402">
        <v>0</v>
      </c>
      <c r="AN3402">
        <v>0</v>
      </c>
      <c r="AZ3402">
        <v>107</v>
      </c>
      <c r="BC3402">
        <v>1</v>
      </c>
      <c r="BD3402">
        <v>16</v>
      </c>
      <c r="BE3402">
        <v>525</v>
      </c>
      <c r="BF3402">
        <v>525</v>
      </c>
      <c r="BG3402">
        <v>699</v>
      </c>
      <c r="BJ3402">
        <v>1</v>
      </c>
      <c r="BL3402" t="s">
        <v>7053</v>
      </c>
      <c r="BM3402" s="4">
        <v>43283.126527777778</v>
      </c>
      <c r="BN3402" s="4">
        <v>43283.131956018522</v>
      </c>
      <c r="BO3402" s="4">
        <v>43283.131956018522</v>
      </c>
      <c r="BP3402" t="s">
        <v>339</v>
      </c>
      <c r="BQ3402" t="s">
        <v>340</v>
      </c>
      <c r="BR3402" t="s">
        <v>94</v>
      </c>
    </row>
    <row r="3403" spans="1:70" x14ac:dyDescent="0.3">
      <c r="A3403" t="str">
        <f>"202425B0100"</f>
        <v>202425B0100</v>
      </c>
      <c r="B3403" t="s">
        <v>7054</v>
      </c>
      <c r="C3403">
        <v>20</v>
      </c>
      <c r="D3403" t="s">
        <v>88</v>
      </c>
      <c r="E3403">
        <v>566</v>
      </c>
      <c r="F3403" t="s">
        <v>7036</v>
      </c>
      <c r="G3403">
        <v>2425</v>
      </c>
      <c r="H3403">
        <v>1</v>
      </c>
      <c r="I3403" t="s">
        <v>90</v>
      </c>
      <c r="J3403">
        <v>0</v>
      </c>
      <c r="K3403">
        <v>1</v>
      </c>
      <c r="L3403">
        <v>5</v>
      </c>
      <c r="M3403">
        <v>149</v>
      </c>
      <c r="N3403" t="s">
        <v>105</v>
      </c>
      <c r="O3403" t="s">
        <v>105</v>
      </c>
      <c r="P3403" t="s">
        <v>105</v>
      </c>
      <c r="Q3403">
        <v>4</v>
      </c>
      <c r="R3403">
        <v>11</v>
      </c>
      <c r="S3403">
        <v>58</v>
      </c>
      <c r="T3403">
        <v>0</v>
      </c>
      <c r="U3403">
        <v>3</v>
      </c>
      <c r="V3403">
        <v>0</v>
      </c>
      <c r="W3403">
        <v>163</v>
      </c>
      <c r="X3403">
        <v>6</v>
      </c>
      <c r="Y3403">
        <v>44</v>
      </c>
      <c r="Z3403">
        <v>0</v>
      </c>
      <c r="AA3403">
        <v>21</v>
      </c>
      <c r="AB3403">
        <v>1</v>
      </c>
      <c r="AC3403">
        <v>1</v>
      </c>
      <c r="AD3403" t="s">
        <v>105</v>
      </c>
      <c r="AE3403" t="s">
        <v>105</v>
      </c>
      <c r="AF3403" t="s">
        <v>105</v>
      </c>
      <c r="AG3403" t="s">
        <v>105</v>
      </c>
      <c r="AH3403" t="s">
        <v>105</v>
      </c>
      <c r="AI3403" t="s">
        <v>105</v>
      </c>
      <c r="AJ3403" t="s">
        <v>105</v>
      </c>
      <c r="AK3403" t="s">
        <v>105</v>
      </c>
      <c r="AL3403" t="s">
        <v>105</v>
      </c>
      <c r="AM3403" t="s">
        <v>105</v>
      </c>
      <c r="AN3403" t="s">
        <v>105</v>
      </c>
      <c r="AZ3403">
        <v>86</v>
      </c>
      <c r="BC3403" t="s">
        <v>105</v>
      </c>
      <c r="BD3403">
        <v>8</v>
      </c>
      <c r="BE3403">
        <v>406</v>
      </c>
      <c r="BF3403">
        <v>406</v>
      </c>
      <c r="BG3403">
        <v>532</v>
      </c>
      <c r="BI3403" t="s">
        <v>106</v>
      </c>
      <c r="BJ3403">
        <v>1</v>
      </c>
      <c r="BL3403" t="s">
        <v>7055</v>
      </c>
      <c r="BM3403" s="4">
        <v>43282.941944444443</v>
      </c>
      <c r="BN3403" s="4">
        <v>43282.946805555555</v>
      </c>
      <c r="BO3403" s="4">
        <v>43282.946805555555</v>
      </c>
      <c r="BP3403" t="s">
        <v>339</v>
      </c>
      <c r="BQ3403" t="s">
        <v>340</v>
      </c>
      <c r="BR3403" t="s">
        <v>94</v>
      </c>
    </row>
    <row r="3404" spans="1:70" x14ac:dyDescent="0.3">
      <c r="A3404" t="str">
        <f>"202425C0100"</f>
        <v>202425C0100</v>
      </c>
      <c r="B3404" t="s">
        <v>7056</v>
      </c>
      <c r="C3404">
        <v>20</v>
      </c>
      <c r="D3404" t="s">
        <v>88</v>
      </c>
      <c r="E3404">
        <v>566</v>
      </c>
      <c r="F3404" t="s">
        <v>7036</v>
      </c>
      <c r="G3404">
        <v>2425</v>
      </c>
      <c r="H3404">
        <v>1</v>
      </c>
      <c r="I3404" t="s">
        <v>98</v>
      </c>
      <c r="J3404">
        <v>0</v>
      </c>
      <c r="K3404">
        <v>1</v>
      </c>
      <c r="L3404">
        <v>5</v>
      </c>
      <c r="M3404" t="s">
        <v>105</v>
      </c>
      <c r="N3404" t="s">
        <v>105</v>
      </c>
      <c r="O3404" t="s">
        <v>105</v>
      </c>
      <c r="P3404" t="s">
        <v>105</v>
      </c>
      <c r="Q3404">
        <v>3</v>
      </c>
      <c r="R3404">
        <v>14</v>
      </c>
      <c r="S3404">
        <v>36</v>
      </c>
      <c r="T3404">
        <v>2</v>
      </c>
      <c r="U3404">
        <v>1</v>
      </c>
      <c r="V3404">
        <v>1</v>
      </c>
      <c r="W3404">
        <v>157</v>
      </c>
      <c r="X3404">
        <v>5</v>
      </c>
      <c r="Y3404">
        <v>62</v>
      </c>
      <c r="Z3404">
        <v>1</v>
      </c>
      <c r="AA3404">
        <v>26</v>
      </c>
      <c r="AB3404">
        <v>5</v>
      </c>
      <c r="AC3404" t="s">
        <v>105</v>
      </c>
      <c r="AD3404" t="s">
        <v>105</v>
      </c>
      <c r="AE3404" t="s">
        <v>105</v>
      </c>
      <c r="AF3404" t="s">
        <v>105</v>
      </c>
      <c r="AG3404" t="s">
        <v>105</v>
      </c>
      <c r="AH3404" t="s">
        <v>105</v>
      </c>
      <c r="AI3404" t="s">
        <v>105</v>
      </c>
      <c r="AJ3404" t="s">
        <v>105</v>
      </c>
      <c r="AK3404" t="s">
        <v>105</v>
      </c>
      <c r="AL3404" t="s">
        <v>105</v>
      </c>
      <c r="AM3404" t="s">
        <v>105</v>
      </c>
      <c r="AN3404" t="s">
        <v>105</v>
      </c>
      <c r="AZ3404">
        <v>105</v>
      </c>
      <c r="BC3404" t="s">
        <v>105</v>
      </c>
      <c r="BD3404">
        <v>12</v>
      </c>
      <c r="BE3404">
        <v>430</v>
      </c>
      <c r="BF3404">
        <v>430</v>
      </c>
      <c r="BG3404">
        <v>532</v>
      </c>
      <c r="BI3404" t="s">
        <v>106</v>
      </c>
      <c r="BJ3404">
        <v>1</v>
      </c>
      <c r="BL3404" t="s">
        <v>7057</v>
      </c>
      <c r="BM3404" s="4">
        <v>43283.020509259259</v>
      </c>
      <c r="BN3404" s="4">
        <v>43283.026331018518</v>
      </c>
      <c r="BO3404" s="4">
        <v>43283.026331018518</v>
      </c>
      <c r="BP3404" t="s">
        <v>339</v>
      </c>
      <c r="BQ3404" t="s">
        <v>340</v>
      </c>
      <c r="BR3404" t="s">
        <v>94</v>
      </c>
    </row>
    <row r="3405" spans="1:70" x14ac:dyDescent="0.3">
      <c r="A3405" t="str">
        <f>"202425C0200"</f>
        <v>202425C0200</v>
      </c>
      <c r="B3405" t="s">
        <v>7058</v>
      </c>
      <c r="C3405">
        <v>20</v>
      </c>
      <c r="D3405" t="s">
        <v>88</v>
      </c>
      <c r="E3405">
        <v>566</v>
      </c>
      <c r="F3405" t="s">
        <v>7036</v>
      </c>
      <c r="G3405">
        <v>2425</v>
      </c>
      <c r="H3405">
        <v>2</v>
      </c>
      <c r="I3405" t="s">
        <v>98</v>
      </c>
      <c r="J3405">
        <v>0</v>
      </c>
      <c r="K3405">
        <v>1</v>
      </c>
      <c r="L3405">
        <v>5</v>
      </c>
      <c r="M3405">
        <v>139</v>
      </c>
      <c r="N3405">
        <v>416</v>
      </c>
      <c r="O3405">
        <v>9</v>
      </c>
      <c r="P3405">
        <v>416</v>
      </c>
      <c r="Q3405">
        <v>5</v>
      </c>
      <c r="R3405">
        <v>23</v>
      </c>
      <c r="S3405">
        <v>24</v>
      </c>
      <c r="T3405">
        <v>2</v>
      </c>
      <c r="U3405">
        <v>1</v>
      </c>
      <c r="V3405">
        <v>2</v>
      </c>
      <c r="W3405">
        <v>173</v>
      </c>
      <c r="X3405">
        <v>5</v>
      </c>
      <c r="Y3405">
        <v>68</v>
      </c>
      <c r="Z3405">
        <v>0</v>
      </c>
      <c r="AA3405">
        <v>19</v>
      </c>
      <c r="AB3405">
        <v>6</v>
      </c>
      <c r="AC3405">
        <v>0</v>
      </c>
      <c r="AD3405">
        <v>2</v>
      </c>
      <c r="AE3405">
        <v>0</v>
      </c>
      <c r="AF3405">
        <v>0</v>
      </c>
      <c r="AG3405">
        <v>0</v>
      </c>
      <c r="AH3405">
        <v>0</v>
      </c>
      <c r="AI3405">
        <v>0</v>
      </c>
      <c r="AJ3405">
        <v>0</v>
      </c>
      <c r="AK3405">
        <v>0</v>
      </c>
      <c r="AL3405">
        <v>0</v>
      </c>
      <c r="AM3405">
        <v>0</v>
      </c>
      <c r="AN3405">
        <v>2</v>
      </c>
      <c r="AZ3405">
        <v>72</v>
      </c>
      <c r="BC3405">
        <v>0</v>
      </c>
      <c r="BD3405">
        <v>12</v>
      </c>
      <c r="BE3405">
        <v>416</v>
      </c>
      <c r="BF3405">
        <v>416</v>
      </c>
      <c r="BG3405">
        <v>532</v>
      </c>
      <c r="BJ3405">
        <v>1</v>
      </c>
      <c r="BL3405" t="s">
        <v>7059</v>
      </c>
      <c r="BM3405" s="4">
        <v>43283.02239583333</v>
      </c>
      <c r="BN3405" s="4">
        <v>43283.02616898148</v>
      </c>
      <c r="BO3405" s="4">
        <v>43283.02616898148</v>
      </c>
      <c r="BP3405" t="s">
        <v>339</v>
      </c>
      <c r="BQ3405" t="s">
        <v>340</v>
      </c>
      <c r="BR3405" t="s">
        <v>94</v>
      </c>
    </row>
    <row r="3406" spans="1:70" x14ac:dyDescent="0.3">
      <c r="A3406" t="str">
        <f>"202426B0100"</f>
        <v>202426B0100</v>
      </c>
      <c r="B3406" t="s">
        <v>7060</v>
      </c>
      <c r="C3406">
        <v>20</v>
      </c>
      <c r="D3406" t="s">
        <v>88</v>
      </c>
      <c r="E3406">
        <v>566</v>
      </c>
      <c r="F3406" t="s">
        <v>7036</v>
      </c>
      <c r="G3406">
        <v>2426</v>
      </c>
      <c r="H3406">
        <v>1</v>
      </c>
      <c r="I3406" t="s">
        <v>90</v>
      </c>
      <c r="J3406">
        <v>0</v>
      </c>
      <c r="K3406">
        <v>1</v>
      </c>
      <c r="L3406">
        <v>5</v>
      </c>
      <c r="M3406">
        <v>220</v>
      </c>
      <c r="N3406">
        <v>500</v>
      </c>
      <c r="O3406">
        <v>17</v>
      </c>
      <c r="P3406">
        <v>512</v>
      </c>
      <c r="Q3406">
        <v>9</v>
      </c>
      <c r="R3406">
        <v>24</v>
      </c>
      <c r="S3406">
        <v>57</v>
      </c>
      <c r="T3406">
        <v>2</v>
      </c>
      <c r="U3406">
        <v>5</v>
      </c>
      <c r="V3406">
        <v>1</v>
      </c>
      <c r="W3406">
        <v>159</v>
      </c>
      <c r="X3406">
        <v>18</v>
      </c>
      <c r="Y3406">
        <v>109</v>
      </c>
      <c r="Z3406">
        <v>1</v>
      </c>
      <c r="AA3406">
        <v>26</v>
      </c>
      <c r="AB3406">
        <v>5</v>
      </c>
      <c r="AC3406">
        <v>2</v>
      </c>
      <c r="AD3406">
        <v>1</v>
      </c>
      <c r="AE3406">
        <v>0</v>
      </c>
      <c r="AF3406">
        <v>0</v>
      </c>
      <c r="AG3406">
        <v>2</v>
      </c>
      <c r="AH3406">
        <v>1</v>
      </c>
      <c r="AI3406">
        <v>1</v>
      </c>
      <c r="AJ3406">
        <v>0</v>
      </c>
      <c r="AK3406">
        <v>3</v>
      </c>
      <c r="AL3406">
        <v>3</v>
      </c>
      <c r="AM3406">
        <v>0</v>
      </c>
      <c r="AN3406">
        <v>0</v>
      </c>
      <c r="AZ3406">
        <v>71</v>
      </c>
      <c r="BC3406">
        <v>0</v>
      </c>
      <c r="BD3406">
        <v>12</v>
      </c>
      <c r="BE3406">
        <v>512</v>
      </c>
      <c r="BF3406">
        <v>512</v>
      </c>
      <c r="BG3406">
        <v>712</v>
      </c>
      <c r="BJ3406">
        <v>1</v>
      </c>
      <c r="BL3406" t="s">
        <v>7061</v>
      </c>
      <c r="BM3406" s="4">
        <v>43283.161111111112</v>
      </c>
      <c r="BN3406" s="4">
        <v>43283.173854166664</v>
      </c>
      <c r="BO3406" s="4">
        <v>43283.173854166664</v>
      </c>
      <c r="BP3406" t="s">
        <v>92</v>
      </c>
      <c r="BQ3406" t="s">
        <v>93</v>
      </c>
      <c r="BR3406" t="s">
        <v>94</v>
      </c>
    </row>
    <row r="3407" spans="1:70" x14ac:dyDescent="0.3">
      <c r="A3407" t="str">
        <f>"202426C0100"</f>
        <v>202426C0100</v>
      </c>
      <c r="B3407" t="s">
        <v>7062</v>
      </c>
      <c r="C3407">
        <v>20</v>
      </c>
      <c r="D3407" t="s">
        <v>88</v>
      </c>
      <c r="E3407">
        <v>566</v>
      </c>
      <c r="F3407" t="s">
        <v>7036</v>
      </c>
      <c r="G3407">
        <v>2426</v>
      </c>
      <c r="H3407">
        <v>1</v>
      </c>
      <c r="I3407" t="s">
        <v>98</v>
      </c>
      <c r="J3407">
        <v>0</v>
      </c>
      <c r="K3407">
        <v>1</v>
      </c>
      <c r="L3407">
        <v>5</v>
      </c>
      <c r="M3407">
        <v>238</v>
      </c>
      <c r="N3407">
        <v>495</v>
      </c>
      <c r="O3407">
        <v>5</v>
      </c>
      <c r="P3407">
        <v>492</v>
      </c>
      <c r="Q3407">
        <v>7</v>
      </c>
      <c r="R3407">
        <v>19</v>
      </c>
      <c r="S3407">
        <v>79</v>
      </c>
      <c r="T3407">
        <v>3</v>
      </c>
      <c r="U3407">
        <v>9</v>
      </c>
      <c r="V3407">
        <v>1</v>
      </c>
      <c r="W3407">
        <v>151</v>
      </c>
      <c r="X3407">
        <v>11</v>
      </c>
      <c r="Y3407">
        <v>95</v>
      </c>
      <c r="Z3407">
        <v>1</v>
      </c>
      <c r="AA3407">
        <v>21</v>
      </c>
      <c r="AB3407">
        <v>9</v>
      </c>
      <c r="AC3407">
        <v>1</v>
      </c>
      <c r="AD3407">
        <v>0</v>
      </c>
      <c r="AE3407">
        <v>0</v>
      </c>
      <c r="AF3407">
        <v>0</v>
      </c>
      <c r="AG3407">
        <v>0</v>
      </c>
      <c r="AH3407">
        <v>1</v>
      </c>
      <c r="AI3407">
        <v>1</v>
      </c>
      <c r="AJ3407">
        <v>0</v>
      </c>
      <c r="AK3407">
        <v>0</v>
      </c>
      <c r="AL3407">
        <v>1</v>
      </c>
      <c r="AM3407">
        <v>1</v>
      </c>
      <c r="AN3407">
        <v>0</v>
      </c>
      <c r="AZ3407">
        <v>72</v>
      </c>
      <c r="BC3407">
        <v>0</v>
      </c>
      <c r="BD3407">
        <v>9</v>
      </c>
      <c r="BE3407">
        <v>492</v>
      </c>
      <c r="BF3407">
        <v>492</v>
      </c>
      <c r="BG3407">
        <v>712</v>
      </c>
      <c r="BJ3407">
        <v>1</v>
      </c>
      <c r="BL3407" t="s">
        <v>7063</v>
      </c>
      <c r="BM3407" s="4">
        <v>43283.165277777778</v>
      </c>
      <c r="BN3407" s="4">
        <v>43283.176805555559</v>
      </c>
      <c r="BO3407" s="4">
        <v>43283.176805555559</v>
      </c>
      <c r="BP3407" t="s">
        <v>92</v>
      </c>
      <c r="BQ3407" t="s">
        <v>93</v>
      </c>
      <c r="BR3407" t="s">
        <v>94</v>
      </c>
    </row>
    <row r="3408" spans="1:70" x14ac:dyDescent="0.3">
      <c r="A3408" t="str">
        <f>"202426C0200"</f>
        <v>202426C0200</v>
      </c>
      <c r="B3408" t="s">
        <v>7064</v>
      </c>
      <c r="C3408">
        <v>20</v>
      </c>
      <c r="D3408" t="s">
        <v>88</v>
      </c>
      <c r="E3408">
        <v>566</v>
      </c>
      <c r="F3408" t="s">
        <v>7036</v>
      </c>
      <c r="G3408">
        <v>2426</v>
      </c>
      <c r="H3408">
        <v>2</v>
      </c>
      <c r="I3408" t="s">
        <v>98</v>
      </c>
      <c r="J3408">
        <v>0</v>
      </c>
      <c r="K3408">
        <v>1</v>
      </c>
      <c r="L3408">
        <v>5</v>
      </c>
      <c r="M3408">
        <v>230</v>
      </c>
      <c r="N3408">
        <v>505</v>
      </c>
      <c r="O3408">
        <v>2</v>
      </c>
      <c r="P3408">
        <v>495</v>
      </c>
      <c r="Q3408">
        <v>3</v>
      </c>
      <c r="R3408">
        <v>15</v>
      </c>
      <c r="S3408">
        <v>61</v>
      </c>
      <c r="T3408">
        <v>4</v>
      </c>
      <c r="U3408">
        <v>7</v>
      </c>
      <c r="V3408">
        <v>3</v>
      </c>
      <c r="W3408">
        <v>171</v>
      </c>
      <c r="X3408">
        <v>20</v>
      </c>
      <c r="Y3408">
        <v>97</v>
      </c>
      <c r="Z3408">
        <v>0</v>
      </c>
      <c r="AA3408">
        <v>20</v>
      </c>
      <c r="AB3408">
        <v>4</v>
      </c>
      <c r="AC3408">
        <v>1</v>
      </c>
      <c r="AD3408">
        <v>0</v>
      </c>
      <c r="AE3408">
        <v>0</v>
      </c>
      <c r="AF3408">
        <v>0</v>
      </c>
      <c r="AG3408">
        <v>2</v>
      </c>
      <c r="AH3408">
        <v>0</v>
      </c>
      <c r="AI3408">
        <v>0</v>
      </c>
      <c r="AJ3408">
        <v>0</v>
      </c>
      <c r="AK3408">
        <v>2</v>
      </c>
      <c r="AL3408">
        <v>2</v>
      </c>
      <c r="AM3408">
        <v>0</v>
      </c>
      <c r="AN3408">
        <v>0</v>
      </c>
      <c r="AZ3408">
        <v>74</v>
      </c>
      <c r="BC3408">
        <v>0</v>
      </c>
      <c r="BD3408">
        <v>18</v>
      </c>
      <c r="BE3408">
        <v>504</v>
      </c>
      <c r="BF3408">
        <v>504</v>
      </c>
      <c r="BG3408">
        <v>712</v>
      </c>
      <c r="BJ3408">
        <v>1</v>
      </c>
      <c r="BL3408" t="s">
        <v>7065</v>
      </c>
      <c r="BM3408" s="4">
        <v>43283.165972222225</v>
      </c>
      <c r="BN3408" s="4">
        <v>43283.17763888889</v>
      </c>
      <c r="BO3408" s="4">
        <v>43283.17763888889</v>
      </c>
      <c r="BP3408" t="s">
        <v>92</v>
      </c>
      <c r="BQ3408" t="s">
        <v>93</v>
      </c>
      <c r="BR3408" t="s">
        <v>94</v>
      </c>
    </row>
    <row r="3409" spans="1:70" x14ac:dyDescent="0.3">
      <c r="A3409" t="str">
        <f>"202426C0300"</f>
        <v>202426C0300</v>
      </c>
      <c r="B3409" t="s">
        <v>7066</v>
      </c>
      <c r="C3409">
        <v>20</v>
      </c>
      <c r="D3409" t="s">
        <v>88</v>
      </c>
      <c r="E3409">
        <v>566</v>
      </c>
      <c r="F3409" t="s">
        <v>7036</v>
      </c>
      <c r="G3409">
        <v>2426</v>
      </c>
      <c r="H3409">
        <v>3</v>
      </c>
      <c r="I3409" t="s">
        <v>98</v>
      </c>
      <c r="J3409">
        <v>0</v>
      </c>
      <c r="K3409">
        <v>1</v>
      </c>
      <c r="L3409">
        <v>5</v>
      </c>
      <c r="M3409">
        <v>261</v>
      </c>
      <c r="N3409">
        <v>471</v>
      </c>
      <c r="O3409">
        <v>4</v>
      </c>
      <c r="P3409">
        <v>471</v>
      </c>
      <c r="Q3409">
        <v>8</v>
      </c>
      <c r="R3409">
        <v>15</v>
      </c>
      <c r="S3409">
        <v>70</v>
      </c>
      <c r="T3409">
        <v>3</v>
      </c>
      <c r="U3409">
        <v>4</v>
      </c>
      <c r="V3409">
        <v>5</v>
      </c>
      <c r="W3409">
        <v>127</v>
      </c>
      <c r="X3409">
        <v>12</v>
      </c>
      <c r="Y3409">
        <v>92</v>
      </c>
      <c r="Z3409">
        <v>2</v>
      </c>
      <c r="AA3409">
        <v>28</v>
      </c>
      <c r="AB3409">
        <v>4</v>
      </c>
      <c r="AC3409">
        <v>0</v>
      </c>
      <c r="AD3409">
        <v>0</v>
      </c>
      <c r="AE3409">
        <v>0</v>
      </c>
      <c r="AF3409">
        <v>0</v>
      </c>
      <c r="AG3409">
        <v>4</v>
      </c>
      <c r="AH3409">
        <v>0</v>
      </c>
      <c r="AI3409">
        <v>0</v>
      </c>
      <c r="AJ3409">
        <v>0</v>
      </c>
      <c r="AK3409">
        <v>0</v>
      </c>
      <c r="AL3409">
        <v>0</v>
      </c>
      <c r="AM3409">
        <v>0</v>
      </c>
      <c r="AN3409">
        <v>0</v>
      </c>
      <c r="AZ3409">
        <v>85</v>
      </c>
      <c r="BC3409">
        <v>0</v>
      </c>
      <c r="BD3409">
        <v>12</v>
      </c>
      <c r="BE3409">
        <v>471</v>
      </c>
      <c r="BF3409">
        <v>471</v>
      </c>
      <c r="BG3409">
        <v>712</v>
      </c>
      <c r="BJ3409">
        <v>1</v>
      </c>
      <c r="BL3409" t="s">
        <v>7067</v>
      </c>
      <c r="BM3409" s="4">
        <v>43283.168055555558</v>
      </c>
      <c r="BN3409" s="4">
        <v>43283.180891203701</v>
      </c>
      <c r="BO3409" s="4">
        <v>43283.180891203701</v>
      </c>
      <c r="BP3409" t="s">
        <v>92</v>
      </c>
      <c r="BQ3409" t="s">
        <v>93</v>
      </c>
      <c r="BR3409" t="s">
        <v>94</v>
      </c>
    </row>
    <row r="3410" spans="1:70" x14ac:dyDescent="0.3">
      <c r="A3410" t="str">
        <f>"202426C0400"</f>
        <v>202426C0400</v>
      </c>
      <c r="B3410" t="s">
        <v>7068</v>
      </c>
      <c r="C3410">
        <v>20</v>
      </c>
      <c r="D3410" t="s">
        <v>88</v>
      </c>
      <c r="E3410">
        <v>566</v>
      </c>
      <c r="F3410" t="s">
        <v>7036</v>
      </c>
      <c r="G3410">
        <v>2426</v>
      </c>
      <c r="H3410">
        <v>4</v>
      </c>
      <c r="I3410" t="s">
        <v>98</v>
      </c>
      <c r="J3410">
        <v>0</v>
      </c>
      <c r="K3410">
        <v>1</v>
      </c>
      <c r="L3410">
        <v>5</v>
      </c>
      <c r="M3410">
        <v>235</v>
      </c>
      <c r="N3410">
        <v>505</v>
      </c>
      <c r="O3410">
        <v>7</v>
      </c>
      <c r="P3410">
        <v>506</v>
      </c>
      <c r="Q3410">
        <v>13</v>
      </c>
      <c r="R3410">
        <v>28</v>
      </c>
      <c r="S3410">
        <v>61</v>
      </c>
      <c r="T3410">
        <v>3</v>
      </c>
      <c r="U3410">
        <v>5</v>
      </c>
      <c r="V3410">
        <v>4</v>
      </c>
      <c r="W3410">
        <v>130</v>
      </c>
      <c r="X3410">
        <v>18</v>
      </c>
      <c r="Y3410">
        <v>102</v>
      </c>
      <c r="Z3410">
        <v>3</v>
      </c>
      <c r="AA3410">
        <v>26</v>
      </c>
      <c r="AB3410">
        <v>14</v>
      </c>
      <c r="AC3410">
        <v>2</v>
      </c>
      <c r="AD3410">
        <v>0</v>
      </c>
      <c r="AE3410">
        <v>0</v>
      </c>
      <c r="AF3410">
        <v>0</v>
      </c>
      <c r="AG3410">
        <v>1</v>
      </c>
      <c r="AH3410">
        <v>1</v>
      </c>
      <c r="AI3410">
        <v>0</v>
      </c>
      <c r="AJ3410">
        <v>0</v>
      </c>
      <c r="AK3410">
        <v>3</v>
      </c>
      <c r="AL3410">
        <v>0</v>
      </c>
      <c r="AM3410">
        <v>0</v>
      </c>
      <c r="AN3410">
        <v>1</v>
      </c>
      <c r="AZ3410">
        <v>80</v>
      </c>
      <c r="BC3410">
        <v>0</v>
      </c>
      <c r="BD3410">
        <v>11</v>
      </c>
      <c r="BE3410">
        <v>506</v>
      </c>
      <c r="BF3410">
        <v>506</v>
      </c>
      <c r="BG3410">
        <v>712</v>
      </c>
      <c r="BJ3410">
        <v>1</v>
      </c>
      <c r="BL3410" t="s">
        <v>7069</v>
      </c>
      <c r="BM3410" s="4">
        <v>43283.171527777777</v>
      </c>
      <c r="BN3410" s="4">
        <v>43283.186064814814</v>
      </c>
      <c r="BO3410" s="4">
        <v>43283.186064814814</v>
      </c>
      <c r="BP3410" t="s">
        <v>92</v>
      </c>
      <c r="BQ3410" t="s">
        <v>93</v>
      </c>
      <c r="BR3410" t="s">
        <v>94</v>
      </c>
    </row>
    <row r="3411" spans="1:70" x14ac:dyDescent="0.3">
      <c r="A3411" t="str">
        <f>"202427B0100"</f>
        <v>202427B0100</v>
      </c>
      <c r="B3411" t="s">
        <v>7070</v>
      </c>
      <c r="C3411">
        <v>20</v>
      </c>
      <c r="D3411" t="s">
        <v>88</v>
      </c>
      <c r="E3411">
        <v>566</v>
      </c>
      <c r="F3411" t="s">
        <v>7036</v>
      </c>
      <c r="G3411">
        <v>2427</v>
      </c>
      <c r="H3411">
        <v>1</v>
      </c>
      <c r="I3411" t="s">
        <v>90</v>
      </c>
      <c r="J3411">
        <v>0</v>
      </c>
      <c r="K3411">
        <v>2</v>
      </c>
      <c r="L3411">
        <v>5</v>
      </c>
      <c r="M3411">
        <v>190</v>
      </c>
      <c r="N3411">
        <v>417</v>
      </c>
      <c r="O3411">
        <v>5</v>
      </c>
      <c r="P3411">
        <v>408</v>
      </c>
      <c r="Q3411">
        <v>3</v>
      </c>
      <c r="R3411">
        <v>30</v>
      </c>
      <c r="S3411">
        <v>43</v>
      </c>
      <c r="T3411">
        <v>2</v>
      </c>
      <c r="U3411">
        <v>3</v>
      </c>
      <c r="V3411">
        <v>4</v>
      </c>
      <c r="W3411">
        <v>132</v>
      </c>
      <c r="X3411">
        <v>7</v>
      </c>
      <c r="Y3411">
        <v>77</v>
      </c>
      <c r="Z3411">
        <v>2</v>
      </c>
      <c r="AA3411">
        <v>21</v>
      </c>
      <c r="AB3411">
        <v>4</v>
      </c>
      <c r="AC3411">
        <v>0</v>
      </c>
      <c r="AD3411">
        <v>0</v>
      </c>
      <c r="AE3411">
        <v>0</v>
      </c>
      <c r="AF3411">
        <v>1</v>
      </c>
      <c r="AG3411">
        <v>0</v>
      </c>
      <c r="AH3411">
        <v>0</v>
      </c>
      <c r="AI3411">
        <v>1</v>
      </c>
      <c r="AJ3411">
        <v>0</v>
      </c>
      <c r="AK3411">
        <v>2</v>
      </c>
      <c r="AL3411">
        <v>3</v>
      </c>
      <c r="AM3411">
        <v>0</v>
      </c>
      <c r="AN3411">
        <v>2</v>
      </c>
      <c r="AZ3411">
        <v>63</v>
      </c>
      <c r="BC3411">
        <v>0</v>
      </c>
      <c r="BD3411">
        <v>17</v>
      </c>
      <c r="BE3411">
        <v>417</v>
      </c>
      <c r="BF3411">
        <v>417</v>
      </c>
      <c r="BG3411">
        <v>584</v>
      </c>
      <c r="BJ3411">
        <v>1</v>
      </c>
      <c r="BL3411" t="s">
        <v>7071</v>
      </c>
      <c r="BM3411" s="4">
        <v>43283.140972222223</v>
      </c>
      <c r="BN3411" s="4">
        <v>43283.149016203701</v>
      </c>
      <c r="BO3411" s="4">
        <v>43283.149016203701</v>
      </c>
      <c r="BP3411" t="s">
        <v>92</v>
      </c>
      <c r="BQ3411" t="s">
        <v>93</v>
      </c>
      <c r="BR3411" t="s">
        <v>94</v>
      </c>
    </row>
    <row r="3412" spans="1:70" x14ac:dyDescent="0.3">
      <c r="A3412" t="str">
        <f>"202427C0100"</f>
        <v>202427C0100</v>
      </c>
      <c r="B3412" t="s">
        <v>7072</v>
      </c>
      <c r="C3412">
        <v>20</v>
      </c>
      <c r="D3412" t="s">
        <v>88</v>
      </c>
      <c r="E3412">
        <v>566</v>
      </c>
      <c r="F3412" t="s">
        <v>7036</v>
      </c>
      <c r="G3412">
        <v>2427</v>
      </c>
      <c r="H3412">
        <v>1</v>
      </c>
      <c r="I3412" t="s">
        <v>98</v>
      </c>
      <c r="J3412">
        <v>0</v>
      </c>
      <c r="K3412">
        <v>2</v>
      </c>
      <c r="L3412">
        <v>5</v>
      </c>
      <c r="M3412">
        <v>175</v>
      </c>
      <c r="N3412">
        <v>432</v>
      </c>
      <c r="O3412">
        <v>3</v>
      </c>
      <c r="P3412">
        <v>432</v>
      </c>
      <c r="Q3412">
        <v>1</v>
      </c>
      <c r="R3412">
        <v>22</v>
      </c>
      <c r="S3412">
        <v>48</v>
      </c>
      <c r="T3412">
        <v>0</v>
      </c>
      <c r="U3412">
        <v>4</v>
      </c>
      <c r="V3412">
        <v>6</v>
      </c>
      <c r="W3412">
        <v>150</v>
      </c>
      <c r="X3412">
        <v>7</v>
      </c>
      <c r="Y3412">
        <v>80</v>
      </c>
      <c r="Z3412">
        <v>1</v>
      </c>
      <c r="AA3412">
        <v>28</v>
      </c>
      <c r="AB3412">
        <v>2</v>
      </c>
      <c r="AC3412">
        <v>0</v>
      </c>
      <c r="AD3412">
        <v>0</v>
      </c>
      <c r="AE3412">
        <v>0</v>
      </c>
      <c r="AF3412">
        <v>0</v>
      </c>
      <c r="AG3412">
        <v>0</v>
      </c>
      <c r="AH3412">
        <v>0</v>
      </c>
      <c r="AI3412">
        <v>0</v>
      </c>
      <c r="AJ3412">
        <v>0</v>
      </c>
      <c r="AK3412">
        <v>1</v>
      </c>
      <c r="AL3412">
        <v>1</v>
      </c>
      <c r="AM3412">
        <v>0</v>
      </c>
      <c r="AN3412">
        <v>1</v>
      </c>
      <c r="AZ3412">
        <v>72</v>
      </c>
      <c r="BC3412">
        <v>0</v>
      </c>
      <c r="BD3412">
        <v>8</v>
      </c>
      <c r="BE3412">
        <v>432</v>
      </c>
      <c r="BF3412">
        <v>432</v>
      </c>
      <c r="BG3412">
        <v>584</v>
      </c>
      <c r="BJ3412">
        <v>1</v>
      </c>
      <c r="BL3412" t="s">
        <v>7073</v>
      </c>
      <c r="BM3412" s="4">
        <v>43283.143750000003</v>
      </c>
      <c r="BN3412" s="4">
        <v>43283.151041666664</v>
      </c>
      <c r="BO3412" s="4">
        <v>43283.151041666664</v>
      </c>
      <c r="BP3412" t="s">
        <v>92</v>
      </c>
      <c r="BQ3412" t="s">
        <v>93</v>
      </c>
      <c r="BR3412" t="s">
        <v>94</v>
      </c>
    </row>
    <row r="3413" spans="1:70" x14ac:dyDescent="0.3">
      <c r="A3413" t="str">
        <f>"202427C0200"</f>
        <v>202427C0200</v>
      </c>
      <c r="B3413" t="s">
        <v>7074</v>
      </c>
      <c r="C3413">
        <v>20</v>
      </c>
      <c r="D3413" t="s">
        <v>88</v>
      </c>
      <c r="E3413">
        <v>566</v>
      </c>
      <c r="F3413" t="s">
        <v>7036</v>
      </c>
      <c r="G3413">
        <v>2427</v>
      </c>
      <c r="H3413">
        <v>2</v>
      </c>
      <c r="I3413" t="s">
        <v>98</v>
      </c>
      <c r="J3413">
        <v>0</v>
      </c>
      <c r="K3413">
        <v>2</v>
      </c>
      <c r="L3413">
        <v>5</v>
      </c>
      <c r="M3413">
        <v>184</v>
      </c>
      <c r="N3413">
        <v>423</v>
      </c>
      <c r="O3413">
        <v>6</v>
      </c>
      <c r="P3413">
        <v>423</v>
      </c>
      <c r="Q3413">
        <v>2</v>
      </c>
      <c r="R3413">
        <v>33</v>
      </c>
      <c r="S3413">
        <v>32</v>
      </c>
      <c r="T3413">
        <v>3</v>
      </c>
      <c r="U3413">
        <v>4</v>
      </c>
      <c r="V3413">
        <v>1</v>
      </c>
      <c r="W3413">
        <v>169</v>
      </c>
      <c r="X3413">
        <v>7</v>
      </c>
      <c r="Y3413">
        <v>58</v>
      </c>
      <c r="Z3413">
        <v>0</v>
      </c>
      <c r="AA3413">
        <v>21</v>
      </c>
      <c r="AB3413">
        <v>2</v>
      </c>
      <c r="AC3413">
        <v>0</v>
      </c>
      <c r="AD3413">
        <v>0</v>
      </c>
      <c r="AE3413">
        <v>0</v>
      </c>
      <c r="AF3413">
        <v>1</v>
      </c>
      <c r="AG3413">
        <v>0</v>
      </c>
      <c r="AH3413">
        <v>0</v>
      </c>
      <c r="AI3413">
        <v>1</v>
      </c>
      <c r="AJ3413">
        <v>0</v>
      </c>
      <c r="AK3413">
        <v>0</v>
      </c>
      <c r="AL3413">
        <v>1</v>
      </c>
      <c r="AM3413">
        <v>0</v>
      </c>
      <c r="AN3413">
        <v>0</v>
      </c>
      <c r="AZ3413">
        <v>77</v>
      </c>
      <c r="BC3413">
        <v>0</v>
      </c>
      <c r="BD3413">
        <v>11</v>
      </c>
      <c r="BE3413">
        <v>423</v>
      </c>
      <c r="BF3413">
        <v>423</v>
      </c>
      <c r="BG3413">
        <v>584</v>
      </c>
      <c r="BJ3413">
        <v>1</v>
      </c>
      <c r="BL3413" t="s">
        <v>7075</v>
      </c>
      <c r="BM3413" s="4">
        <v>43283.156944444447</v>
      </c>
      <c r="BN3413" s="4">
        <v>43283.17260416667</v>
      </c>
      <c r="BO3413" s="4">
        <v>43283.17260416667</v>
      </c>
      <c r="BP3413" t="s">
        <v>92</v>
      </c>
      <c r="BQ3413" t="s">
        <v>93</v>
      </c>
      <c r="BR3413" t="s">
        <v>94</v>
      </c>
    </row>
    <row r="3414" spans="1:70" x14ac:dyDescent="0.3">
      <c r="A3414" t="str">
        <f>"202428B0100"</f>
        <v>202428B0100</v>
      </c>
      <c r="B3414" t="s">
        <v>7076</v>
      </c>
      <c r="C3414">
        <v>20</v>
      </c>
      <c r="D3414" t="s">
        <v>88</v>
      </c>
      <c r="E3414">
        <v>566</v>
      </c>
      <c r="F3414" t="s">
        <v>7036</v>
      </c>
      <c r="G3414">
        <v>2428</v>
      </c>
      <c r="H3414">
        <v>1</v>
      </c>
      <c r="I3414" t="s">
        <v>90</v>
      </c>
      <c r="J3414">
        <v>0</v>
      </c>
      <c r="K3414">
        <v>2</v>
      </c>
      <c r="L3414">
        <v>5</v>
      </c>
      <c r="BG3414">
        <v>694</v>
      </c>
      <c r="BI3414" t="s">
        <v>122</v>
      </c>
      <c r="BJ3414">
        <v>0</v>
      </c>
      <c r="BL3414" t="s">
        <v>7077</v>
      </c>
      <c r="BM3414" s="4">
        <v>43282.378472222219</v>
      </c>
      <c r="BN3414" s="4">
        <v>43283.396701388891</v>
      </c>
      <c r="BO3414" s="4">
        <v>43283.396701388891</v>
      </c>
      <c r="BP3414" t="s">
        <v>92</v>
      </c>
      <c r="BQ3414" t="s">
        <v>93</v>
      </c>
      <c r="BR3414" t="s">
        <v>94</v>
      </c>
    </row>
    <row r="3415" spans="1:70" x14ac:dyDescent="0.3">
      <c r="A3415" t="str">
        <f>"202428C0100"</f>
        <v>202428C0100</v>
      </c>
      <c r="B3415" t="s">
        <v>7078</v>
      </c>
      <c r="C3415">
        <v>20</v>
      </c>
      <c r="D3415" t="s">
        <v>88</v>
      </c>
      <c r="E3415">
        <v>566</v>
      </c>
      <c r="F3415" t="s">
        <v>7036</v>
      </c>
      <c r="G3415">
        <v>2428</v>
      </c>
      <c r="H3415">
        <v>1</v>
      </c>
      <c r="I3415" t="s">
        <v>98</v>
      </c>
      <c r="J3415">
        <v>0</v>
      </c>
      <c r="K3415">
        <v>2</v>
      </c>
      <c r="L3415">
        <v>5</v>
      </c>
      <c r="BG3415">
        <v>694</v>
      </c>
      <c r="BI3415" t="s">
        <v>122</v>
      </c>
      <c r="BJ3415">
        <v>0</v>
      </c>
      <c r="BL3415" t="s">
        <v>7079</v>
      </c>
      <c r="BM3415" s="4">
        <v>43283.378472222219</v>
      </c>
      <c r="BN3415" s="4">
        <v>43283.397164351853</v>
      </c>
      <c r="BO3415" s="4">
        <v>43283.397164351853</v>
      </c>
      <c r="BP3415" t="s">
        <v>92</v>
      </c>
      <c r="BQ3415" t="s">
        <v>93</v>
      </c>
      <c r="BR3415" t="s">
        <v>94</v>
      </c>
    </row>
    <row r="3416" spans="1:70" x14ac:dyDescent="0.3">
      <c r="A3416" t="str">
        <f>"202428E0100"</f>
        <v>202428E0100</v>
      </c>
      <c r="B3416" s="2" t="s">
        <v>7080</v>
      </c>
      <c r="C3416">
        <v>20</v>
      </c>
      <c r="D3416" t="s">
        <v>88</v>
      </c>
      <c r="E3416">
        <v>566</v>
      </c>
      <c r="F3416" t="s">
        <v>7036</v>
      </c>
      <c r="G3416">
        <v>2428</v>
      </c>
      <c r="H3416">
        <v>1</v>
      </c>
      <c r="I3416" t="s">
        <v>156</v>
      </c>
      <c r="J3416">
        <v>0</v>
      </c>
      <c r="K3416">
        <v>2</v>
      </c>
      <c r="L3416">
        <v>5</v>
      </c>
      <c r="BG3416">
        <v>710</v>
      </c>
      <c r="BI3416" t="s">
        <v>122</v>
      </c>
      <c r="BJ3416">
        <v>0</v>
      </c>
      <c r="BL3416" t="s">
        <v>7081</v>
      </c>
      <c r="BM3416" s="4">
        <v>43283.377083333333</v>
      </c>
      <c r="BN3416" s="4">
        <v>43283.396435185183</v>
      </c>
      <c r="BO3416" s="4">
        <v>43283.396435185183</v>
      </c>
      <c r="BP3416" t="s">
        <v>92</v>
      </c>
      <c r="BQ3416" t="s">
        <v>93</v>
      </c>
      <c r="BR3416" t="s">
        <v>94</v>
      </c>
    </row>
    <row r="3417" spans="1:70" x14ac:dyDescent="0.3">
      <c r="A3417" t="str">
        <f>"202428E0101"</f>
        <v>202428E0101</v>
      </c>
      <c r="B3417" s="2" t="s">
        <v>7082</v>
      </c>
      <c r="C3417">
        <v>20</v>
      </c>
      <c r="D3417" t="s">
        <v>88</v>
      </c>
      <c r="E3417">
        <v>566</v>
      </c>
      <c r="F3417" t="s">
        <v>7036</v>
      </c>
      <c r="G3417">
        <v>2428</v>
      </c>
      <c r="H3417">
        <v>1</v>
      </c>
      <c r="I3417" t="s">
        <v>156</v>
      </c>
      <c r="J3417">
        <v>1</v>
      </c>
      <c r="K3417">
        <v>2</v>
      </c>
      <c r="L3417">
        <v>5</v>
      </c>
      <c r="BG3417">
        <v>710</v>
      </c>
      <c r="BI3417" t="s">
        <v>122</v>
      </c>
      <c r="BJ3417">
        <v>0</v>
      </c>
      <c r="BL3417" t="s">
        <v>7083</v>
      </c>
      <c r="BM3417" s="4">
        <v>43283.376388888886</v>
      </c>
      <c r="BN3417" s="4">
        <v>43283.395567129628</v>
      </c>
      <c r="BO3417" s="4">
        <v>43283.395567129628</v>
      </c>
      <c r="BP3417" t="s">
        <v>92</v>
      </c>
      <c r="BQ3417" t="s">
        <v>93</v>
      </c>
      <c r="BR3417" t="s">
        <v>94</v>
      </c>
    </row>
    <row r="3418" spans="1:70" x14ac:dyDescent="0.3">
      <c r="A3418" t="str">
        <f>"202428E0200"</f>
        <v>202428E0200</v>
      </c>
      <c r="B3418" s="2" t="s">
        <v>7084</v>
      </c>
      <c r="C3418">
        <v>20</v>
      </c>
      <c r="D3418" t="s">
        <v>88</v>
      </c>
      <c r="E3418">
        <v>566</v>
      </c>
      <c r="F3418" t="s">
        <v>7036</v>
      </c>
      <c r="G3418">
        <v>2428</v>
      </c>
      <c r="H3418">
        <v>2</v>
      </c>
      <c r="I3418" t="s">
        <v>156</v>
      </c>
      <c r="J3418">
        <v>0</v>
      </c>
      <c r="K3418">
        <v>2</v>
      </c>
      <c r="L3418">
        <v>5</v>
      </c>
      <c r="M3418">
        <v>319</v>
      </c>
      <c r="N3418">
        <v>380</v>
      </c>
      <c r="O3418">
        <v>6</v>
      </c>
      <c r="P3418">
        <v>380</v>
      </c>
      <c r="Q3418">
        <v>10</v>
      </c>
      <c r="R3418">
        <v>17</v>
      </c>
      <c r="S3418">
        <v>67</v>
      </c>
      <c r="T3418">
        <v>2</v>
      </c>
      <c r="U3418">
        <v>10</v>
      </c>
      <c r="V3418">
        <v>4</v>
      </c>
      <c r="W3418">
        <v>31</v>
      </c>
      <c r="X3418">
        <v>6</v>
      </c>
      <c r="Y3418">
        <v>120</v>
      </c>
      <c r="Z3418">
        <v>6</v>
      </c>
      <c r="AA3418">
        <v>23</v>
      </c>
      <c r="AB3418">
        <v>8</v>
      </c>
      <c r="AC3418">
        <v>1</v>
      </c>
      <c r="AD3418">
        <v>0</v>
      </c>
      <c r="AE3418">
        <v>0</v>
      </c>
      <c r="AF3418">
        <v>1</v>
      </c>
      <c r="AG3418">
        <v>1</v>
      </c>
      <c r="AH3418">
        <v>2</v>
      </c>
      <c r="AI3418">
        <v>0</v>
      </c>
      <c r="AJ3418">
        <v>0</v>
      </c>
      <c r="AK3418">
        <v>5</v>
      </c>
      <c r="AL3418">
        <v>1</v>
      </c>
      <c r="AM3418">
        <v>0</v>
      </c>
      <c r="AN3418">
        <v>1</v>
      </c>
      <c r="AZ3418">
        <v>44</v>
      </c>
      <c r="BC3418">
        <v>0</v>
      </c>
      <c r="BD3418">
        <v>20</v>
      </c>
      <c r="BE3418" t="s">
        <v>127</v>
      </c>
      <c r="BF3418">
        <v>380</v>
      </c>
      <c r="BG3418">
        <v>675</v>
      </c>
      <c r="BJ3418">
        <v>1</v>
      </c>
      <c r="BL3418" t="s">
        <v>7085</v>
      </c>
      <c r="BM3418" s="4">
        <v>43283.091215277775</v>
      </c>
      <c r="BN3418" s="4">
        <v>43283.096921296295</v>
      </c>
      <c r="BO3418" s="4">
        <v>43283.096921296295</v>
      </c>
      <c r="BP3418" t="s">
        <v>339</v>
      </c>
      <c r="BQ3418" t="s">
        <v>340</v>
      </c>
      <c r="BR3418" t="s">
        <v>94</v>
      </c>
    </row>
    <row r="3419" spans="1:70" x14ac:dyDescent="0.3">
      <c r="A3419" t="str">
        <f>"202428E0201"</f>
        <v>202428E0201</v>
      </c>
      <c r="B3419" s="2" t="s">
        <v>7086</v>
      </c>
      <c r="C3419">
        <v>20</v>
      </c>
      <c r="D3419" t="s">
        <v>88</v>
      </c>
      <c r="E3419">
        <v>566</v>
      </c>
      <c r="F3419" t="s">
        <v>7036</v>
      </c>
      <c r="G3419">
        <v>2428</v>
      </c>
      <c r="H3419">
        <v>2</v>
      </c>
      <c r="I3419" t="s">
        <v>156</v>
      </c>
      <c r="J3419">
        <v>1</v>
      </c>
      <c r="K3419">
        <v>2</v>
      </c>
      <c r="L3419">
        <v>5</v>
      </c>
      <c r="M3419">
        <v>322</v>
      </c>
      <c r="N3419">
        <v>375</v>
      </c>
      <c r="O3419">
        <v>0</v>
      </c>
      <c r="P3419">
        <v>375</v>
      </c>
      <c r="Q3419">
        <v>9</v>
      </c>
      <c r="R3419">
        <v>20</v>
      </c>
      <c r="S3419">
        <v>78</v>
      </c>
      <c r="T3419">
        <v>1</v>
      </c>
      <c r="U3419">
        <v>10</v>
      </c>
      <c r="V3419">
        <v>5</v>
      </c>
      <c r="W3419">
        <v>38</v>
      </c>
      <c r="X3419">
        <v>4</v>
      </c>
      <c r="Y3419">
        <v>102</v>
      </c>
      <c r="Z3419">
        <v>5</v>
      </c>
      <c r="AA3419">
        <v>27</v>
      </c>
      <c r="AB3419">
        <v>3</v>
      </c>
      <c r="AC3419">
        <v>2</v>
      </c>
      <c r="AD3419">
        <v>0</v>
      </c>
      <c r="AE3419">
        <v>0</v>
      </c>
      <c r="AF3419">
        <v>0</v>
      </c>
      <c r="AG3419">
        <v>1</v>
      </c>
      <c r="AH3419">
        <v>0</v>
      </c>
      <c r="AI3419">
        <v>0</v>
      </c>
      <c r="AJ3419">
        <v>0</v>
      </c>
      <c r="AK3419">
        <v>6</v>
      </c>
      <c r="AL3419">
        <v>3</v>
      </c>
      <c r="AM3419">
        <v>0</v>
      </c>
      <c r="AN3419">
        <v>1</v>
      </c>
      <c r="AZ3419">
        <v>46</v>
      </c>
      <c r="BC3419">
        <v>0</v>
      </c>
      <c r="BD3419">
        <v>14</v>
      </c>
      <c r="BE3419">
        <v>375</v>
      </c>
      <c r="BF3419">
        <v>375</v>
      </c>
      <c r="BG3419">
        <v>674</v>
      </c>
      <c r="BJ3419">
        <v>1</v>
      </c>
      <c r="BL3419" t="s">
        <v>7087</v>
      </c>
      <c r="BM3419" s="4">
        <v>43283.040497685186</v>
      </c>
      <c r="BN3419" s="4">
        <v>43283.04415509259</v>
      </c>
      <c r="BO3419" s="4">
        <v>43283.04415509259</v>
      </c>
      <c r="BP3419" t="s">
        <v>339</v>
      </c>
      <c r="BQ3419" t="s">
        <v>340</v>
      </c>
      <c r="BR3419" t="s">
        <v>94</v>
      </c>
    </row>
    <row r="3420" spans="1:70" x14ac:dyDescent="0.3">
      <c r="A3420" t="str">
        <f>"202428E0202"</f>
        <v>202428E0202</v>
      </c>
      <c r="B3420" s="2" t="s">
        <v>7088</v>
      </c>
      <c r="C3420">
        <v>20</v>
      </c>
      <c r="D3420" t="s">
        <v>88</v>
      </c>
      <c r="E3420">
        <v>566</v>
      </c>
      <c r="F3420" t="s">
        <v>7036</v>
      </c>
      <c r="G3420">
        <v>2428</v>
      </c>
      <c r="H3420">
        <v>2</v>
      </c>
      <c r="I3420" t="s">
        <v>156</v>
      </c>
      <c r="J3420">
        <v>2</v>
      </c>
      <c r="K3420">
        <v>2</v>
      </c>
      <c r="L3420">
        <v>5</v>
      </c>
      <c r="M3420">
        <v>326</v>
      </c>
      <c r="N3420">
        <v>371</v>
      </c>
      <c r="O3420">
        <v>7</v>
      </c>
      <c r="P3420">
        <v>370</v>
      </c>
      <c r="Q3420">
        <v>11</v>
      </c>
      <c r="R3420">
        <v>13</v>
      </c>
      <c r="S3420">
        <v>44</v>
      </c>
      <c r="T3420">
        <v>3</v>
      </c>
      <c r="U3420">
        <v>15</v>
      </c>
      <c r="V3420">
        <v>7</v>
      </c>
      <c r="W3420">
        <v>46</v>
      </c>
      <c r="X3420">
        <v>3</v>
      </c>
      <c r="Y3420">
        <v>104</v>
      </c>
      <c r="Z3420">
        <v>7</v>
      </c>
      <c r="AA3420">
        <v>41</v>
      </c>
      <c r="AB3420">
        <v>11</v>
      </c>
      <c r="AC3420">
        <v>2</v>
      </c>
      <c r="AD3420">
        <v>2</v>
      </c>
      <c r="AE3420">
        <v>0</v>
      </c>
      <c r="AF3420">
        <v>0</v>
      </c>
      <c r="AG3420">
        <v>0</v>
      </c>
      <c r="AH3420">
        <v>0</v>
      </c>
      <c r="AI3420">
        <v>1</v>
      </c>
      <c r="AJ3420">
        <v>0</v>
      </c>
      <c r="AK3420">
        <v>0</v>
      </c>
      <c r="AL3420">
        <v>1</v>
      </c>
      <c r="AM3420">
        <v>0</v>
      </c>
      <c r="AN3420">
        <v>4</v>
      </c>
      <c r="AZ3420">
        <v>45</v>
      </c>
      <c r="BC3420">
        <v>0</v>
      </c>
      <c r="BD3420">
        <v>10</v>
      </c>
      <c r="BE3420">
        <v>370</v>
      </c>
      <c r="BF3420">
        <v>370</v>
      </c>
      <c r="BG3420">
        <v>674</v>
      </c>
      <c r="BJ3420">
        <v>1</v>
      </c>
      <c r="BL3420" t="s">
        <v>7089</v>
      </c>
      <c r="BM3420" s="4">
        <v>43283.156284722223</v>
      </c>
      <c r="BN3420" s="4">
        <v>43283.165648148148</v>
      </c>
      <c r="BO3420" s="4">
        <v>43283.165648148148</v>
      </c>
      <c r="BP3420" t="s">
        <v>339</v>
      </c>
      <c r="BQ3420" t="s">
        <v>340</v>
      </c>
      <c r="BR3420" t="s">
        <v>94</v>
      </c>
    </row>
    <row r="3421" spans="1:70" x14ac:dyDescent="0.3">
      <c r="A3421" t="str">
        <f>"202428E0203"</f>
        <v>202428E0203</v>
      </c>
      <c r="B3421" s="2" t="s">
        <v>7090</v>
      </c>
      <c r="C3421">
        <v>20</v>
      </c>
      <c r="D3421" t="s">
        <v>88</v>
      </c>
      <c r="E3421">
        <v>566</v>
      </c>
      <c r="F3421" t="s">
        <v>7036</v>
      </c>
      <c r="G3421">
        <v>2428</v>
      </c>
      <c r="H3421">
        <v>2</v>
      </c>
      <c r="I3421" t="s">
        <v>156</v>
      </c>
      <c r="J3421">
        <v>3</v>
      </c>
      <c r="K3421">
        <v>2</v>
      </c>
      <c r="L3421">
        <v>5</v>
      </c>
      <c r="M3421">
        <v>344</v>
      </c>
      <c r="N3421">
        <v>353</v>
      </c>
      <c r="O3421">
        <v>9</v>
      </c>
      <c r="P3421">
        <v>353</v>
      </c>
      <c r="Q3421">
        <v>3</v>
      </c>
      <c r="R3421">
        <v>12</v>
      </c>
      <c r="S3421">
        <v>71</v>
      </c>
      <c r="T3421">
        <v>3</v>
      </c>
      <c r="U3421">
        <v>14</v>
      </c>
      <c r="V3421">
        <v>2</v>
      </c>
      <c r="W3421">
        <v>45</v>
      </c>
      <c r="X3421">
        <v>2</v>
      </c>
      <c r="Y3421">
        <v>97</v>
      </c>
      <c r="Z3421">
        <v>3</v>
      </c>
      <c r="AA3421">
        <v>27</v>
      </c>
      <c r="AB3421">
        <v>6</v>
      </c>
      <c r="AC3421">
        <v>3</v>
      </c>
      <c r="AD3421">
        <v>1</v>
      </c>
      <c r="AE3421">
        <v>0</v>
      </c>
      <c r="AF3421">
        <v>0</v>
      </c>
      <c r="AG3421">
        <v>2</v>
      </c>
      <c r="AH3421">
        <v>3</v>
      </c>
      <c r="AI3421">
        <v>0</v>
      </c>
      <c r="AJ3421">
        <v>1</v>
      </c>
      <c r="AK3421">
        <v>1</v>
      </c>
      <c r="AL3421">
        <v>1</v>
      </c>
      <c r="AM3421">
        <v>2</v>
      </c>
      <c r="AN3421">
        <v>1</v>
      </c>
      <c r="AZ3421">
        <v>40</v>
      </c>
      <c r="BC3421">
        <v>0</v>
      </c>
      <c r="BD3421">
        <v>13</v>
      </c>
      <c r="BE3421">
        <v>353</v>
      </c>
      <c r="BF3421">
        <v>353</v>
      </c>
      <c r="BG3421">
        <v>674</v>
      </c>
      <c r="BJ3421">
        <v>1</v>
      </c>
      <c r="BL3421" t="s">
        <v>7091</v>
      </c>
      <c r="BM3421" s="4">
        <v>43283.06113425926</v>
      </c>
      <c r="BN3421" s="4">
        <v>43283.06554398148</v>
      </c>
      <c r="BO3421" s="4">
        <v>43283.06554398148</v>
      </c>
      <c r="BP3421" t="s">
        <v>339</v>
      </c>
      <c r="BQ3421" t="s">
        <v>340</v>
      </c>
      <c r="BR3421" t="s">
        <v>94</v>
      </c>
    </row>
    <row r="3422" spans="1:70" x14ac:dyDescent="0.3">
      <c r="A3422" t="str">
        <f>"202428E0204"</f>
        <v>202428E0204</v>
      </c>
      <c r="B3422" s="2" t="s">
        <v>7092</v>
      </c>
      <c r="C3422">
        <v>20</v>
      </c>
      <c r="D3422" t="s">
        <v>88</v>
      </c>
      <c r="E3422">
        <v>566</v>
      </c>
      <c r="F3422" t="s">
        <v>7036</v>
      </c>
      <c r="G3422">
        <v>2428</v>
      </c>
      <c r="H3422">
        <v>2</v>
      </c>
      <c r="I3422" t="s">
        <v>156</v>
      </c>
      <c r="J3422">
        <v>4</v>
      </c>
      <c r="K3422">
        <v>2</v>
      </c>
      <c r="L3422">
        <v>5</v>
      </c>
      <c r="M3422">
        <v>284</v>
      </c>
      <c r="N3422">
        <v>412</v>
      </c>
      <c r="O3422">
        <v>5</v>
      </c>
      <c r="P3422">
        <v>403</v>
      </c>
      <c r="Q3422">
        <v>16</v>
      </c>
      <c r="R3422">
        <v>18</v>
      </c>
      <c r="S3422">
        <v>78</v>
      </c>
      <c r="T3422">
        <v>4</v>
      </c>
      <c r="U3422">
        <v>15</v>
      </c>
      <c r="V3422">
        <v>3</v>
      </c>
      <c r="W3422">
        <v>59</v>
      </c>
      <c r="X3422">
        <v>1</v>
      </c>
      <c r="Y3422">
        <v>106</v>
      </c>
      <c r="Z3422">
        <v>4</v>
      </c>
      <c r="AA3422">
        <v>32</v>
      </c>
      <c r="AB3422">
        <v>5</v>
      </c>
      <c r="AC3422">
        <v>0</v>
      </c>
      <c r="AD3422">
        <v>0</v>
      </c>
      <c r="AE3422">
        <v>0</v>
      </c>
      <c r="AF3422">
        <v>1</v>
      </c>
      <c r="AG3422">
        <v>0</v>
      </c>
      <c r="AH3422">
        <v>1</v>
      </c>
      <c r="AI3422">
        <v>0</v>
      </c>
      <c r="AJ3422">
        <v>0</v>
      </c>
      <c r="AK3422">
        <v>1</v>
      </c>
      <c r="AL3422">
        <v>4</v>
      </c>
      <c r="AM3422">
        <v>0</v>
      </c>
      <c r="AN3422">
        <v>0</v>
      </c>
      <c r="AZ3422">
        <v>45</v>
      </c>
      <c r="BC3422">
        <v>0</v>
      </c>
      <c r="BD3422">
        <v>10</v>
      </c>
      <c r="BE3422">
        <v>403</v>
      </c>
      <c r="BF3422">
        <v>403</v>
      </c>
      <c r="BG3422">
        <v>674</v>
      </c>
      <c r="BJ3422">
        <v>1</v>
      </c>
      <c r="BL3422" t="s">
        <v>7093</v>
      </c>
      <c r="BM3422" s="4">
        <v>43283.224999999999</v>
      </c>
      <c r="BN3422" s="4">
        <v>43283.248171296298</v>
      </c>
      <c r="BO3422" s="4">
        <v>43283.248171296298</v>
      </c>
      <c r="BP3422" t="s">
        <v>92</v>
      </c>
      <c r="BQ3422" t="s">
        <v>93</v>
      </c>
      <c r="BR3422" t="s">
        <v>94</v>
      </c>
    </row>
    <row r="3423" spans="1:70" x14ac:dyDescent="0.3">
      <c r="A3423" t="str">
        <f>"202428E0205"</f>
        <v>202428E0205</v>
      </c>
      <c r="B3423" s="2" t="s">
        <v>7094</v>
      </c>
      <c r="C3423">
        <v>20</v>
      </c>
      <c r="D3423" t="s">
        <v>88</v>
      </c>
      <c r="E3423">
        <v>566</v>
      </c>
      <c r="F3423" t="s">
        <v>7036</v>
      </c>
      <c r="G3423">
        <v>2428</v>
      </c>
      <c r="H3423">
        <v>2</v>
      </c>
      <c r="I3423" t="s">
        <v>156</v>
      </c>
      <c r="J3423">
        <v>5</v>
      </c>
      <c r="K3423">
        <v>2</v>
      </c>
      <c r="L3423">
        <v>5</v>
      </c>
      <c r="BG3423">
        <v>674</v>
      </c>
      <c r="BI3423" t="s">
        <v>407</v>
      </c>
      <c r="BJ3423">
        <v>0</v>
      </c>
      <c r="BL3423" t="s">
        <v>7095</v>
      </c>
      <c r="BM3423" s="4">
        <v>43283.226388888892</v>
      </c>
      <c r="BN3423" s="4">
        <v>43283.271689814814</v>
      </c>
      <c r="BO3423" s="4">
        <v>43283.271689814814</v>
      </c>
      <c r="BP3423" t="s">
        <v>92</v>
      </c>
      <c r="BQ3423" t="s">
        <v>93</v>
      </c>
      <c r="BR3423" t="s">
        <v>94</v>
      </c>
    </row>
    <row r="3424" spans="1:70" x14ac:dyDescent="0.3">
      <c r="A3424" t="str">
        <f>"202428E0206"</f>
        <v>202428E0206</v>
      </c>
      <c r="B3424" s="2" t="s">
        <v>7096</v>
      </c>
      <c r="C3424">
        <v>20</v>
      </c>
      <c r="D3424" t="s">
        <v>88</v>
      </c>
      <c r="E3424">
        <v>566</v>
      </c>
      <c r="F3424" t="s">
        <v>7036</v>
      </c>
      <c r="G3424">
        <v>2428</v>
      </c>
      <c r="H3424">
        <v>2</v>
      </c>
      <c r="I3424" t="s">
        <v>156</v>
      </c>
      <c r="J3424">
        <v>6</v>
      </c>
      <c r="K3424">
        <v>2</v>
      </c>
      <c r="L3424">
        <v>5</v>
      </c>
      <c r="M3424">
        <v>308</v>
      </c>
      <c r="N3424">
        <v>389</v>
      </c>
      <c r="O3424">
        <v>4</v>
      </c>
      <c r="P3424">
        <v>398</v>
      </c>
      <c r="Q3424">
        <v>3</v>
      </c>
      <c r="R3424">
        <v>20</v>
      </c>
      <c r="S3424">
        <v>90</v>
      </c>
      <c r="T3424">
        <v>3</v>
      </c>
      <c r="U3424">
        <v>6</v>
      </c>
      <c r="V3424">
        <v>8</v>
      </c>
      <c r="W3424">
        <v>49</v>
      </c>
      <c r="X3424">
        <v>5</v>
      </c>
      <c r="Y3424">
        <v>89</v>
      </c>
      <c r="Z3424">
        <v>3</v>
      </c>
      <c r="AA3424">
        <v>40</v>
      </c>
      <c r="AB3424">
        <v>3</v>
      </c>
      <c r="AC3424">
        <v>0</v>
      </c>
      <c r="AD3424">
        <v>2</v>
      </c>
      <c r="AE3424">
        <v>0</v>
      </c>
      <c r="AF3424">
        <v>0</v>
      </c>
      <c r="AG3424">
        <v>1</v>
      </c>
      <c r="AH3424">
        <v>0</v>
      </c>
      <c r="AI3424">
        <v>0</v>
      </c>
      <c r="AJ3424">
        <v>0</v>
      </c>
      <c r="AK3424">
        <v>0</v>
      </c>
      <c r="AL3424">
        <v>0</v>
      </c>
      <c r="AM3424">
        <v>6</v>
      </c>
      <c r="AN3424">
        <v>0</v>
      </c>
      <c r="AZ3424">
        <v>45</v>
      </c>
      <c r="BC3424">
        <v>0</v>
      </c>
      <c r="BD3424">
        <v>25</v>
      </c>
      <c r="BE3424">
        <v>398</v>
      </c>
      <c r="BF3424">
        <v>398</v>
      </c>
      <c r="BG3424">
        <v>674</v>
      </c>
      <c r="BJ3424">
        <v>1</v>
      </c>
      <c r="BL3424" t="s">
        <v>7097</v>
      </c>
      <c r="BM3424" s="4">
        <v>43283.141018518516</v>
      </c>
      <c r="BN3424" s="4">
        <v>43283.145833333336</v>
      </c>
      <c r="BO3424" s="4">
        <v>43283.145833333336</v>
      </c>
      <c r="BP3424" t="s">
        <v>339</v>
      </c>
      <c r="BQ3424" t="s">
        <v>340</v>
      </c>
      <c r="BR3424" t="s">
        <v>94</v>
      </c>
    </row>
    <row r="3425" spans="1:70" x14ac:dyDescent="0.3">
      <c r="A3425" t="str">
        <f>"202428E0207"</f>
        <v>202428E0207</v>
      </c>
      <c r="B3425" s="2" t="s">
        <v>7098</v>
      </c>
      <c r="C3425">
        <v>20</v>
      </c>
      <c r="D3425" t="s">
        <v>88</v>
      </c>
      <c r="E3425">
        <v>566</v>
      </c>
      <c r="F3425" t="s">
        <v>7036</v>
      </c>
      <c r="G3425">
        <v>2428</v>
      </c>
      <c r="H3425">
        <v>2</v>
      </c>
      <c r="I3425" t="s">
        <v>156</v>
      </c>
      <c r="J3425">
        <v>7</v>
      </c>
      <c r="K3425">
        <v>2</v>
      </c>
      <c r="L3425">
        <v>5</v>
      </c>
      <c r="M3425">
        <v>325</v>
      </c>
      <c r="N3425">
        <v>373</v>
      </c>
      <c r="O3425">
        <v>5</v>
      </c>
      <c r="P3425">
        <v>369</v>
      </c>
      <c r="Q3425">
        <v>14</v>
      </c>
      <c r="R3425">
        <v>17</v>
      </c>
      <c r="S3425">
        <v>68</v>
      </c>
      <c r="T3425">
        <v>1</v>
      </c>
      <c r="U3425">
        <v>14</v>
      </c>
      <c r="V3425">
        <v>9</v>
      </c>
      <c r="W3425">
        <v>26</v>
      </c>
      <c r="X3425">
        <v>1</v>
      </c>
      <c r="Y3425">
        <v>116</v>
      </c>
      <c r="Z3425">
        <v>3</v>
      </c>
      <c r="AA3425">
        <v>35</v>
      </c>
      <c r="AB3425">
        <v>4</v>
      </c>
      <c r="AC3425">
        <v>1</v>
      </c>
      <c r="AD3425">
        <v>0</v>
      </c>
      <c r="AE3425">
        <v>0</v>
      </c>
      <c r="AF3425">
        <v>1</v>
      </c>
      <c r="AG3425">
        <v>0</v>
      </c>
      <c r="AH3425">
        <v>2</v>
      </c>
      <c r="AI3425">
        <v>0</v>
      </c>
      <c r="AJ3425">
        <v>0</v>
      </c>
      <c r="AK3425">
        <v>2</v>
      </c>
      <c r="AL3425">
        <v>0</v>
      </c>
      <c r="AM3425">
        <v>0</v>
      </c>
      <c r="AN3425">
        <v>43</v>
      </c>
      <c r="AZ3425" t="s">
        <v>105</v>
      </c>
      <c r="BC3425" t="s">
        <v>105</v>
      </c>
      <c r="BD3425">
        <v>12</v>
      </c>
      <c r="BE3425">
        <v>369</v>
      </c>
      <c r="BF3425">
        <v>369</v>
      </c>
      <c r="BG3425">
        <v>674</v>
      </c>
      <c r="BI3425" t="s">
        <v>106</v>
      </c>
      <c r="BJ3425">
        <v>1</v>
      </c>
      <c r="BL3425" t="s">
        <v>7099</v>
      </c>
      <c r="BM3425" s="4">
        <v>43283.116689814815</v>
      </c>
      <c r="BN3425" s="4">
        <v>43283.127222222225</v>
      </c>
      <c r="BO3425" s="4">
        <v>43283.127222222225</v>
      </c>
      <c r="BP3425" t="s">
        <v>339</v>
      </c>
      <c r="BQ3425" t="s">
        <v>340</v>
      </c>
      <c r="BR3425" t="s">
        <v>94</v>
      </c>
    </row>
    <row r="3426" spans="1:70" x14ac:dyDescent="0.3">
      <c r="A3426" t="str">
        <f>"202428E0300"</f>
        <v>202428E0300</v>
      </c>
      <c r="B3426" s="2" t="s">
        <v>7100</v>
      </c>
      <c r="C3426">
        <v>20</v>
      </c>
      <c r="D3426" t="s">
        <v>88</v>
      </c>
      <c r="E3426">
        <v>566</v>
      </c>
      <c r="F3426" t="s">
        <v>7036</v>
      </c>
      <c r="G3426">
        <v>2428</v>
      </c>
      <c r="H3426">
        <v>3</v>
      </c>
      <c r="I3426" t="s">
        <v>156</v>
      </c>
      <c r="J3426">
        <v>0</v>
      </c>
      <c r="K3426">
        <v>2</v>
      </c>
      <c r="L3426">
        <v>5</v>
      </c>
      <c r="M3426">
        <v>317</v>
      </c>
      <c r="N3426">
        <v>424</v>
      </c>
      <c r="O3426">
        <v>12</v>
      </c>
      <c r="P3426">
        <v>427</v>
      </c>
      <c r="Q3426">
        <v>16</v>
      </c>
      <c r="R3426">
        <v>25</v>
      </c>
      <c r="S3426">
        <v>61</v>
      </c>
      <c r="T3426">
        <v>12</v>
      </c>
      <c r="U3426">
        <v>35</v>
      </c>
      <c r="V3426">
        <v>10</v>
      </c>
      <c r="W3426">
        <v>40</v>
      </c>
      <c r="X3426">
        <v>24</v>
      </c>
      <c r="Y3426">
        <v>153</v>
      </c>
      <c r="Z3426">
        <v>0</v>
      </c>
      <c r="AA3426">
        <v>0</v>
      </c>
      <c r="AB3426">
        <v>6</v>
      </c>
      <c r="AC3426">
        <v>0</v>
      </c>
      <c r="AD3426">
        <v>0</v>
      </c>
      <c r="AE3426">
        <v>0</v>
      </c>
      <c r="AF3426">
        <v>0</v>
      </c>
      <c r="AG3426">
        <v>2</v>
      </c>
      <c r="AH3426">
        <v>1</v>
      </c>
      <c r="AI3426">
        <v>0</v>
      </c>
      <c r="AJ3426">
        <v>0</v>
      </c>
      <c r="AK3426">
        <v>0</v>
      </c>
      <c r="AL3426">
        <v>0</v>
      </c>
      <c r="AM3426">
        <v>0</v>
      </c>
      <c r="AN3426">
        <v>3</v>
      </c>
      <c r="AZ3426">
        <v>0</v>
      </c>
      <c r="BC3426">
        <v>0</v>
      </c>
      <c r="BD3426">
        <v>16</v>
      </c>
      <c r="BE3426">
        <v>427</v>
      </c>
      <c r="BF3426">
        <v>404</v>
      </c>
      <c r="BG3426">
        <v>723</v>
      </c>
      <c r="BJ3426">
        <v>1</v>
      </c>
      <c r="BL3426" t="s">
        <v>7101</v>
      </c>
      <c r="BM3426" s="4">
        <v>43283.259027777778</v>
      </c>
      <c r="BN3426" s="4">
        <v>43283.287118055552</v>
      </c>
      <c r="BO3426" s="4">
        <v>43283.287118055552</v>
      </c>
      <c r="BP3426" t="s">
        <v>92</v>
      </c>
      <c r="BQ3426" t="s">
        <v>93</v>
      </c>
      <c r="BR3426" t="s">
        <v>94</v>
      </c>
    </row>
    <row r="3427" spans="1:70" x14ac:dyDescent="0.3">
      <c r="A3427" t="str">
        <f>"202428E0301"</f>
        <v>202428E0301</v>
      </c>
      <c r="B3427" s="2" t="s">
        <v>7102</v>
      </c>
      <c r="C3427">
        <v>20</v>
      </c>
      <c r="D3427" t="s">
        <v>88</v>
      </c>
      <c r="E3427">
        <v>566</v>
      </c>
      <c r="F3427" t="s">
        <v>7036</v>
      </c>
      <c r="G3427">
        <v>2428</v>
      </c>
      <c r="H3427">
        <v>3</v>
      </c>
      <c r="I3427" t="s">
        <v>156</v>
      </c>
      <c r="J3427">
        <v>1</v>
      </c>
      <c r="K3427">
        <v>2</v>
      </c>
      <c r="L3427">
        <v>5</v>
      </c>
      <c r="M3427" t="s">
        <v>105</v>
      </c>
      <c r="N3427" t="s">
        <v>105</v>
      </c>
      <c r="O3427" t="s">
        <v>105</v>
      </c>
      <c r="P3427" t="s">
        <v>105</v>
      </c>
      <c r="Q3427">
        <v>10</v>
      </c>
      <c r="R3427">
        <v>23</v>
      </c>
      <c r="S3427">
        <v>91</v>
      </c>
      <c r="T3427">
        <v>8</v>
      </c>
      <c r="U3427">
        <v>19</v>
      </c>
      <c r="V3427">
        <v>4</v>
      </c>
      <c r="W3427">
        <v>50</v>
      </c>
      <c r="X3427">
        <v>7</v>
      </c>
      <c r="Y3427">
        <v>96</v>
      </c>
      <c r="Z3427">
        <v>6</v>
      </c>
      <c r="AA3427">
        <v>24</v>
      </c>
      <c r="AB3427">
        <v>3</v>
      </c>
      <c r="AC3427">
        <v>0</v>
      </c>
      <c r="AD3427">
        <v>1</v>
      </c>
      <c r="AE3427">
        <v>0</v>
      </c>
      <c r="AF3427">
        <v>0</v>
      </c>
      <c r="AG3427">
        <v>2</v>
      </c>
      <c r="AH3427">
        <v>0</v>
      </c>
      <c r="AI3427">
        <v>1</v>
      </c>
      <c r="AJ3427">
        <v>0</v>
      </c>
      <c r="AK3427">
        <v>2</v>
      </c>
      <c r="AL3427">
        <v>3</v>
      </c>
      <c r="AM3427">
        <v>0</v>
      </c>
      <c r="AN3427">
        <v>0</v>
      </c>
      <c r="AZ3427">
        <v>26</v>
      </c>
      <c r="BC3427">
        <v>1</v>
      </c>
      <c r="BD3427">
        <v>13</v>
      </c>
      <c r="BE3427">
        <v>382</v>
      </c>
      <c r="BF3427">
        <v>390</v>
      </c>
      <c r="BG3427">
        <v>722</v>
      </c>
      <c r="BJ3427">
        <v>1</v>
      </c>
      <c r="BL3427" t="s">
        <v>7103</v>
      </c>
      <c r="BM3427" s="4">
        <v>43283.261805555558</v>
      </c>
      <c r="BN3427" s="4">
        <v>43283.300219907411</v>
      </c>
      <c r="BO3427" s="4">
        <v>43283.300219907411</v>
      </c>
      <c r="BP3427" t="s">
        <v>92</v>
      </c>
      <c r="BQ3427" t="s">
        <v>93</v>
      </c>
      <c r="BR3427" t="s">
        <v>94</v>
      </c>
    </row>
    <row r="3428" spans="1:70" x14ac:dyDescent="0.3">
      <c r="A3428" t="str">
        <f>"202428E0302"</f>
        <v>202428E0302</v>
      </c>
      <c r="B3428" s="2" t="s">
        <v>7104</v>
      </c>
      <c r="C3428">
        <v>20</v>
      </c>
      <c r="D3428" t="s">
        <v>88</v>
      </c>
      <c r="E3428">
        <v>566</v>
      </c>
      <c r="F3428" t="s">
        <v>7036</v>
      </c>
      <c r="G3428">
        <v>2428</v>
      </c>
      <c r="H3428">
        <v>3</v>
      </c>
      <c r="I3428" t="s">
        <v>156</v>
      </c>
      <c r="J3428">
        <v>2</v>
      </c>
      <c r="K3428">
        <v>2</v>
      </c>
      <c r="L3428">
        <v>5</v>
      </c>
      <c r="M3428">
        <v>336</v>
      </c>
      <c r="N3428">
        <v>410</v>
      </c>
      <c r="O3428">
        <v>8</v>
      </c>
      <c r="P3428">
        <v>409</v>
      </c>
      <c r="Q3428">
        <v>13</v>
      </c>
      <c r="R3428">
        <v>20</v>
      </c>
      <c r="S3428">
        <v>104</v>
      </c>
      <c r="T3428">
        <v>3</v>
      </c>
      <c r="U3428">
        <v>16</v>
      </c>
      <c r="V3428">
        <v>2</v>
      </c>
      <c r="W3428">
        <v>55</v>
      </c>
      <c r="X3428">
        <v>9</v>
      </c>
      <c r="Y3428">
        <v>109</v>
      </c>
      <c r="Z3428">
        <v>5</v>
      </c>
      <c r="AA3428">
        <v>24</v>
      </c>
      <c r="AB3428">
        <v>6</v>
      </c>
      <c r="AC3428">
        <v>0</v>
      </c>
      <c r="AD3428">
        <v>0</v>
      </c>
      <c r="AE3428">
        <v>0</v>
      </c>
      <c r="AF3428">
        <v>0</v>
      </c>
      <c r="AG3428">
        <v>0</v>
      </c>
      <c r="AH3428">
        <v>0</v>
      </c>
      <c r="AI3428">
        <v>0</v>
      </c>
      <c r="AJ3428">
        <v>0</v>
      </c>
      <c r="AK3428">
        <v>1</v>
      </c>
      <c r="AL3428">
        <v>3</v>
      </c>
      <c r="AM3428">
        <v>0</v>
      </c>
      <c r="AN3428">
        <v>0</v>
      </c>
      <c r="AZ3428">
        <v>26</v>
      </c>
      <c r="BC3428">
        <v>0</v>
      </c>
      <c r="BD3428">
        <v>13</v>
      </c>
      <c r="BE3428">
        <v>409</v>
      </c>
      <c r="BF3428">
        <v>409</v>
      </c>
      <c r="BG3428">
        <v>722</v>
      </c>
      <c r="BJ3428">
        <v>1</v>
      </c>
      <c r="BL3428" t="s">
        <v>7105</v>
      </c>
      <c r="BM3428" s="4">
        <v>43283.035451388889</v>
      </c>
      <c r="BN3428" s="4">
        <v>43283.038726851853</v>
      </c>
      <c r="BO3428" s="4">
        <v>43283.038726851853</v>
      </c>
      <c r="BP3428" t="s">
        <v>339</v>
      </c>
      <c r="BQ3428" t="s">
        <v>340</v>
      </c>
      <c r="BR3428" t="s">
        <v>94</v>
      </c>
    </row>
    <row r="3429" spans="1:70" x14ac:dyDescent="0.3">
      <c r="A3429" t="str">
        <f>"202428E0303"</f>
        <v>202428E0303</v>
      </c>
      <c r="B3429" s="2" t="s">
        <v>7106</v>
      </c>
      <c r="C3429">
        <v>20</v>
      </c>
      <c r="D3429" t="s">
        <v>88</v>
      </c>
      <c r="E3429">
        <v>566</v>
      </c>
      <c r="F3429" t="s">
        <v>7036</v>
      </c>
      <c r="G3429">
        <v>2428</v>
      </c>
      <c r="H3429">
        <v>3</v>
      </c>
      <c r="I3429" t="s">
        <v>156</v>
      </c>
      <c r="J3429">
        <v>3</v>
      </c>
      <c r="K3429">
        <v>2</v>
      </c>
      <c r="L3429">
        <v>5</v>
      </c>
      <c r="M3429">
        <v>323</v>
      </c>
      <c r="N3429">
        <v>421</v>
      </c>
      <c r="O3429">
        <v>6</v>
      </c>
      <c r="P3429">
        <v>421</v>
      </c>
      <c r="Q3429">
        <v>6</v>
      </c>
      <c r="R3429">
        <v>21</v>
      </c>
      <c r="S3429">
        <v>112</v>
      </c>
      <c r="T3429">
        <v>5</v>
      </c>
      <c r="U3429">
        <v>21</v>
      </c>
      <c r="V3429">
        <v>3</v>
      </c>
      <c r="W3429">
        <v>50</v>
      </c>
      <c r="X3429">
        <v>7</v>
      </c>
      <c r="Y3429">
        <v>94</v>
      </c>
      <c r="Z3429">
        <v>9</v>
      </c>
      <c r="AA3429">
        <v>16</v>
      </c>
      <c r="AB3429">
        <v>3</v>
      </c>
      <c r="AC3429">
        <v>4</v>
      </c>
      <c r="AD3429">
        <v>2</v>
      </c>
      <c r="AE3429">
        <v>0</v>
      </c>
      <c r="AF3429">
        <v>0</v>
      </c>
      <c r="AG3429">
        <v>0</v>
      </c>
      <c r="AH3429">
        <v>1</v>
      </c>
      <c r="AI3429">
        <v>0</v>
      </c>
      <c r="AJ3429">
        <v>0</v>
      </c>
      <c r="AK3429">
        <v>5</v>
      </c>
      <c r="AL3429">
        <v>3</v>
      </c>
      <c r="AM3429">
        <v>0</v>
      </c>
      <c r="AN3429">
        <v>2</v>
      </c>
      <c r="AZ3429">
        <v>38</v>
      </c>
      <c r="BC3429">
        <v>0</v>
      </c>
      <c r="BD3429">
        <v>19</v>
      </c>
      <c r="BE3429">
        <v>421</v>
      </c>
      <c r="BF3429">
        <v>421</v>
      </c>
      <c r="BG3429">
        <v>722</v>
      </c>
      <c r="BJ3429">
        <v>1</v>
      </c>
      <c r="BL3429" t="s">
        <v>7107</v>
      </c>
      <c r="BM3429" s="4">
        <v>43283.028993055559</v>
      </c>
      <c r="BN3429" s="4">
        <v>43283.036076388889</v>
      </c>
      <c r="BO3429" s="4">
        <v>43283.036076388889</v>
      </c>
      <c r="BP3429" t="s">
        <v>339</v>
      </c>
      <c r="BQ3429" t="s">
        <v>340</v>
      </c>
      <c r="BR3429" t="s">
        <v>94</v>
      </c>
    </row>
    <row r="3430" spans="1:70" x14ac:dyDescent="0.3">
      <c r="A3430" t="str">
        <f>"202428E0304"</f>
        <v>202428E0304</v>
      </c>
      <c r="B3430" s="2" t="s">
        <v>7108</v>
      </c>
      <c r="C3430">
        <v>20</v>
      </c>
      <c r="D3430" t="s">
        <v>88</v>
      </c>
      <c r="E3430">
        <v>566</v>
      </c>
      <c r="F3430" t="s">
        <v>7036</v>
      </c>
      <c r="G3430">
        <v>2428</v>
      </c>
      <c r="H3430">
        <v>3</v>
      </c>
      <c r="I3430" t="s">
        <v>156</v>
      </c>
      <c r="J3430">
        <v>4</v>
      </c>
      <c r="K3430">
        <v>2</v>
      </c>
      <c r="L3430">
        <v>5</v>
      </c>
      <c r="M3430">
        <v>314</v>
      </c>
      <c r="N3430">
        <v>430</v>
      </c>
      <c r="O3430">
        <v>7</v>
      </c>
      <c r="P3430">
        <v>429</v>
      </c>
      <c r="Q3430">
        <v>17</v>
      </c>
      <c r="R3430">
        <v>23</v>
      </c>
      <c r="S3430">
        <v>107</v>
      </c>
      <c r="T3430">
        <v>8</v>
      </c>
      <c r="U3430">
        <v>21</v>
      </c>
      <c r="V3430">
        <v>5</v>
      </c>
      <c r="W3430">
        <v>35</v>
      </c>
      <c r="X3430">
        <v>10</v>
      </c>
      <c r="Y3430">
        <v>102</v>
      </c>
      <c r="Z3430">
        <v>3</v>
      </c>
      <c r="AA3430">
        <v>25</v>
      </c>
      <c r="AB3430">
        <v>3</v>
      </c>
      <c r="AC3430">
        <v>0</v>
      </c>
      <c r="AD3430">
        <v>2</v>
      </c>
      <c r="AE3430">
        <v>1</v>
      </c>
      <c r="AF3430">
        <v>1</v>
      </c>
      <c r="AG3430">
        <v>1</v>
      </c>
      <c r="AH3430">
        <v>1</v>
      </c>
      <c r="AI3430">
        <v>0</v>
      </c>
      <c r="AJ3430">
        <v>0</v>
      </c>
      <c r="AK3430">
        <v>5</v>
      </c>
      <c r="AL3430">
        <v>2</v>
      </c>
      <c r="AM3430">
        <v>0</v>
      </c>
      <c r="AN3430">
        <v>2</v>
      </c>
      <c r="AZ3430">
        <v>33</v>
      </c>
      <c r="BC3430">
        <v>0</v>
      </c>
      <c r="BD3430">
        <v>22</v>
      </c>
      <c r="BE3430">
        <v>424</v>
      </c>
      <c r="BF3430">
        <v>429</v>
      </c>
      <c r="BG3430">
        <v>722</v>
      </c>
      <c r="BJ3430">
        <v>1</v>
      </c>
      <c r="BL3430" t="s">
        <v>7109</v>
      </c>
      <c r="BM3430" s="4">
        <v>43283.008703703701</v>
      </c>
      <c r="BN3430" s="4">
        <v>43283.013275462959</v>
      </c>
      <c r="BO3430" s="4">
        <v>43283.013275462959</v>
      </c>
      <c r="BP3430" t="s">
        <v>339</v>
      </c>
      <c r="BQ3430" t="s">
        <v>340</v>
      </c>
      <c r="BR3430" t="s">
        <v>94</v>
      </c>
    </row>
    <row r="3431" spans="1:70" x14ac:dyDescent="0.3">
      <c r="A3431" t="str">
        <f>"202428E0305"</f>
        <v>202428E0305</v>
      </c>
      <c r="B3431" s="2" t="s">
        <v>7110</v>
      </c>
      <c r="C3431">
        <v>20</v>
      </c>
      <c r="D3431" t="s">
        <v>88</v>
      </c>
      <c r="E3431">
        <v>566</v>
      </c>
      <c r="F3431" t="s">
        <v>7036</v>
      </c>
      <c r="G3431">
        <v>2428</v>
      </c>
      <c r="H3431">
        <v>3</v>
      </c>
      <c r="I3431" t="s">
        <v>156</v>
      </c>
      <c r="J3431">
        <v>5</v>
      </c>
      <c r="K3431">
        <v>2</v>
      </c>
      <c r="L3431">
        <v>5</v>
      </c>
      <c r="M3431">
        <v>325</v>
      </c>
      <c r="N3431">
        <v>420</v>
      </c>
      <c r="O3431">
        <v>9</v>
      </c>
      <c r="P3431" t="s">
        <v>105</v>
      </c>
      <c r="Q3431">
        <v>7</v>
      </c>
      <c r="R3431">
        <v>31</v>
      </c>
      <c r="S3431">
        <v>106</v>
      </c>
      <c r="T3431">
        <v>2</v>
      </c>
      <c r="U3431">
        <v>17</v>
      </c>
      <c r="V3431">
        <v>7</v>
      </c>
      <c r="W3431">
        <v>50</v>
      </c>
      <c r="X3431">
        <v>4</v>
      </c>
      <c r="Y3431">
        <v>102</v>
      </c>
      <c r="Z3431">
        <v>3</v>
      </c>
      <c r="AA3431">
        <v>18</v>
      </c>
      <c r="AB3431">
        <v>2</v>
      </c>
      <c r="AC3431">
        <v>1</v>
      </c>
      <c r="AD3431">
        <v>0</v>
      </c>
      <c r="AE3431">
        <v>0</v>
      </c>
      <c r="AF3431">
        <v>0</v>
      </c>
      <c r="AG3431">
        <v>2</v>
      </c>
      <c r="AH3431">
        <v>1</v>
      </c>
      <c r="AI3431">
        <v>0</v>
      </c>
      <c r="AJ3431">
        <v>0</v>
      </c>
      <c r="AK3431">
        <v>3</v>
      </c>
      <c r="AL3431">
        <v>0</v>
      </c>
      <c r="AM3431">
        <v>0</v>
      </c>
      <c r="AN3431">
        <v>1</v>
      </c>
      <c r="AZ3431">
        <v>35</v>
      </c>
      <c r="BC3431">
        <v>0</v>
      </c>
      <c r="BD3431">
        <v>28</v>
      </c>
      <c r="BE3431">
        <v>420</v>
      </c>
      <c r="BF3431">
        <v>420</v>
      </c>
      <c r="BG3431">
        <v>722</v>
      </c>
      <c r="BJ3431">
        <v>1</v>
      </c>
      <c r="BL3431" t="s">
        <v>7111</v>
      </c>
      <c r="BM3431" s="4">
        <v>43282.994421296295</v>
      </c>
      <c r="BN3431" s="4">
        <v>43282.997511574074</v>
      </c>
      <c r="BO3431" s="4">
        <v>43282.997511574074</v>
      </c>
      <c r="BP3431" t="s">
        <v>339</v>
      </c>
      <c r="BQ3431" t="s">
        <v>340</v>
      </c>
      <c r="BR3431" t="s">
        <v>94</v>
      </c>
    </row>
    <row r="3432" spans="1:70" x14ac:dyDescent="0.3">
      <c r="A3432" t="str">
        <f>"202428E0306"</f>
        <v>202428E0306</v>
      </c>
      <c r="B3432" s="2" t="s">
        <v>7112</v>
      </c>
      <c r="C3432">
        <v>20</v>
      </c>
      <c r="D3432" t="s">
        <v>88</v>
      </c>
      <c r="E3432">
        <v>566</v>
      </c>
      <c r="F3432" t="s">
        <v>7036</v>
      </c>
      <c r="G3432">
        <v>2428</v>
      </c>
      <c r="H3432">
        <v>3</v>
      </c>
      <c r="I3432" t="s">
        <v>156</v>
      </c>
      <c r="J3432">
        <v>6</v>
      </c>
      <c r="K3432">
        <v>2</v>
      </c>
      <c r="L3432">
        <v>5</v>
      </c>
      <c r="M3432">
        <v>343</v>
      </c>
      <c r="N3432">
        <v>402</v>
      </c>
      <c r="O3432">
        <v>7</v>
      </c>
      <c r="P3432">
        <v>402</v>
      </c>
      <c r="Q3432">
        <v>9</v>
      </c>
      <c r="R3432">
        <v>20</v>
      </c>
      <c r="S3432">
        <v>107</v>
      </c>
      <c r="T3432">
        <v>3</v>
      </c>
      <c r="U3432">
        <v>15</v>
      </c>
      <c r="V3432">
        <v>2</v>
      </c>
      <c r="W3432">
        <v>54</v>
      </c>
      <c r="X3432">
        <v>6</v>
      </c>
      <c r="Y3432">
        <v>93</v>
      </c>
      <c r="Z3432">
        <v>4</v>
      </c>
      <c r="AA3432">
        <v>23</v>
      </c>
      <c r="AB3432">
        <v>3</v>
      </c>
      <c r="AC3432">
        <v>1</v>
      </c>
      <c r="AD3432">
        <v>0</v>
      </c>
      <c r="AE3432">
        <v>0</v>
      </c>
      <c r="AF3432">
        <v>1</v>
      </c>
      <c r="AG3432">
        <v>0</v>
      </c>
      <c r="AH3432">
        <v>0</v>
      </c>
      <c r="AI3432">
        <v>0</v>
      </c>
      <c r="AJ3432">
        <v>0</v>
      </c>
      <c r="AK3432">
        <v>5</v>
      </c>
      <c r="AL3432">
        <v>1</v>
      </c>
      <c r="AM3432">
        <v>0</v>
      </c>
      <c r="AN3432">
        <v>1</v>
      </c>
      <c r="AZ3432">
        <v>37</v>
      </c>
      <c r="BC3432">
        <v>0</v>
      </c>
      <c r="BD3432">
        <v>17</v>
      </c>
      <c r="BE3432">
        <v>402</v>
      </c>
      <c r="BF3432">
        <v>402</v>
      </c>
      <c r="BG3432">
        <v>722</v>
      </c>
      <c r="BJ3432">
        <v>1</v>
      </c>
      <c r="BL3432" t="s">
        <v>7113</v>
      </c>
      <c r="BM3432" s="4">
        <v>43283.037974537037</v>
      </c>
      <c r="BN3432" s="4">
        <v>43283.042326388888</v>
      </c>
      <c r="BO3432" s="4">
        <v>43283.042326388888</v>
      </c>
      <c r="BP3432" t="s">
        <v>339</v>
      </c>
      <c r="BQ3432" t="s">
        <v>340</v>
      </c>
      <c r="BR3432" t="s">
        <v>94</v>
      </c>
    </row>
    <row r="3433" spans="1:70" x14ac:dyDescent="0.3">
      <c r="A3433" t="str">
        <f>"202428E0400"</f>
        <v>202428E0400</v>
      </c>
      <c r="B3433" s="2" t="s">
        <v>7114</v>
      </c>
      <c r="C3433">
        <v>20</v>
      </c>
      <c r="D3433" t="s">
        <v>88</v>
      </c>
      <c r="E3433">
        <v>566</v>
      </c>
      <c r="F3433" t="s">
        <v>7036</v>
      </c>
      <c r="G3433">
        <v>2428</v>
      </c>
      <c r="H3433">
        <v>4</v>
      </c>
      <c r="I3433" t="s">
        <v>156</v>
      </c>
      <c r="J3433">
        <v>0</v>
      </c>
      <c r="K3433">
        <v>2</v>
      </c>
      <c r="L3433">
        <v>5</v>
      </c>
      <c r="M3433">
        <v>338</v>
      </c>
      <c r="N3433">
        <v>723</v>
      </c>
      <c r="O3433">
        <v>7</v>
      </c>
      <c r="P3433">
        <v>385</v>
      </c>
      <c r="Q3433">
        <v>10</v>
      </c>
      <c r="R3433">
        <v>16</v>
      </c>
      <c r="S3433">
        <v>67</v>
      </c>
      <c r="T3433">
        <v>5</v>
      </c>
      <c r="U3433">
        <v>17</v>
      </c>
      <c r="V3433">
        <v>3</v>
      </c>
      <c r="W3433">
        <v>57</v>
      </c>
      <c r="X3433">
        <v>6</v>
      </c>
      <c r="Y3433">
        <v>147</v>
      </c>
      <c r="Z3433">
        <v>8</v>
      </c>
      <c r="AA3433">
        <v>13</v>
      </c>
      <c r="AB3433">
        <v>4</v>
      </c>
      <c r="AC3433">
        <v>0</v>
      </c>
      <c r="AD3433">
        <v>0</v>
      </c>
      <c r="AE3433">
        <v>0</v>
      </c>
      <c r="AF3433">
        <v>3</v>
      </c>
      <c r="AG3433">
        <v>0</v>
      </c>
      <c r="AH3433">
        <v>1</v>
      </c>
      <c r="AI3433">
        <v>0</v>
      </c>
      <c r="AJ3433">
        <v>0</v>
      </c>
      <c r="AK3433">
        <v>1</v>
      </c>
      <c r="AL3433">
        <v>6</v>
      </c>
      <c r="AM3433">
        <v>6</v>
      </c>
      <c r="AN3433">
        <v>2</v>
      </c>
      <c r="AZ3433">
        <v>2</v>
      </c>
      <c r="BC3433">
        <v>0</v>
      </c>
      <c r="BD3433">
        <v>26</v>
      </c>
      <c r="BE3433">
        <v>385</v>
      </c>
      <c r="BF3433">
        <v>400</v>
      </c>
      <c r="BG3433">
        <v>700</v>
      </c>
      <c r="BJ3433">
        <v>1</v>
      </c>
      <c r="BL3433" t="s">
        <v>7115</v>
      </c>
      <c r="BM3433" s="4">
        <v>43283.203472222223</v>
      </c>
      <c r="BN3433" s="4">
        <v>43283.223437499997</v>
      </c>
      <c r="BO3433" s="4">
        <v>43283.223437499997</v>
      </c>
      <c r="BP3433" t="s">
        <v>92</v>
      </c>
      <c r="BQ3433" t="s">
        <v>93</v>
      </c>
      <c r="BR3433" t="s">
        <v>94</v>
      </c>
    </row>
    <row r="3434" spans="1:70" x14ac:dyDescent="0.3">
      <c r="A3434" t="str">
        <f>"202428E0401"</f>
        <v>202428E0401</v>
      </c>
      <c r="B3434" s="2" t="s">
        <v>7116</v>
      </c>
      <c r="C3434">
        <v>20</v>
      </c>
      <c r="D3434" t="s">
        <v>88</v>
      </c>
      <c r="E3434">
        <v>566</v>
      </c>
      <c r="F3434" t="s">
        <v>7036</v>
      </c>
      <c r="G3434">
        <v>2428</v>
      </c>
      <c r="H3434">
        <v>4</v>
      </c>
      <c r="I3434" t="s">
        <v>156</v>
      </c>
      <c r="J3434">
        <v>1</v>
      </c>
      <c r="K3434">
        <v>2</v>
      </c>
      <c r="L3434">
        <v>5</v>
      </c>
      <c r="M3434">
        <v>312</v>
      </c>
      <c r="N3434">
        <v>411</v>
      </c>
      <c r="O3434">
        <v>5</v>
      </c>
      <c r="P3434">
        <v>411</v>
      </c>
      <c r="Q3434">
        <v>9</v>
      </c>
      <c r="R3434">
        <v>23</v>
      </c>
      <c r="S3434">
        <v>75</v>
      </c>
      <c r="T3434">
        <v>4</v>
      </c>
      <c r="U3434">
        <v>23</v>
      </c>
      <c r="V3434">
        <v>2</v>
      </c>
      <c r="W3434">
        <v>54</v>
      </c>
      <c r="X3434">
        <v>6</v>
      </c>
      <c r="Y3434">
        <v>116</v>
      </c>
      <c r="Z3434">
        <v>3</v>
      </c>
      <c r="AA3434">
        <v>14</v>
      </c>
      <c r="AB3434">
        <v>9</v>
      </c>
      <c r="AC3434">
        <v>0</v>
      </c>
      <c r="AD3434">
        <v>1</v>
      </c>
      <c r="AE3434">
        <v>0</v>
      </c>
      <c r="AF3434">
        <v>0</v>
      </c>
      <c r="AG3434">
        <v>4</v>
      </c>
      <c r="AH3434">
        <v>1</v>
      </c>
      <c r="AI3434">
        <v>0</v>
      </c>
      <c r="AJ3434">
        <v>1</v>
      </c>
      <c r="AK3434">
        <v>7</v>
      </c>
      <c r="AL3434">
        <v>2</v>
      </c>
      <c r="AM3434">
        <v>0</v>
      </c>
      <c r="AN3434">
        <v>2</v>
      </c>
      <c r="AZ3434">
        <v>44</v>
      </c>
      <c r="BC3434">
        <v>0</v>
      </c>
      <c r="BD3434">
        <v>11</v>
      </c>
      <c r="BE3434">
        <v>411</v>
      </c>
      <c r="BF3434">
        <v>411</v>
      </c>
      <c r="BG3434">
        <v>699</v>
      </c>
      <c r="BJ3434">
        <v>1</v>
      </c>
      <c r="BL3434" t="s">
        <v>7117</v>
      </c>
      <c r="BM3434" s="4">
        <v>43283.105740740742</v>
      </c>
      <c r="BN3434" s="4">
        <v>43283.10900462963</v>
      </c>
      <c r="BO3434" s="4">
        <v>43283.10900462963</v>
      </c>
      <c r="BP3434" t="s">
        <v>339</v>
      </c>
      <c r="BQ3434" t="s">
        <v>340</v>
      </c>
      <c r="BR3434" t="s">
        <v>94</v>
      </c>
    </row>
    <row r="3435" spans="1:70" x14ac:dyDescent="0.3">
      <c r="A3435" t="str">
        <f>"202429B0100"</f>
        <v>202429B0100</v>
      </c>
      <c r="B3435" t="s">
        <v>7118</v>
      </c>
      <c r="C3435">
        <v>20</v>
      </c>
      <c r="D3435" t="s">
        <v>88</v>
      </c>
      <c r="E3435">
        <v>566</v>
      </c>
      <c r="F3435" t="s">
        <v>7036</v>
      </c>
      <c r="G3435">
        <v>2429</v>
      </c>
      <c r="H3435">
        <v>1</v>
      </c>
      <c r="I3435" t="s">
        <v>90</v>
      </c>
      <c r="J3435">
        <v>0</v>
      </c>
      <c r="K3435">
        <v>2</v>
      </c>
      <c r="L3435">
        <v>5</v>
      </c>
      <c r="M3435">
        <v>140</v>
      </c>
      <c r="N3435">
        <v>271</v>
      </c>
      <c r="O3435">
        <v>5</v>
      </c>
      <c r="P3435">
        <v>271</v>
      </c>
      <c r="Q3435">
        <v>2</v>
      </c>
      <c r="R3435">
        <v>6</v>
      </c>
      <c r="S3435">
        <v>94</v>
      </c>
      <c r="T3435">
        <v>3</v>
      </c>
      <c r="U3435">
        <v>6</v>
      </c>
      <c r="V3435">
        <v>50</v>
      </c>
      <c r="W3435">
        <v>50</v>
      </c>
      <c r="X3435">
        <v>7</v>
      </c>
      <c r="Y3435">
        <v>51</v>
      </c>
      <c r="Z3435">
        <v>1</v>
      </c>
      <c r="AA3435">
        <v>11</v>
      </c>
      <c r="AB3435">
        <v>2</v>
      </c>
      <c r="AC3435" t="s">
        <v>105</v>
      </c>
      <c r="AD3435">
        <v>2</v>
      </c>
      <c r="AE3435" t="s">
        <v>105</v>
      </c>
      <c r="AF3435">
        <v>1</v>
      </c>
      <c r="AG3435" t="s">
        <v>105</v>
      </c>
      <c r="AH3435" t="s">
        <v>105</v>
      </c>
      <c r="AI3435" t="s">
        <v>105</v>
      </c>
      <c r="AJ3435" t="s">
        <v>105</v>
      </c>
      <c r="AK3435" t="s">
        <v>105</v>
      </c>
      <c r="AL3435" t="s">
        <v>105</v>
      </c>
      <c r="AM3435" t="s">
        <v>105</v>
      </c>
      <c r="AN3435" t="s">
        <v>105</v>
      </c>
      <c r="AZ3435">
        <v>27</v>
      </c>
      <c r="BC3435" t="s">
        <v>105</v>
      </c>
      <c r="BD3435">
        <v>8</v>
      </c>
      <c r="BE3435">
        <v>271</v>
      </c>
      <c r="BF3435">
        <v>321</v>
      </c>
      <c r="BG3435">
        <v>388</v>
      </c>
      <c r="BI3435" t="s">
        <v>106</v>
      </c>
      <c r="BJ3435">
        <v>1</v>
      </c>
      <c r="BL3435" t="s">
        <v>7119</v>
      </c>
      <c r="BM3435" s="4">
        <v>43283.197222222225</v>
      </c>
      <c r="BN3435" s="4">
        <v>43283.215046296296</v>
      </c>
      <c r="BO3435" s="4">
        <v>43283.215046296296</v>
      </c>
      <c r="BP3435" t="s">
        <v>92</v>
      </c>
      <c r="BQ3435" t="s">
        <v>93</v>
      </c>
      <c r="BR3435" t="s">
        <v>94</v>
      </c>
    </row>
    <row r="3436" spans="1:70" x14ac:dyDescent="0.3">
      <c r="A3436" t="str">
        <f>"202432B0100"</f>
        <v>202432B0100</v>
      </c>
      <c r="B3436" t="s">
        <v>7120</v>
      </c>
      <c r="C3436">
        <v>20</v>
      </c>
      <c r="D3436" t="s">
        <v>88</v>
      </c>
      <c r="E3436">
        <v>568</v>
      </c>
      <c r="F3436" t="s">
        <v>7121</v>
      </c>
      <c r="G3436">
        <v>2432</v>
      </c>
      <c r="H3436">
        <v>1</v>
      </c>
      <c r="I3436" t="s">
        <v>90</v>
      </c>
      <c r="J3436">
        <v>0</v>
      </c>
      <c r="K3436">
        <v>2</v>
      </c>
      <c r="L3436">
        <v>5</v>
      </c>
      <c r="M3436">
        <v>223</v>
      </c>
      <c r="N3436">
        <v>310</v>
      </c>
      <c r="O3436">
        <v>0</v>
      </c>
      <c r="P3436">
        <v>310</v>
      </c>
      <c r="Q3436">
        <v>127</v>
      </c>
      <c r="R3436">
        <v>36</v>
      </c>
      <c r="S3436">
        <v>5</v>
      </c>
      <c r="U3436">
        <v>102</v>
      </c>
      <c r="V3436">
        <v>4</v>
      </c>
      <c r="Y3436">
        <v>10</v>
      </c>
      <c r="Z3436">
        <v>1</v>
      </c>
      <c r="AB3436">
        <v>0</v>
      </c>
      <c r="AC3436">
        <v>0</v>
      </c>
      <c r="AD3436">
        <v>0</v>
      </c>
      <c r="AE3436">
        <v>0</v>
      </c>
      <c r="AF3436">
        <v>2</v>
      </c>
      <c r="AK3436">
        <v>2</v>
      </c>
      <c r="AL3436">
        <v>2</v>
      </c>
      <c r="AM3436">
        <v>1</v>
      </c>
      <c r="AN3436">
        <v>1</v>
      </c>
      <c r="BC3436">
        <v>0</v>
      </c>
      <c r="BD3436">
        <v>17</v>
      </c>
      <c r="BE3436">
        <v>310</v>
      </c>
      <c r="BF3436">
        <v>310</v>
      </c>
      <c r="BG3436">
        <v>511</v>
      </c>
      <c r="BJ3436">
        <v>1</v>
      </c>
      <c r="BL3436" t="s">
        <v>7122</v>
      </c>
      <c r="BM3436" s="4">
        <v>43283.400694444441</v>
      </c>
      <c r="BN3436" s="4">
        <v>43283.417685185188</v>
      </c>
      <c r="BO3436" s="4">
        <v>43283.417685185188</v>
      </c>
      <c r="BP3436" t="s">
        <v>92</v>
      </c>
      <c r="BQ3436" t="s">
        <v>93</v>
      </c>
      <c r="BR3436" t="s">
        <v>94</v>
      </c>
    </row>
    <row r="3437" spans="1:70" x14ac:dyDescent="0.3">
      <c r="A3437" t="str">
        <f>"202432C0100"</f>
        <v>202432C0100</v>
      </c>
      <c r="B3437" t="s">
        <v>7123</v>
      </c>
      <c r="C3437">
        <v>20</v>
      </c>
      <c r="D3437" t="s">
        <v>88</v>
      </c>
      <c r="E3437">
        <v>568</v>
      </c>
      <c r="F3437" t="s">
        <v>7121</v>
      </c>
      <c r="G3437">
        <v>2432</v>
      </c>
      <c r="H3437">
        <v>1</v>
      </c>
      <c r="I3437" t="s">
        <v>98</v>
      </c>
      <c r="J3437">
        <v>0</v>
      </c>
      <c r="K3437">
        <v>2</v>
      </c>
      <c r="L3437">
        <v>5</v>
      </c>
      <c r="M3437">
        <v>225</v>
      </c>
      <c r="N3437">
        <v>308</v>
      </c>
      <c r="O3437">
        <v>0</v>
      </c>
      <c r="P3437">
        <v>308</v>
      </c>
      <c r="Q3437">
        <v>124</v>
      </c>
      <c r="R3437">
        <v>43</v>
      </c>
      <c r="S3437">
        <v>13</v>
      </c>
      <c r="U3437">
        <v>62</v>
      </c>
      <c r="V3437">
        <v>3</v>
      </c>
      <c r="Y3437">
        <v>21</v>
      </c>
      <c r="Z3437">
        <v>3</v>
      </c>
      <c r="AB3437">
        <v>2</v>
      </c>
      <c r="AC3437">
        <v>2</v>
      </c>
      <c r="AD3437">
        <v>1</v>
      </c>
      <c r="AE3437">
        <v>0</v>
      </c>
      <c r="AF3437">
        <v>0</v>
      </c>
      <c r="AK3437">
        <v>0</v>
      </c>
      <c r="AL3437">
        <v>2</v>
      </c>
      <c r="AM3437">
        <v>1</v>
      </c>
      <c r="AN3437">
        <v>1</v>
      </c>
      <c r="BC3437">
        <v>0</v>
      </c>
      <c r="BD3437">
        <v>31</v>
      </c>
      <c r="BE3437">
        <v>308</v>
      </c>
      <c r="BF3437">
        <v>309</v>
      </c>
      <c r="BG3437">
        <v>510</v>
      </c>
      <c r="BJ3437">
        <v>1</v>
      </c>
      <c r="BL3437" t="s">
        <v>7124</v>
      </c>
      <c r="BM3437" s="4">
        <v>43283.40625</v>
      </c>
      <c r="BN3437" s="4">
        <v>43283.414525462962</v>
      </c>
      <c r="BO3437" s="4">
        <v>43283.414525462962</v>
      </c>
      <c r="BP3437" t="s">
        <v>92</v>
      </c>
      <c r="BQ3437" t="s">
        <v>93</v>
      </c>
      <c r="BR3437" t="s">
        <v>94</v>
      </c>
    </row>
    <row r="3438" spans="1:70" x14ac:dyDescent="0.3">
      <c r="A3438" t="str">
        <f>"202433B0100"</f>
        <v>202433B0100</v>
      </c>
      <c r="B3438" t="s">
        <v>7125</v>
      </c>
      <c r="C3438">
        <v>20</v>
      </c>
      <c r="D3438" t="s">
        <v>88</v>
      </c>
      <c r="E3438">
        <v>568</v>
      </c>
      <c r="F3438" t="s">
        <v>7121</v>
      </c>
      <c r="G3438">
        <v>2433</v>
      </c>
      <c r="H3438">
        <v>1</v>
      </c>
      <c r="I3438" t="s">
        <v>90</v>
      </c>
      <c r="J3438">
        <v>0</v>
      </c>
      <c r="K3438">
        <v>2</v>
      </c>
      <c r="L3438">
        <v>5</v>
      </c>
      <c r="M3438">
        <v>261</v>
      </c>
      <c r="N3438">
        <v>450</v>
      </c>
      <c r="O3438">
        <v>0</v>
      </c>
      <c r="P3438">
        <v>450</v>
      </c>
      <c r="Q3438">
        <v>162</v>
      </c>
      <c r="R3438">
        <v>54</v>
      </c>
      <c r="S3438">
        <v>3</v>
      </c>
      <c r="U3438">
        <v>163</v>
      </c>
      <c r="V3438">
        <v>2</v>
      </c>
      <c r="Y3438">
        <v>10</v>
      </c>
      <c r="Z3438">
        <v>4</v>
      </c>
      <c r="AB3438">
        <v>0</v>
      </c>
      <c r="AC3438">
        <v>3</v>
      </c>
      <c r="AD3438">
        <v>0</v>
      </c>
      <c r="AE3438">
        <v>0</v>
      </c>
      <c r="AF3438">
        <v>0</v>
      </c>
      <c r="AK3438">
        <v>3</v>
      </c>
      <c r="AL3438">
        <v>8</v>
      </c>
      <c r="AM3438">
        <v>1</v>
      </c>
      <c r="AN3438">
        <v>0</v>
      </c>
      <c r="BC3438">
        <v>0</v>
      </c>
      <c r="BD3438">
        <v>37</v>
      </c>
      <c r="BE3438">
        <v>450</v>
      </c>
      <c r="BF3438">
        <v>450</v>
      </c>
      <c r="BG3438">
        <v>688</v>
      </c>
      <c r="BJ3438">
        <v>1</v>
      </c>
      <c r="BL3438" t="s">
        <v>7126</v>
      </c>
      <c r="BM3438" s="4">
        <v>43283.402083333334</v>
      </c>
      <c r="BN3438" s="4">
        <v>43283.411030092589</v>
      </c>
      <c r="BO3438" s="4">
        <v>43283.411030092589</v>
      </c>
      <c r="BP3438" t="s">
        <v>92</v>
      </c>
      <c r="BQ3438" t="s">
        <v>93</v>
      </c>
      <c r="BR3438" t="s">
        <v>94</v>
      </c>
    </row>
    <row r="3439" spans="1:70" x14ac:dyDescent="0.3">
      <c r="A3439" t="str">
        <f>"202434B0100"</f>
        <v>202434B0100</v>
      </c>
      <c r="B3439" t="s">
        <v>7127</v>
      </c>
      <c r="C3439">
        <v>20</v>
      </c>
      <c r="D3439" t="s">
        <v>88</v>
      </c>
      <c r="E3439">
        <v>568</v>
      </c>
      <c r="F3439" t="s">
        <v>7121</v>
      </c>
      <c r="G3439">
        <v>2434</v>
      </c>
      <c r="H3439">
        <v>1</v>
      </c>
      <c r="I3439" t="s">
        <v>90</v>
      </c>
      <c r="J3439">
        <v>0</v>
      </c>
      <c r="K3439">
        <v>2</v>
      </c>
      <c r="L3439">
        <v>5</v>
      </c>
      <c r="M3439">
        <v>214</v>
      </c>
      <c r="N3439">
        <v>298</v>
      </c>
      <c r="O3439">
        <v>0</v>
      </c>
      <c r="P3439">
        <v>298</v>
      </c>
      <c r="Q3439">
        <v>91</v>
      </c>
      <c r="R3439">
        <v>37</v>
      </c>
      <c r="S3439">
        <v>9</v>
      </c>
      <c r="U3439">
        <v>102</v>
      </c>
      <c r="V3439">
        <v>2</v>
      </c>
      <c r="Y3439">
        <v>24</v>
      </c>
      <c r="Z3439">
        <v>1</v>
      </c>
      <c r="AB3439">
        <v>0</v>
      </c>
      <c r="AC3439">
        <v>1</v>
      </c>
      <c r="AD3439">
        <v>1</v>
      </c>
      <c r="AE3439">
        <v>0</v>
      </c>
      <c r="AF3439">
        <v>0</v>
      </c>
      <c r="AK3439">
        <v>0</v>
      </c>
      <c r="AL3439">
        <v>4</v>
      </c>
      <c r="AM3439">
        <v>0</v>
      </c>
      <c r="AN3439">
        <v>0</v>
      </c>
      <c r="BC3439">
        <v>0</v>
      </c>
      <c r="BD3439">
        <v>26</v>
      </c>
      <c r="BE3439">
        <v>298</v>
      </c>
      <c r="BF3439">
        <v>298</v>
      </c>
      <c r="BG3439">
        <v>492</v>
      </c>
      <c r="BJ3439">
        <v>1</v>
      </c>
      <c r="BL3439" t="s">
        <v>7128</v>
      </c>
      <c r="BM3439" s="4">
        <v>43283.386087962965</v>
      </c>
      <c r="BN3439" s="4">
        <v>43283.391238425924</v>
      </c>
      <c r="BO3439" s="4">
        <v>43283.391238425924</v>
      </c>
      <c r="BP3439" t="s">
        <v>339</v>
      </c>
      <c r="BQ3439" t="s">
        <v>340</v>
      </c>
      <c r="BR3439" t="s">
        <v>94</v>
      </c>
    </row>
    <row r="3440" spans="1:70" x14ac:dyDescent="0.3">
      <c r="A3440" t="str">
        <f>"202436B0100"</f>
        <v>202436B0100</v>
      </c>
      <c r="B3440" t="s">
        <v>7129</v>
      </c>
      <c r="C3440">
        <v>20</v>
      </c>
      <c r="D3440" t="s">
        <v>88</v>
      </c>
      <c r="E3440">
        <v>570</v>
      </c>
      <c r="F3440" t="s">
        <v>7130</v>
      </c>
      <c r="G3440">
        <v>2436</v>
      </c>
      <c r="H3440">
        <v>1</v>
      </c>
      <c r="I3440" t="s">
        <v>90</v>
      </c>
      <c r="J3440">
        <v>0</v>
      </c>
      <c r="K3440">
        <v>2</v>
      </c>
      <c r="L3440">
        <v>5</v>
      </c>
      <c r="M3440">
        <v>152</v>
      </c>
      <c r="N3440">
        <v>498</v>
      </c>
      <c r="O3440">
        <v>4</v>
      </c>
      <c r="P3440">
        <v>498</v>
      </c>
      <c r="Q3440">
        <v>219</v>
      </c>
      <c r="R3440">
        <v>6</v>
      </c>
      <c r="S3440">
        <v>20</v>
      </c>
      <c r="T3440">
        <v>17</v>
      </c>
      <c r="U3440">
        <v>8</v>
      </c>
      <c r="V3440">
        <v>8</v>
      </c>
      <c r="W3440">
        <v>2</v>
      </c>
      <c r="X3440">
        <v>2</v>
      </c>
      <c r="Y3440">
        <v>101</v>
      </c>
      <c r="Z3440">
        <v>7</v>
      </c>
      <c r="AA3440">
        <v>66</v>
      </c>
      <c r="AC3440">
        <v>6</v>
      </c>
      <c r="AD3440">
        <v>4</v>
      </c>
      <c r="AE3440">
        <v>0</v>
      </c>
      <c r="AF3440">
        <v>0</v>
      </c>
      <c r="AK3440">
        <v>1</v>
      </c>
      <c r="AL3440">
        <v>2</v>
      </c>
      <c r="AM3440">
        <v>0</v>
      </c>
      <c r="AN3440">
        <v>2</v>
      </c>
      <c r="AU3440">
        <v>1</v>
      </c>
      <c r="BC3440">
        <v>6</v>
      </c>
      <c r="BD3440">
        <v>26</v>
      </c>
      <c r="BE3440">
        <v>498</v>
      </c>
      <c r="BF3440">
        <v>504</v>
      </c>
      <c r="BG3440">
        <v>629</v>
      </c>
      <c r="BJ3440">
        <v>1</v>
      </c>
      <c r="BL3440" t="s">
        <v>7131</v>
      </c>
      <c r="BM3440" s="4">
        <v>43283.1</v>
      </c>
      <c r="BN3440" s="4">
        <v>43283.380115740743</v>
      </c>
      <c r="BO3440" s="4">
        <v>43283.380115740743</v>
      </c>
      <c r="BP3440" t="s">
        <v>92</v>
      </c>
      <c r="BQ3440" t="s">
        <v>93</v>
      </c>
      <c r="BR3440" t="s">
        <v>94</v>
      </c>
    </row>
    <row r="3441" spans="1:70" x14ac:dyDescent="0.3">
      <c r="A3441" t="str">
        <f>"202436C0100"</f>
        <v>202436C0100</v>
      </c>
      <c r="B3441" t="s">
        <v>7132</v>
      </c>
      <c r="C3441">
        <v>20</v>
      </c>
      <c r="D3441" t="s">
        <v>88</v>
      </c>
      <c r="E3441">
        <v>570</v>
      </c>
      <c r="F3441" t="s">
        <v>7130</v>
      </c>
      <c r="G3441">
        <v>2436</v>
      </c>
      <c r="H3441">
        <v>1</v>
      </c>
      <c r="I3441" t="s">
        <v>98</v>
      </c>
      <c r="J3441">
        <v>0</v>
      </c>
      <c r="K3441">
        <v>2</v>
      </c>
      <c r="L3441">
        <v>5</v>
      </c>
      <c r="M3441">
        <v>174</v>
      </c>
      <c r="N3441">
        <v>476</v>
      </c>
      <c r="O3441">
        <v>3</v>
      </c>
      <c r="P3441" t="s">
        <v>105</v>
      </c>
      <c r="Q3441">
        <v>209</v>
      </c>
      <c r="R3441">
        <v>26</v>
      </c>
      <c r="S3441">
        <v>16</v>
      </c>
      <c r="T3441">
        <v>24</v>
      </c>
      <c r="U3441">
        <v>12</v>
      </c>
      <c r="V3441">
        <v>4</v>
      </c>
      <c r="W3441">
        <v>1</v>
      </c>
      <c r="X3441">
        <v>1</v>
      </c>
      <c r="Y3441">
        <v>81</v>
      </c>
      <c r="Z3441">
        <v>5</v>
      </c>
      <c r="AA3441">
        <v>68</v>
      </c>
      <c r="AC3441">
        <v>0</v>
      </c>
      <c r="AD3441">
        <v>3</v>
      </c>
      <c r="AE3441">
        <v>2</v>
      </c>
      <c r="AF3441">
        <v>0</v>
      </c>
      <c r="AK3441">
        <v>1</v>
      </c>
      <c r="AL3441">
        <v>3</v>
      </c>
      <c r="AM3441">
        <v>1</v>
      </c>
      <c r="AN3441">
        <v>1</v>
      </c>
      <c r="AU3441">
        <v>0</v>
      </c>
      <c r="BC3441">
        <v>1</v>
      </c>
      <c r="BD3441">
        <v>15</v>
      </c>
      <c r="BE3441">
        <v>476</v>
      </c>
      <c r="BF3441">
        <v>474</v>
      </c>
      <c r="BG3441">
        <v>629</v>
      </c>
      <c r="BJ3441">
        <v>1</v>
      </c>
      <c r="BL3441" t="s">
        <v>7133</v>
      </c>
      <c r="BM3441" s="4">
        <v>43283.107638888891</v>
      </c>
      <c r="BN3441" s="4">
        <v>43283.243125000001</v>
      </c>
      <c r="BO3441" s="4">
        <v>43283.243125000001</v>
      </c>
      <c r="BP3441" t="s">
        <v>92</v>
      </c>
      <c r="BQ3441" t="s">
        <v>93</v>
      </c>
      <c r="BR3441" t="s">
        <v>94</v>
      </c>
    </row>
    <row r="3442" spans="1:70" x14ac:dyDescent="0.3">
      <c r="A3442" t="str">
        <f>"202437B0100"</f>
        <v>202437B0100</v>
      </c>
      <c r="B3442" t="s">
        <v>7134</v>
      </c>
      <c r="C3442">
        <v>20</v>
      </c>
      <c r="D3442" t="s">
        <v>88</v>
      </c>
      <c r="E3442">
        <v>570</v>
      </c>
      <c r="F3442" t="s">
        <v>7130</v>
      </c>
      <c r="G3442">
        <v>2437</v>
      </c>
      <c r="H3442">
        <v>1</v>
      </c>
      <c r="I3442" t="s">
        <v>90</v>
      </c>
      <c r="J3442">
        <v>0</v>
      </c>
      <c r="K3442">
        <v>2</v>
      </c>
      <c r="L3442">
        <v>5</v>
      </c>
      <c r="M3442" t="s">
        <v>105</v>
      </c>
      <c r="N3442">
        <v>512</v>
      </c>
      <c r="O3442">
        <v>4</v>
      </c>
      <c r="P3442">
        <v>510</v>
      </c>
      <c r="Q3442">
        <v>253</v>
      </c>
      <c r="R3442">
        <v>6</v>
      </c>
      <c r="S3442">
        <v>23</v>
      </c>
      <c r="T3442">
        <v>7</v>
      </c>
      <c r="U3442">
        <v>11</v>
      </c>
      <c r="V3442">
        <v>5</v>
      </c>
      <c r="W3442">
        <v>2</v>
      </c>
      <c r="X3442">
        <v>2</v>
      </c>
      <c r="Y3442">
        <v>101</v>
      </c>
      <c r="Z3442">
        <v>5</v>
      </c>
      <c r="AA3442">
        <v>72</v>
      </c>
      <c r="AC3442">
        <v>3</v>
      </c>
      <c r="AD3442">
        <v>3</v>
      </c>
      <c r="AE3442">
        <v>0</v>
      </c>
      <c r="AF3442">
        <v>0</v>
      </c>
      <c r="AK3442">
        <v>1</v>
      </c>
      <c r="AL3442">
        <v>0</v>
      </c>
      <c r="AM3442">
        <v>0</v>
      </c>
      <c r="AN3442">
        <v>1</v>
      </c>
      <c r="AU3442">
        <v>0</v>
      </c>
      <c r="BC3442">
        <v>0</v>
      </c>
      <c r="BD3442">
        <v>15</v>
      </c>
      <c r="BE3442">
        <v>510</v>
      </c>
      <c r="BF3442">
        <v>510</v>
      </c>
      <c r="BG3442">
        <v>655</v>
      </c>
      <c r="BJ3442">
        <v>1</v>
      </c>
      <c r="BL3442" t="s">
        <v>7135</v>
      </c>
      <c r="BM3442" s="4">
        <v>43283.104166666664</v>
      </c>
      <c r="BN3442" s="4">
        <v>43283.118634259263</v>
      </c>
      <c r="BO3442" s="4">
        <v>43283.118634259263</v>
      </c>
      <c r="BP3442" t="s">
        <v>92</v>
      </c>
      <c r="BQ3442" t="s">
        <v>93</v>
      </c>
      <c r="BR3442" t="s">
        <v>94</v>
      </c>
    </row>
    <row r="3443" spans="1:70" x14ac:dyDescent="0.3">
      <c r="A3443" t="str">
        <f>"202437C0100"</f>
        <v>202437C0100</v>
      </c>
      <c r="B3443" t="s">
        <v>7136</v>
      </c>
      <c r="C3443">
        <v>20</v>
      </c>
      <c r="D3443" t="s">
        <v>88</v>
      </c>
      <c r="E3443">
        <v>570</v>
      </c>
      <c r="F3443" t="s">
        <v>7130</v>
      </c>
      <c r="G3443">
        <v>2437</v>
      </c>
      <c r="H3443">
        <v>1</v>
      </c>
      <c r="I3443" t="s">
        <v>98</v>
      </c>
      <c r="J3443">
        <v>0</v>
      </c>
      <c r="K3443">
        <v>2</v>
      </c>
      <c r="L3443">
        <v>5</v>
      </c>
      <c r="M3443">
        <v>165</v>
      </c>
      <c r="N3443">
        <v>511</v>
      </c>
      <c r="O3443">
        <v>3</v>
      </c>
      <c r="P3443">
        <v>511</v>
      </c>
      <c r="Q3443">
        <v>239</v>
      </c>
      <c r="R3443">
        <v>4</v>
      </c>
      <c r="S3443">
        <v>32</v>
      </c>
      <c r="T3443">
        <v>9</v>
      </c>
      <c r="U3443">
        <v>8</v>
      </c>
      <c r="V3443">
        <v>4</v>
      </c>
      <c r="W3443">
        <v>3</v>
      </c>
      <c r="X3443">
        <v>2</v>
      </c>
      <c r="Y3443">
        <v>102</v>
      </c>
      <c r="Z3443">
        <v>2</v>
      </c>
      <c r="AA3443">
        <v>61</v>
      </c>
      <c r="AC3443">
        <v>2</v>
      </c>
      <c r="AD3443">
        <v>4</v>
      </c>
      <c r="AE3443">
        <v>1</v>
      </c>
      <c r="AF3443">
        <v>0</v>
      </c>
      <c r="AK3443">
        <v>1</v>
      </c>
      <c r="AL3443">
        <v>5</v>
      </c>
      <c r="AM3443">
        <v>0</v>
      </c>
      <c r="AN3443">
        <v>0</v>
      </c>
      <c r="AU3443">
        <v>0</v>
      </c>
      <c r="BC3443">
        <v>0</v>
      </c>
      <c r="BD3443">
        <v>27</v>
      </c>
      <c r="BE3443">
        <v>516</v>
      </c>
      <c r="BF3443">
        <v>506</v>
      </c>
      <c r="BG3443">
        <v>655</v>
      </c>
      <c r="BJ3443">
        <v>1</v>
      </c>
      <c r="BL3443" t="s">
        <v>7137</v>
      </c>
      <c r="BM3443" s="4">
        <v>43283.104166666664</v>
      </c>
      <c r="BN3443" s="4">
        <v>43283.120833333334</v>
      </c>
      <c r="BO3443" s="4">
        <v>43283.120833333334</v>
      </c>
      <c r="BP3443" t="s">
        <v>92</v>
      </c>
      <c r="BQ3443" t="s">
        <v>93</v>
      </c>
      <c r="BR3443" t="s">
        <v>94</v>
      </c>
    </row>
    <row r="3444" spans="1:70" x14ac:dyDescent="0.3">
      <c r="A3444" t="str">
        <f>"202437C0200"</f>
        <v>202437C0200</v>
      </c>
      <c r="B3444" t="s">
        <v>7138</v>
      </c>
      <c r="C3444">
        <v>20</v>
      </c>
      <c r="D3444" t="s">
        <v>88</v>
      </c>
      <c r="E3444">
        <v>570</v>
      </c>
      <c r="F3444" t="s">
        <v>7130</v>
      </c>
      <c r="G3444">
        <v>2437</v>
      </c>
      <c r="H3444">
        <v>2</v>
      </c>
      <c r="I3444" t="s">
        <v>98</v>
      </c>
      <c r="J3444">
        <v>0</v>
      </c>
      <c r="K3444">
        <v>2</v>
      </c>
      <c r="L3444">
        <v>5</v>
      </c>
      <c r="M3444">
        <v>167</v>
      </c>
      <c r="N3444">
        <v>509</v>
      </c>
      <c r="O3444">
        <v>4</v>
      </c>
      <c r="P3444">
        <v>506</v>
      </c>
      <c r="Q3444">
        <v>255</v>
      </c>
      <c r="R3444">
        <v>8</v>
      </c>
      <c r="S3444">
        <v>15</v>
      </c>
      <c r="T3444">
        <v>5</v>
      </c>
      <c r="U3444">
        <v>8</v>
      </c>
      <c r="V3444">
        <v>7</v>
      </c>
      <c r="W3444">
        <v>0</v>
      </c>
      <c r="X3444">
        <v>1</v>
      </c>
      <c r="Y3444">
        <v>112</v>
      </c>
      <c r="Z3444">
        <v>2</v>
      </c>
      <c r="AA3444">
        <v>56</v>
      </c>
      <c r="AC3444">
        <v>7</v>
      </c>
      <c r="AD3444">
        <v>3</v>
      </c>
      <c r="AE3444">
        <v>0</v>
      </c>
      <c r="AF3444">
        <v>1</v>
      </c>
      <c r="AK3444">
        <v>2</v>
      </c>
      <c r="AL3444">
        <v>2</v>
      </c>
      <c r="AM3444">
        <v>0</v>
      </c>
      <c r="AN3444">
        <v>0</v>
      </c>
      <c r="AU3444">
        <v>0</v>
      </c>
      <c r="BC3444">
        <v>0</v>
      </c>
      <c r="BD3444">
        <v>20</v>
      </c>
      <c r="BE3444">
        <v>504</v>
      </c>
      <c r="BF3444">
        <v>504</v>
      </c>
      <c r="BG3444">
        <v>654</v>
      </c>
      <c r="BJ3444">
        <v>1</v>
      </c>
      <c r="BL3444" t="s">
        <v>7139</v>
      </c>
      <c r="BM3444" s="4">
        <v>43283.104166666664</v>
      </c>
      <c r="BN3444" s="4">
        <v>43283.121469907404</v>
      </c>
      <c r="BO3444" s="4">
        <v>43283.121469907404</v>
      </c>
      <c r="BP3444" t="s">
        <v>92</v>
      </c>
      <c r="BQ3444" t="s">
        <v>93</v>
      </c>
      <c r="BR3444" t="s">
        <v>94</v>
      </c>
    </row>
    <row r="3445" spans="1:70" x14ac:dyDescent="0.3">
      <c r="A3445" t="str">
        <f>"202438B0100"</f>
        <v>202438B0100</v>
      </c>
      <c r="B3445" t="s">
        <v>7140</v>
      </c>
      <c r="C3445">
        <v>20</v>
      </c>
      <c r="D3445" t="s">
        <v>88</v>
      </c>
      <c r="E3445">
        <v>570</v>
      </c>
      <c r="F3445" t="s">
        <v>7130</v>
      </c>
      <c r="G3445">
        <v>2438</v>
      </c>
      <c r="H3445">
        <v>1</v>
      </c>
      <c r="I3445" t="s">
        <v>90</v>
      </c>
      <c r="J3445">
        <v>0</v>
      </c>
      <c r="K3445">
        <v>2</v>
      </c>
      <c r="L3445">
        <v>5</v>
      </c>
      <c r="M3445">
        <v>162</v>
      </c>
      <c r="N3445">
        <v>409</v>
      </c>
      <c r="O3445">
        <v>3</v>
      </c>
      <c r="P3445">
        <v>409</v>
      </c>
      <c r="Q3445">
        <v>170</v>
      </c>
      <c r="R3445">
        <v>13</v>
      </c>
      <c r="S3445">
        <v>19</v>
      </c>
      <c r="T3445">
        <v>10</v>
      </c>
      <c r="U3445">
        <v>7</v>
      </c>
      <c r="V3445">
        <v>6</v>
      </c>
      <c r="W3445">
        <v>3</v>
      </c>
      <c r="X3445">
        <v>0</v>
      </c>
      <c r="Y3445">
        <v>96</v>
      </c>
      <c r="Z3445">
        <v>1</v>
      </c>
      <c r="AA3445">
        <v>52</v>
      </c>
      <c r="AC3445">
        <v>2</v>
      </c>
      <c r="AD3445">
        <v>3</v>
      </c>
      <c r="AE3445">
        <v>1</v>
      </c>
      <c r="AF3445">
        <v>1</v>
      </c>
      <c r="AK3445">
        <v>3</v>
      </c>
      <c r="AL3445">
        <v>1</v>
      </c>
      <c r="AM3445">
        <v>0</v>
      </c>
      <c r="AN3445">
        <v>1</v>
      </c>
      <c r="AU3445">
        <v>0</v>
      </c>
      <c r="BC3445">
        <v>0</v>
      </c>
      <c r="BD3445">
        <v>20</v>
      </c>
      <c r="BE3445">
        <v>409</v>
      </c>
      <c r="BF3445">
        <v>409</v>
      </c>
      <c r="BG3445">
        <v>549</v>
      </c>
      <c r="BJ3445">
        <v>1</v>
      </c>
      <c r="BL3445" t="s">
        <v>7141</v>
      </c>
      <c r="BM3445" s="4">
        <v>43283.118055555555</v>
      </c>
      <c r="BN3445" s="4">
        <v>43283.127546296295</v>
      </c>
      <c r="BO3445" s="4">
        <v>43283.127546296295</v>
      </c>
      <c r="BP3445" t="s">
        <v>92</v>
      </c>
      <c r="BQ3445" t="s">
        <v>93</v>
      </c>
      <c r="BR3445" t="s">
        <v>94</v>
      </c>
    </row>
    <row r="3446" spans="1:70" x14ac:dyDescent="0.3">
      <c r="A3446" t="str">
        <f>"202438C0100"</f>
        <v>202438C0100</v>
      </c>
      <c r="B3446" t="s">
        <v>7142</v>
      </c>
      <c r="C3446">
        <v>20</v>
      </c>
      <c r="D3446" t="s">
        <v>88</v>
      </c>
      <c r="E3446">
        <v>570</v>
      </c>
      <c r="F3446" t="s">
        <v>7130</v>
      </c>
      <c r="G3446">
        <v>2438</v>
      </c>
      <c r="H3446">
        <v>1</v>
      </c>
      <c r="I3446" t="s">
        <v>98</v>
      </c>
      <c r="J3446">
        <v>0</v>
      </c>
      <c r="K3446">
        <v>2</v>
      </c>
      <c r="L3446">
        <v>5</v>
      </c>
      <c r="M3446">
        <v>201</v>
      </c>
      <c r="N3446" t="s">
        <v>105</v>
      </c>
      <c r="O3446" t="s">
        <v>105</v>
      </c>
      <c r="P3446" t="s">
        <v>105</v>
      </c>
      <c r="Q3446">
        <v>158</v>
      </c>
      <c r="R3446">
        <v>16</v>
      </c>
      <c r="S3446">
        <v>8</v>
      </c>
      <c r="T3446">
        <v>6</v>
      </c>
      <c r="U3446">
        <v>11</v>
      </c>
      <c r="V3446">
        <v>2</v>
      </c>
      <c r="W3446">
        <v>1</v>
      </c>
      <c r="X3446">
        <v>5</v>
      </c>
      <c r="Y3446">
        <v>74</v>
      </c>
      <c r="Z3446">
        <v>1</v>
      </c>
      <c r="AA3446">
        <v>54</v>
      </c>
      <c r="AC3446">
        <v>3</v>
      </c>
      <c r="AD3446">
        <v>2</v>
      </c>
      <c r="AE3446">
        <v>1</v>
      </c>
      <c r="AF3446">
        <v>0</v>
      </c>
      <c r="AK3446">
        <v>6</v>
      </c>
      <c r="AL3446">
        <v>0</v>
      </c>
      <c r="AM3446">
        <v>1</v>
      </c>
      <c r="AN3446">
        <v>1</v>
      </c>
      <c r="AU3446">
        <v>0</v>
      </c>
      <c r="BC3446">
        <v>0</v>
      </c>
      <c r="BD3446">
        <v>19</v>
      </c>
      <c r="BE3446">
        <v>369</v>
      </c>
      <c r="BF3446">
        <v>369</v>
      </c>
      <c r="BG3446">
        <v>548</v>
      </c>
      <c r="BJ3446">
        <v>1</v>
      </c>
      <c r="BL3446" t="s">
        <v>7143</v>
      </c>
      <c r="BM3446" s="4">
        <v>43283.158333333333</v>
      </c>
      <c r="BN3446" s="4">
        <v>43283.215324074074</v>
      </c>
      <c r="BO3446" s="4">
        <v>43283.215324074074</v>
      </c>
      <c r="BP3446" t="s">
        <v>92</v>
      </c>
      <c r="BQ3446" t="s">
        <v>93</v>
      </c>
      <c r="BR3446" t="s">
        <v>94</v>
      </c>
    </row>
    <row r="3447" spans="1:70" x14ac:dyDescent="0.3">
      <c r="A3447" t="str">
        <f>"202439B0100"</f>
        <v>202439B0100</v>
      </c>
      <c r="B3447" t="s">
        <v>7144</v>
      </c>
      <c r="C3447">
        <v>20</v>
      </c>
      <c r="D3447" t="s">
        <v>88</v>
      </c>
      <c r="E3447">
        <v>570</v>
      </c>
      <c r="F3447" t="s">
        <v>7130</v>
      </c>
      <c r="G3447">
        <v>2439</v>
      </c>
      <c r="H3447">
        <v>1</v>
      </c>
      <c r="I3447" t="s">
        <v>90</v>
      </c>
      <c r="J3447">
        <v>0</v>
      </c>
      <c r="K3447">
        <v>2</v>
      </c>
      <c r="L3447">
        <v>5</v>
      </c>
      <c r="M3447">
        <v>150</v>
      </c>
      <c r="N3447">
        <v>509</v>
      </c>
      <c r="O3447">
        <v>9</v>
      </c>
      <c r="P3447">
        <v>509</v>
      </c>
      <c r="Q3447">
        <v>227</v>
      </c>
      <c r="R3447">
        <v>15</v>
      </c>
      <c r="S3447">
        <v>24</v>
      </c>
      <c r="T3447">
        <v>13</v>
      </c>
      <c r="U3447">
        <v>9</v>
      </c>
      <c r="V3447">
        <v>7</v>
      </c>
      <c r="W3447">
        <v>3</v>
      </c>
      <c r="X3447">
        <v>5</v>
      </c>
      <c r="Y3447">
        <v>126</v>
      </c>
      <c r="Z3447">
        <v>3</v>
      </c>
      <c r="AA3447">
        <v>53</v>
      </c>
      <c r="AC3447">
        <v>1</v>
      </c>
      <c r="AD3447">
        <v>3</v>
      </c>
      <c r="AE3447">
        <v>0</v>
      </c>
      <c r="AF3447">
        <v>0</v>
      </c>
      <c r="AK3447">
        <v>1</v>
      </c>
      <c r="AL3447">
        <v>0</v>
      </c>
      <c r="AM3447">
        <v>0</v>
      </c>
      <c r="AN3447">
        <v>1</v>
      </c>
      <c r="AU3447">
        <v>0</v>
      </c>
      <c r="BC3447">
        <v>0</v>
      </c>
      <c r="BD3447">
        <v>18</v>
      </c>
      <c r="BE3447">
        <v>509</v>
      </c>
      <c r="BF3447">
        <v>509</v>
      </c>
      <c r="BG3447">
        <v>637</v>
      </c>
      <c r="BJ3447">
        <v>1</v>
      </c>
      <c r="BL3447" t="s">
        <v>7145</v>
      </c>
      <c r="BM3447" s="4">
        <v>43283.104166666664</v>
      </c>
      <c r="BN3447" s="4">
        <v>43283.114687499998</v>
      </c>
      <c r="BO3447" s="4">
        <v>43283.114687499998</v>
      </c>
      <c r="BP3447" t="s">
        <v>92</v>
      </c>
      <c r="BQ3447" t="s">
        <v>93</v>
      </c>
      <c r="BR3447" t="s">
        <v>94</v>
      </c>
    </row>
    <row r="3448" spans="1:70" x14ac:dyDescent="0.3">
      <c r="A3448" t="str">
        <f>"202439C0100"</f>
        <v>202439C0100</v>
      </c>
      <c r="B3448" t="s">
        <v>7146</v>
      </c>
      <c r="C3448">
        <v>20</v>
      </c>
      <c r="D3448" t="s">
        <v>88</v>
      </c>
      <c r="E3448">
        <v>570</v>
      </c>
      <c r="F3448" t="s">
        <v>7130</v>
      </c>
      <c r="G3448">
        <v>2439</v>
      </c>
      <c r="H3448">
        <v>1</v>
      </c>
      <c r="I3448" t="s">
        <v>98</v>
      </c>
      <c r="J3448">
        <v>0</v>
      </c>
      <c r="K3448">
        <v>2</v>
      </c>
      <c r="L3448">
        <v>5</v>
      </c>
      <c r="M3448">
        <v>173</v>
      </c>
      <c r="N3448">
        <v>485</v>
      </c>
      <c r="O3448">
        <v>4</v>
      </c>
      <c r="P3448" t="s">
        <v>105</v>
      </c>
      <c r="Q3448">
        <v>230</v>
      </c>
      <c r="R3448">
        <v>11</v>
      </c>
      <c r="S3448">
        <v>20</v>
      </c>
      <c r="T3448">
        <v>17</v>
      </c>
      <c r="U3448">
        <v>11</v>
      </c>
      <c r="V3448">
        <v>7</v>
      </c>
      <c r="W3448">
        <v>1</v>
      </c>
      <c r="X3448">
        <v>4</v>
      </c>
      <c r="Y3448">
        <v>100</v>
      </c>
      <c r="Z3448">
        <v>5</v>
      </c>
      <c r="AA3448">
        <v>48</v>
      </c>
      <c r="AC3448">
        <v>2</v>
      </c>
      <c r="AD3448">
        <v>1</v>
      </c>
      <c r="AE3448">
        <v>2</v>
      </c>
      <c r="AF3448">
        <v>0</v>
      </c>
      <c r="AK3448">
        <v>2</v>
      </c>
      <c r="AL3448">
        <v>2</v>
      </c>
      <c r="AM3448">
        <v>0</v>
      </c>
      <c r="AN3448">
        <v>0</v>
      </c>
      <c r="AU3448">
        <v>1</v>
      </c>
      <c r="BC3448" t="s">
        <v>105</v>
      </c>
      <c r="BD3448">
        <v>21</v>
      </c>
      <c r="BE3448">
        <v>485</v>
      </c>
      <c r="BF3448">
        <v>485</v>
      </c>
      <c r="BG3448">
        <v>636</v>
      </c>
      <c r="BI3448" t="s">
        <v>106</v>
      </c>
      <c r="BJ3448">
        <v>1</v>
      </c>
      <c r="BL3448" t="s">
        <v>7147</v>
      </c>
      <c r="BM3448" s="4">
        <v>43283.104166666664</v>
      </c>
      <c r="BN3448" s="4">
        <v>43283.118715277778</v>
      </c>
      <c r="BO3448" s="4">
        <v>43283.118715277778</v>
      </c>
      <c r="BP3448" t="s">
        <v>92</v>
      </c>
      <c r="BQ3448" t="s">
        <v>93</v>
      </c>
      <c r="BR3448" t="s">
        <v>94</v>
      </c>
    </row>
    <row r="3449" spans="1:70" x14ac:dyDescent="0.3">
      <c r="A3449" t="str">
        <f>"202439S0100"</f>
        <v>202439S0100</v>
      </c>
      <c r="B3449" t="s">
        <v>7148</v>
      </c>
      <c r="C3449">
        <v>20</v>
      </c>
      <c r="D3449" t="s">
        <v>88</v>
      </c>
      <c r="E3449">
        <v>570</v>
      </c>
      <c r="F3449" t="s">
        <v>7130</v>
      </c>
      <c r="G3449">
        <v>2439</v>
      </c>
      <c r="H3449">
        <v>1</v>
      </c>
      <c r="I3449" t="s">
        <v>113</v>
      </c>
      <c r="J3449">
        <v>0</v>
      </c>
      <c r="K3449">
        <v>2</v>
      </c>
      <c r="L3449">
        <v>6</v>
      </c>
      <c r="M3449">
        <v>747</v>
      </c>
      <c r="N3449">
        <v>24</v>
      </c>
      <c r="O3449">
        <v>0</v>
      </c>
      <c r="P3449">
        <v>24</v>
      </c>
      <c r="Q3449">
        <v>8</v>
      </c>
      <c r="R3449">
        <v>1</v>
      </c>
      <c r="S3449">
        <v>2</v>
      </c>
      <c r="T3449">
        <v>2</v>
      </c>
      <c r="U3449">
        <v>0</v>
      </c>
      <c r="V3449">
        <v>1</v>
      </c>
      <c r="W3449">
        <v>2</v>
      </c>
      <c r="X3449">
        <v>0</v>
      </c>
      <c r="Y3449">
        <v>7</v>
      </c>
      <c r="Z3449" t="s">
        <v>105</v>
      </c>
      <c r="AA3449" t="s">
        <v>105</v>
      </c>
      <c r="AC3449">
        <v>0</v>
      </c>
      <c r="AD3449">
        <v>0</v>
      </c>
      <c r="AE3449">
        <v>0</v>
      </c>
      <c r="AF3449">
        <v>0</v>
      </c>
      <c r="AK3449">
        <v>0</v>
      </c>
      <c r="AL3449">
        <v>0</v>
      </c>
      <c r="AM3449">
        <v>0</v>
      </c>
      <c r="AN3449">
        <v>0</v>
      </c>
      <c r="AU3449">
        <v>0</v>
      </c>
      <c r="BC3449">
        <v>0</v>
      </c>
      <c r="BD3449">
        <v>0</v>
      </c>
      <c r="BE3449" t="s">
        <v>105</v>
      </c>
      <c r="BF3449">
        <v>23</v>
      </c>
      <c r="BG3449">
        <v>0</v>
      </c>
      <c r="BI3449" t="s">
        <v>106</v>
      </c>
      <c r="BJ3449">
        <v>1</v>
      </c>
      <c r="BL3449" t="s">
        <v>7149</v>
      </c>
      <c r="BM3449" s="4">
        <v>43283.104166666664</v>
      </c>
      <c r="BN3449" s="4">
        <v>43283.241400462961</v>
      </c>
      <c r="BO3449" s="4">
        <v>43283.241400462961</v>
      </c>
      <c r="BP3449" t="s">
        <v>92</v>
      </c>
      <c r="BQ3449" t="s">
        <v>93</v>
      </c>
      <c r="BR3449" t="s">
        <v>94</v>
      </c>
    </row>
    <row r="3450" spans="1:70" x14ac:dyDescent="0.3">
      <c r="A3450" t="str">
        <f>"202440B0100"</f>
        <v>202440B0100</v>
      </c>
      <c r="B3450" t="s">
        <v>7150</v>
      </c>
      <c r="C3450">
        <v>20</v>
      </c>
      <c r="D3450" t="s">
        <v>88</v>
      </c>
      <c r="E3450">
        <v>570</v>
      </c>
      <c r="F3450" t="s">
        <v>7130</v>
      </c>
      <c r="G3450">
        <v>2440</v>
      </c>
      <c r="H3450">
        <v>1</v>
      </c>
      <c r="I3450" t="s">
        <v>90</v>
      </c>
      <c r="J3450">
        <v>0</v>
      </c>
      <c r="K3450">
        <v>2</v>
      </c>
      <c r="L3450">
        <v>5</v>
      </c>
      <c r="M3450">
        <v>187</v>
      </c>
      <c r="N3450">
        <v>583</v>
      </c>
      <c r="O3450">
        <v>4</v>
      </c>
      <c r="P3450">
        <v>580</v>
      </c>
      <c r="Q3450">
        <v>311</v>
      </c>
      <c r="R3450">
        <v>10</v>
      </c>
      <c r="S3450">
        <v>30</v>
      </c>
      <c r="T3450">
        <v>13</v>
      </c>
      <c r="U3450">
        <v>16</v>
      </c>
      <c r="V3450">
        <v>4</v>
      </c>
      <c r="W3450">
        <v>1</v>
      </c>
      <c r="X3450">
        <v>2</v>
      </c>
      <c r="Y3450">
        <v>95</v>
      </c>
      <c r="Z3450">
        <v>3</v>
      </c>
      <c r="AA3450">
        <v>63</v>
      </c>
      <c r="AC3450">
        <v>7</v>
      </c>
      <c r="AD3450">
        <v>5</v>
      </c>
      <c r="AE3450">
        <v>1</v>
      </c>
      <c r="AF3450">
        <v>0</v>
      </c>
      <c r="AK3450">
        <v>1</v>
      </c>
      <c r="AL3450">
        <v>1</v>
      </c>
      <c r="AM3450">
        <v>0</v>
      </c>
      <c r="AN3450">
        <v>0</v>
      </c>
      <c r="AU3450">
        <v>0</v>
      </c>
      <c r="BC3450">
        <v>0</v>
      </c>
      <c r="BD3450">
        <v>17</v>
      </c>
      <c r="BE3450">
        <v>580</v>
      </c>
      <c r="BF3450">
        <v>580</v>
      </c>
      <c r="BG3450">
        <v>748</v>
      </c>
      <c r="BJ3450">
        <v>1</v>
      </c>
      <c r="BL3450" t="s">
        <v>7151</v>
      </c>
      <c r="BM3450" s="4">
        <v>43283.003472222219</v>
      </c>
      <c r="BN3450" s="4">
        <v>43283.006099537037</v>
      </c>
      <c r="BO3450" s="4">
        <v>43283.006099537037</v>
      </c>
      <c r="BP3450" t="s">
        <v>339</v>
      </c>
      <c r="BQ3450" t="s">
        <v>340</v>
      </c>
      <c r="BR3450" t="s">
        <v>94</v>
      </c>
    </row>
    <row r="3451" spans="1:70" x14ac:dyDescent="0.3">
      <c r="A3451" t="str">
        <f>"202440C0100"</f>
        <v>202440C0100</v>
      </c>
      <c r="B3451" t="s">
        <v>7152</v>
      </c>
      <c r="C3451">
        <v>20</v>
      </c>
      <c r="D3451" t="s">
        <v>88</v>
      </c>
      <c r="E3451">
        <v>570</v>
      </c>
      <c r="F3451" t="s">
        <v>7130</v>
      </c>
      <c r="G3451">
        <v>2440</v>
      </c>
      <c r="H3451">
        <v>1</v>
      </c>
      <c r="I3451" t="s">
        <v>98</v>
      </c>
      <c r="J3451">
        <v>0</v>
      </c>
      <c r="K3451">
        <v>2</v>
      </c>
      <c r="L3451">
        <v>5</v>
      </c>
      <c r="M3451">
        <v>181</v>
      </c>
      <c r="N3451">
        <v>588</v>
      </c>
      <c r="O3451">
        <v>5</v>
      </c>
      <c r="P3451">
        <v>590</v>
      </c>
      <c r="Q3451">
        <v>301</v>
      </c>
      <c r="R3451">
        <v>10</v>
      </c>
      <c r="S3451">
        <v>28</v>
      </c>
      <c r="T3451">
        <v>3</v>
      </c>
      <c r="U3451">
        <v>12</v>
      </c>
      <c r="V3451">
        <v>4</v>
      </c>
      <c r="W3451">
        <v>2</v>
      </c>
      <c r="X3451">
        <v>0</v>
      </c>
      <c r="Y3451">
        <v>113</v>
      </c>
      <c r="Z3451">
        <v>3</v>
      </c>
      <c r="AA3451">
        <v>76</v>
      </c>
      <c r="AC3451">
        <v>4</v>
      </c>
      <c r="AD3451">
        <v>6</v>
      </c>
      <c r="AE3451">
        <v>0</v>
      </c>
      <c r="AF3451">
        <v>1</v>
      </c>
      <c r="AK3451">
        <v>3</v>
      </c>
      <c r="AL3451">
        <v>1</v>
      </c>
      <c r="AM3451">
        <v>0</v>
      </c>
      <c r="AN3451">
        <v>2</v>
      </c>
      <c r="AU3451">
        <v>0</v>
      </c>
      <c r="BC3451">
        <v>1</v>
      </c>
      <c r="BD3451">
        <v>20</v>
      </c>
      <c r="BE3451">
        <v>590</v>
      </c>
      <c r="BF3451">
        <v>590</v>
      </c>
      <c r="BG3451">
        <v>747</v>
      </c>
      <c r="BJ3451">
        <v>1</v>
      </c>
      <c r="BL3451" t="s">
        <v>7153</v>
      </c>
      <c r="BM3451" s="4">
        <v>43283.118055555555</v>
      </c>
      <c r="BN3451" s="4">
        <v>43283.127500000002</v>
      </c>
      <c r="BO3451" s="4">
        <v>43283.127500000002</v>
      </c>
      <c r="BP3451" t="s">
        <v>92</v>
      </c>
      <c r="BQ3451" t="s">
        <v>93</v>
      </c>
      <c r="BR3451" t="s">
        <v>94</v>
      </c>
    </row>
    <row r="3452" spans="1:70" x14ac:dyDescent="0.3">
      <c r="A3452" t="str">
        <f>"202441B0100"</f>
        <v>202441B0100</v>
      </c>
      <c r="B3452" t="s">
        <v>7154</v>
      </c>
      <c r="C3452">
        <v>20</v>
      </c>
      <c r="D3452" t="s">
        <v>88</v>
      </c>
      <c r="E3452">
        <v>570</v>
      </c>
      <c r="F3452" t="s">
        <v>7130</v>
      </c>
      <c r="G3452">
        <v>2441</v>
      </c>
      <c r="H3452">
        <v>1</v>
      </c>
      <c r="I3452" t="s">
        <v>90</v>
      </c>
      <c r="J3452">
        <v>0</v>
      </c>
      <c r="K3452">
        <v>2</v>
      </c>
      <c r="L3452">
        <v>5</v>
      </c>
      <c r="M3452">
        <v>145</v>
      </c>
      <c r="N3452">
        <v>554</v>
      </c>
      <c r="O3452">
        <v>5</v>
      </c>
      <c r="P3452">
        <v>554</v>
      </c>
      <c r="Q3452">
        <v>303</v>
      </c>
      <c r="R3452">
        <v>21</v>
      </c>
      <c r="S3452">
        <v>17</v>
      </c>
      <c r="T3452">
        <v>20</v>
      </c>
      <c r="U3452">
        <v>6</v>
      </c>
      <c r="V3452">
        <v>6</v>
      </c>
      <c r="W3452">
        <v>4</v>
      </c>
      <c r="X3452">
        <v>1</v>
      </c>
      <c r="Y3452">
        <v>79</v>
      </c>
      <c r="Z3452">
        <v>3</v>
      </c>
      <c r="AA3452">
        <v>60</v>
      </c>
      <c r="AC3452">
        <v>6</v>
      </c>
      <c r="AD3452">
        <v>5</v>
      </c>
      <c r="AE3452">
        <v>2</v>
      </c>
      <c r="AF3452">
        <v>0</v>
      </c>
      <c r="AK3452">
        <v>0</v>
      </c>
      <c r="AL3452">
        <v>2</v>
      </c>
      <c r="AM3452">
        <v>0</v>
      </c>
      <c r="AN3452">
        <v>1</v>
      </c>
      <c r="AU3452">
        <v>0</v>
      </c>
      <c r="BC3452">
        <v>0</v>
      </c>
      <c r="BD3452">
        <v>18</v>
      </c>
      <c r="BE3452">
        <v>554</v>
      </c>
      <c r="BF3452">
        <v>554</v>
      </c>
      <c r="BG3452">
        <v>677</v>
      </c>
      <c r="BJ3452">
        <v>1</v>
      </c>
      <c r="BL3452" t="s">
        <v>7155</v>
      </c>
      <c r="BM3452" s="4">
        <v>43283.104166666664</v>
      </c>
      <c r="BN3452" s="4">
        <v>43283.12195601852</v>
      </c>
      <c r="BO3452" s="4">
        <v>43283.12195601852</v>
      </c>
      <c r="BP3452" t="s">
        <v>92</v>
      </c>
      <c r="BQ3452" t="s">
        <v>93</v>
      </c>
      <c r="BR3452" t="s">
        <v>94</v>
      </c>
    </row>
    <row r="3453" spans="1:70" x14ac:dyDescent="0.3">
      <c r="A3453" t="str">
        <f>"202441C0100"</f>
        <v>202441C0100</v>
      </c>
      <c r="B3453" t="s">
        <v>7156</v>
      </c>
      <c r="C3453">
        <v>20</v>
      </c>
      <c r="D3453" t="s">
        <v>88</v>
      </c>
      <c r="E3453">
        <v>570</v>
      </c>
      <c r="F3453" t="s">
        <v>7130</v>
      </c>
      <c r="G3453">
        <v>2441</v>
      </c>
      <c r="H3453">
        <v>1</v>
      </c>
      <c r="I3453" t="s">
        <v>98</v>
      </c>
      <c r="J3453">
        <v>0</v>
      </c>
      <c r="K3453">
        <v>2</v>
      </c>
      <c r="L3453">
        <v>5</v>
      </c>
      <c r="M3453">
        <v>175</v>
      </c>
      <c r="N3453">
        <v>523</v>
      </c>
      <c r="O3453">
        <v>0</v>
      </c>
      <c r="P3453">
        <v>524</v>
      </c>
      <c r="Q3453">
        <v>279</v>
      </c>
      <c r="R3453">
        <v>10</v>
      </c>
      <c r="S3453">
        <v>22</v>
      </c>
      <c r="T3453">
        <v>14</v>
      </c>
      <c r="U3453">
        <v>3</v>
      </c>
      <c r="V3453">
        <v>1</v>
      </c>
      <c r="W3453">
        <v>13</v>
      </c>
      <c r="X3453">
        <v>2</v>
      </c>
      <c r="Y3453">
        <v>91</v>
      </c>
      <c r="Z3453">
        <v>2</v>
      </c>
      <c r="AA3453">
        <v>63</v>
      </c>
      <c r="AC3453">
        <v>6</v>
      </c>
      <c r="AD3453">
        <v>1</v>
      </c>
      <c r="AE3453">
        <v>2</v>
      </c>
      <c r="AF3453">
        <v>1</v>
      </c>
      <c r="AK3453">
        <v>2</v>
      </c>
      <c r="AL3453">
        <v>0</v>
      </c>
      <c r="AM3453">
        <v>0</v>
      </c>
      <c r="AN3453">
        <v>0</v>
      </c>
      <c r="AU3453">
        <v>0</v>
      </c>
      <c r="BC3453">
        <v>0</v>
      </c>
      <c r="BD3453">
        <v>12</v>
      </c>
      <c r="BE3453">
        <v>524</v>
      </c>
      <c r="BF3453">
        <v>524</v>
      </c>
      <c r="BG3453">
        <v>676</v>
      </c>
      <c r="BJ3453">
        <v>1</v>
      </c>
      <c r="BL3453" t="s">
        <v>7157</v>
      </c>
      <c r="BM3453" s="4">
        <v>43283.107638888891</v>
      </c>
      <c r="BN3453" s="4">
        <v>43283.140162037038</v>
      </c>
      <c r="BO3453" s="4">
        <v>43283.140162037038</v>
      </c>
      <c r="BP3453" t="s">
        <v>92</v>
      </c>
      <c r="BQ3453" t="s">
        <v>93</v>
      </c>
      <c r="BR3453" t="s">
        <v>94</v>
      </c>
    </row>
    <row r="3454" spans="1:70" x14ac:dyDescent="0.3">
      <c r="A3454" t="str">
        <f>"202441C0200"</f>
        <v>202441C0200</v>
      </c>
      <c r="B3454" t="s">
        <v>7158</v>
      </c>
      <c r="C3454">
        <v>20</v>
      </c>
      <c r="D3454" t="s">
        <v>88</v>
      </c>
      <c r="E3454">
        <v>570</v>
      </c>
      <c r="F3454" t="s">
        <v>7130</v>
      </c>
      <c r="G3454">
        <v>2441</v>
      </c>
      <c r="H3454">
        <v>2</v>
      </c>
      <c r="I3454" t="s">
        <v>98</v>
      </c>
      <c r="J3454">
        <v>0</v>
      </c>
      <c r="K3454">
        <v>2</v>
      </c>
      <c r="L3454">
        <v>5</v>
      </c>
      <c r="M3454">
        <v>168</v>
      </c>
      <c r="N3454">
        <v>530</v>
      </c>
      <c r="O3454">
        <v>5</v>
      </c>
      <c r="P3454">
        <v>530</v>
      </c>
      <c r="Q3454">
        <v>264</v>
      </c>
      <c r="R3454">
        <v>16</v>
      </c>
      <c r="S3454">
        <v>22</v>
      </c>
      <c r="T3454">
        <v>18</v>
      </c>
      <c r="U3454">
        <v>12</v>
      </c>
      <c r="V3454">
        <v>4</v>
      </c>
      <c r="W3454">
        <v>2</v>
      </c>
      <c r="X3454">
        <v>2</v>
      </c>
      <c r="Y3454">
        <v>92</v>
      </c>
      <c r="Z3454">
        <v>2</v>
      </c>
      <c r="AA3454">
        <v>68</v>
      </c>
      <c r="AC3454">
        <v>5</v>
      </c>
      <c r="AD3454">
        <v>6</v>
      </c>
      <c r="AE3454">
        <v>0</v>
      </c>
      <c r="AF3454">
        <v>0</v>
      </c>
      <c r="AK3454">
        <v>1</v>
      </c>
      <c r="AL3454">
        <v>0</v>
      </c>
      <c r="AM3454">
        <v>0</v>
      </c>
      <c r="AN3454">
        <v>2</v>
      </c>
      <c r="AU3454">
        <v>0</v>
      </c>
      <c r="BC3454">
        <v>0</v>
      </c>
      <c r="BD3454">
        <v>14</v>
      </c>
      <c r="BE3454">
        <v>530</v>
      </c>
      <c r="BF3454">
        <v>530</v>
      </c>
      <c r="BG3454">
        <v>676</v>
      </c>
      <c r="BJ3454">
        <v>1</v>
      </c>
      <c r="BL3454" t="s">
        <v>7159</v>
      </c>
      <c r="BM3454" s="4">
        <v>43283.09652777778</v>
      </c>
      <c r="BN3454" s="4">
        <v>43283.331192129626</v>
      </c>
      <c r="BO3454" s="4">
        <v>43283.331192129626</v>
      </c>
      <c r="BP3454" t="s">
        <v>92</v>
      </c>
      <c r="BQ3454" t="s">
        <v>93</v>
      </c>
      <c r="BR3454" t="s">
        <v>94</v>
      </c>
    </row>
    <row r="3455" spans="1:70" x14ac:dyDescent="0.3">
      <c r="A3455" t="str">
        <f>"202442B0100"</f>
        <v>202442B0100</v>
      </c>
      <c r="B3455" t="s">
        <v>7160</v>
      </c>
      <c r="C3455">
        <v>20</v>
      </c>
      <c r="D3455" t="s">
        <v>88</v>
      </c>
      <c r="E3455">
        <v>570</v>
      </c>
      <c r="F3455" t="s">
        <v>7130</v>
      </c>
      <c r="G3455">
        <v>2442</v>
      </c>
      <c r="H3455">
        <v>1</v>
      </c>
      <c r="I3455" t="s">
        <v>90</v>
      </c>
      <c r="J3455">
        <v>0</v>
      </c>
      <c r="K3455">
        <v>2</v>
      </c>
      <c r="L3455">
        <v>5</v>
      </c>
      <c r="M3455">
        <v>187</v>
      </c>
      <c r="N3455">
        <v>461</v>
      </c>
      <c r="O3455">
        <v>9</v>
      </c>
      <c r="P3455">
        <v>0</v>
      </c>
      <c r="Q3455">
        <v>162</v>
      </c>
      <c r="R3455">
        <v>28</v>
      </c>
      <c r="S3455">
        <v>36</v>
      </c>
      <c r="T3455">
        <v>21</v>
      </c>
      <c r="U3455">
        <v>7</v>
      </c>
      <c r="V3455">
        <v>8</v>
      </c>
      <c r="W3455">
        <v>0</v>
      </c>
      <c r="X3455">
        <v>0</v>
      </c>
      <c r="Y3455">
        <v>77</v>
      </c>
      <c r="Z3455">
        <v>4</v>
      </c>
      <c r="AA3455">
        <v>86</v>
      </c>
      <c r="AC3455">
        <v>1</v>
      </c>
      <c r="AD3455">
        <v>3</v>
      </c>
      <c r="AE3455">
        <v>1</v>
      </c>
      <c r="AF3455">
        <v>1</v>
      </c>
      <c r="AK3455">
        <v>2</v>
      </c>
      <c r="AL3455">
        <v>1</v>
      </c>
      <c r="AM3455">
        <v>1</v>
      </c>
      <c r="AN3455">
        <v>0</v>
      </c>
      <c r="AU3455">
        <v>0</v>
      </c>
      <c r="BC3455">
        <v>0</v>
      </c>
      <c r="BD3455">
        <v>23</v>
      </c>
      <c r="BE3455">
        <v>462</v>
      </c>
      <c r="BF3455">
        <v>462</v>
      </c>
      <c r="BG3455">
        <v>627</v>
      </c>
      <c r="BJ3455">
        <v>1</v>
      </c>
      <c r="BL3455" t="s">
        <v>7161</v>
      </c>
      <c r="BM3455" s="4">
        <v>43283.129861111112</v>
      </c>
      <c r="BN3455" s="4">
        <v>43283.219421296293</v>
      </c>
      <c r="BO3455" s="4">
        <v>43283.219421296293</v>
      </c>
      <c r="BP3455" t="s">
        <v>92</v>
      </c>
      <c r="BQ3455" t="s">
        <v>93</v>
      </c>
      <c r="BR3455" t="s">
        <v>94</v>
      </c>
    </row>
    <row r="3456" spans="1:70" x14ac:dyDescent="0.3">
      <c r="A3456" t="str">
        <f>"202442C0100"</f>
        <v>202442C0100</v>
      </c>
      <c r="B3456" t="s">
        <v>7162</v>
      </c>
      <c r="C3456">
        <v>20</v>
      </c>
      <c r="D3456" t="s">
        <v>88</v>
      </c>
      <c r="E3456">
        <v>570</v>
      </c>
      <c r="F3456" t="s">
        <v>7130</v>
      </c>
      <c r="G3456">
        <v>2442</v>
      </c>
      <c r="H3456">
        <v>1</v>
      </c>
      <c r="I3456" t="s">
        <v>98</v>
      </c>
      <c r="J3456">
        <v>0</v>
      </c>
      <c r="K3456">
        <v>2</v>
      </c>
      <c r="L3456">
        <v>5</v>
      </c>
      <c r="M3456">
        <v>243</v>
      </c>
      <c r="N3456">
        <v>406</v>
      </c>
      <c r="O3456">
        <v>4</v>
      </c>
      <c r="P3456">
        <v>406</v>
      </c>
      <c r="Q3456">
        <v>135</v>
      </c>
      <c r="R3456">
        <v>43</v>
      </c>
      <c r="S3456">
        <v>22</v>
      </c>
      <c r="T3456">
        <v>10</v>
      </c>
      <c r="U3456">
        <v>12</v>
      </c>
      <c r="V3456">
        <v>3</v>
      </c>
      <c r="W3456">
        <v>6</v>
      </c>
      <c r="X3456">
        <v>0</v>
      </c>
      <c r="Y3456">
        <v>58</v>
      </c>
      <c r="Z3456">
        <v>3</v>
      </c>
      <c r="AA3456">
        <v>71</v>
      </c>
      <c r="AC3456">
        <v>0</v>
      </c>
      <c r="AD3456">
        <v>4</v>
      </c>
      <c r="AE3456">
        <v>1</v>
      </c>
      <c r="AF3456">
        <v>0</v>
      </c>
      <c r="AK3456">
        <v>3</v>
      </c>
      <c r="AL3456">
        <v>1</v>
      </c>
      <c r="AM3456">
        <v>0</v>
      </c>
      <c r="AN3456">
        <v>0</v>
      </c>
      <c r="AU3456">
        <v>0</v>
      </c>
      <c r="BC3456">
        <v>0</v>
      </c>
      <c r="BD3456">
        <v>30</v>
      </c>
      <c r="BE3456">
        <v>406</v>
      </c>
      <c r="BF3456">
        <v>402</v>
      </c>
      <c r="BG3456">
        <v>627</v>
      </c>
      <c r="BJ3456">
        <v>1</v>
      </c>
      <c r="BL3456" t="s">
        <v>7163</v>
      </c>
      <c r="BM3456" s="4">
        <v>43283.132638888892</v>
      </c>
      <c r="BN3456" s="4">
        <v>43283.201689814814</v>
      </c>
      <c r="BO3456" s="4">
        <v>43283.201689814814</v>
      </c>
      <c r="BP3456" t="s">
        <v>92</v>
      </c>
      <c r="BQ3456" t="s">
        <v>93</v>
      </c>
      <c r="BR3456" t="s">
        <v>94</v>
      </c>
    </row>
    <row r="3457" spans="1:70" x14ac:dyDescent="0.3">
      <c r="A3457" t="str">
        <f>"202442C0200"</f>
        <v>202442C0200</v>
      </c>
      <c r="B3457" t="s">
        <v>7164</v>
      </c>
      <c r="C3457">
        <v>20</v>
      </c>
      <c r="D3457" t="s">
        <v>88</v>
      </c>
      <c r="E3457">
        <v>570</v>
      </c>
      <c r="F3457" t="s">
        <v>7130</v>
      </c>
      <c r="G3457">
        <v>2442</v>
      </c>
      <c r="H3457">
        <v>2</v>
      </c>
      <c r="I3457" t="s">
        <v>98</v>
      </c>
      <c r="J3457">
        <v>0</v>
      </c>
      <c r="K3457">
        <v>2</v>
      </c>
      <c r="L3457">
        <v>5</v>
      </c>
      <c r="M3457">
        <v>192</v>
      </c>
      <c r="N3457">
        <v>457</v>
      </c>
      <c r="O3457">
        <v>3</v>
      </c>
      <c r="P3457">
        <v>457</v>
      </c>
      <c r="Q3457">
        <v>162</v>
      </c>
      <c r="R3457">
        <v>12</v>
      </c>
      <c r="S3457">
        <v>19</v>
      </c>
      <c r="T3457">
        <v>16</v>
      </c>
      <c r="U3457">
        <v>19</v>
      </c>
      <c r="V3457">
        <v>5</v>
      </c>
      <c r="W3457">
        <v>0</v>
      </c>
      <c r="X3457">
        <v>4</v>
      </c>
      <c r="Y3457">
        <v>101</v>
      </c>
      <c r="Z3457">
        <v>5</v>
      </c>
      <c r="AA3457">
        <v>77</v>
      </c>
      <c r="AC3457">
        <v>2</v>
      </c>
      <c r="AD3457">
        <v>4</v>
      </c>
      <c r="AE3457">
        <v>0</v>
      </c>
      <c r="AF3457">
        <v>0</v>
      </c>
      <c r="AK3457">
        <v>2</v>
      </c>
      <c r="AL3457">
        <v>0</v>
      </c>
      <c r="AM3457">
        <v>1</v>
      </c>
      <c r="AN3457">
        <v>0</v>
      </c>
      <c r="AU3457">
        <v>1</v>
      </c>
      <c r="BC3457">
        <v>0</v>
      </c>
      <c r="BD3457">
        <v>26</v>
      </c>
      <c r="BE3457">
        <v>456</v>
      </c>
      <c r="BF3457">
        <v>456</v>
      </c>
      <c r="BG3457">
        <v>627</v>
      </c>
      <c r="BJ3457">
        <v>1</v>
      </c>
      <c r="BL3457" t="s">
        <v>7165</v>
      </c>
      <c r="BM3457" s="4">
        <v>43283.132638888892</v>
      </c>
      <c r="BN3457" s="4">
        <v>43283.240995370368</v>
      </c>
      <c r="BO3457" s="4">
        <v>43283.240995370368</v>
      </c>
      <c r="BP3457" t="s">
        <v>92</v>
      </c>
      <c r="BQ3457" t="s">
        <v>93</v>
      </c>
      <c r="BR3457" t="s">
        <v>94</v>
      </c>
    </row>
    <row r="3458" spans="1:70" x14ac:dyDescent="0.3">
      <c r="A3458" t="str">
        <f>"202442C0300"</f>
        <v>202442C0300</v>
      </c>
      <c r="B3458" t="s">
        <v>7166</v>
      </c>
      <c r="C3458">
        <v>20</v>
      </c>
      <c r="D3458" t="s">
        <v>88</v>
      </c>
      <c r="E3458">
        <v>570</v>
      </c>
      <c r="F3458" t="s">
        <v>7130</v>
      </c>
      <c r="G3458">
        <v>2442</v>
      </c>
      <c r="H3458">
        <v>3</v>
      </c>
      <c r="I3458" t="s">
        <v>98</v>
      </c>
      <c r="J3458">
        <v>0</v>
      </c>
      <c r="K3458">
        <v>2</v>
      </c>
      <c r="L3458">
        <v>5</v>
      </c>
      <c r="M3458">
        <v>229</v>
      </c>
      <c r="N3458">
        <v>419</v>
      </c>
      <c r="O3458">
        <v>4</v>
      </c>
      <c r="P3458">
        <v>420</v>
      </c>
      <c r="Q3458">
        <v>177</v>
      </c>
      <c r="R3458">
        <v>12</v>
      </c>
      <c r="S3458">
        <v>13</v>
      </c>
      <c r="T3458">
        <v>15</v>
      </c>
      <c r="U3458">
        <v>12</v>
      </c>
      <c r="V3458">
        <v>4</v>
      </c>
      <c r="W3458">
        <v>0</v>
      </c>
      <c r="X3458">
        <v>1</v>
      </c>
      <c r="Y3458">
        <v>78</v>
      </c>
      <c r="Z3458">
        <v>2</v>
      </c>
      <c r="AA3458">
        <v>72</v>
      </c>
      <c r="AC3458">
        <v>0</v>
      </c>
      <c r="AD3458">
        <v>2</v>
      </c>
      <c r="AE3458">
        <v>1</v>
      </c>
      <c r="AF3458">
        <v>0</v>
      </c>
      <c r="AK3458">
        <v>2</v>
      </c>
      <c r="AL3458">
        <v>0</v>
      </c>
      <c r="AM3458">
        <v>0</v>
      </c>
      <c r="AN3458">
        <v>3</v>
      </c>
      <c r="AU3458">
        <v>1</v>
      </c>
      <c r="BC3458">
        <v>1</v>
      </c>
      <c r="BD3458">
        <v>24</v>
      </c>
      <c r="BE3458">
        <v>420</v>
      </c>
      <c r="BF3458">
        <v>420</v>
      </c>
      <c r="BG3458">
        <v>627</v>
      </c>
      <c r="BJ3458">
        <v>1</v>
      </c>
      <c r="BL3458" t="s">
        <v>7167</v>
      </c>
      <c r="BM3458" s="4">
        <v>43283.132638888892</v>
      </c>
      <c r="BN3458" s="4">
        <v>43283.199675925927</v>
      </c>
      <c r="BO3458" s="4">
        <v>43283.199675925927</v>
      </c>
      <c r="BP3458" t="s">
        <v>92</v>
      </c>
      <c r="BQ3458" t="s">
        <v>93</v>
      </c>
      <c r="BR3458" t="s">
        <v>94</v>
      </c>
    </row>
    <row r="3459" spans="1:70" x14ac:dyDescent="0.3">
      <c r="A3459" t="str">
        <f>"202443B0100"</f>
        <v>202443B0100</v>
      </c>
      <c r="B3459" t="s">
        <v>7168</v>
      </c>
      <c r="C3459">
        <v>20</v>
      </c>
      <c r="D3459" t="s">
        <v>88</v>
      </c>
      <c r="E3459">
        <v>570</v>
      </c>
      <c r="F3459" t="s">
        <v>7130</v>
      </c>
      <c r="G3459">
        <v>2443</v>
      </c>
      <c r="H3459">
        <v>1</v>
      </c>
      <c r="I3459" t="s">
        <v>90</v>
      </c>
      <c r="J3459">
        <v>0</v>
      </c>
      <c r="K3459">
        <v>2</v>
      </c>
      <c r="L3459">
        <v>5</v>
      </c>
      <c r="M3459">
        <v>157</v>
      </c>
      <c r="N3459">
        <v>405</v>
      </c>
      <c r="O3459" t="s">
        <v>105</v>
      </c>
      <c r="P3459">
        <v>405</v>
      </c>
      <c r="Q3459">
        <v>102</v>
      </c>
      <c r="R3459">
        <v>22</v>
      </c>
      <c r="S3459">
        <v>11</v>
      </c>
      <c r="T3459">
        <v>3</v>
      </c>
      <c r="U3459">
        <v>8</v>
      </c>
      <c r="V3459">
        <v>3</v>
      </c>
      <c r="W3459">
        <v>4</v>
      </c>
      <c r="X3459">
        <v>8</v>
      </c>
      <c r="Y3459">
        <v>31</v>
      </c>
      <c r="Z3459">
        <v>78</v>
      </c>
      <c r="AA3459">
        <v>86</v>
      </c>
      <c r="AC3459">
        <v>1</v>
      </c>
      <c r="AD3459">
        <v>0</v>
      </c>
      <c r="AE3459">
        <v>0</v>
      </c>
      <c r="AF3459">
        <v>0</v>
      </c>
      <c r="AK3459">
        <v>0</v>
      </c>
      <c r="AL3459">
        <v>0</v>
      </c>
      <c r="AM3459">
        <v>1</v>
      </c>
      <c r="AN3459">
        <v>2</v>
      </c>
      <c r="AU3459">
        <v>0</v>
      </c>
      <c r="BC3459">
        <v>0</v>
      </c>
      <c r="BD3459">
        <v>44</v>
      </c>
      <c r="BE3459">
        <v>405</v>
      </c>
      <c r="BF3459">
        <v>404</v>
      </c>
      <c r="BG3459">
        <v>540</v>
      </c>
      <c r="BJ3459">
        <v>1</v>
      </c>
      <c r="BL3459" t="s">
        <v>7169</v>
      </c>
      <c r="BM3459" s="4">
        <v>43283.157638888886</v>
      </c>
      <c r="BN3459" s="4">
        <v>43283.316655092596</v>
      </c>
      <c r="BO3459" s="4">
        <v>43283.316655092596</v>
      </c>
      <c r="BP3459" t="s">
        <v>92</v>
      </c>
      <c r="BQ3459" t="s">
        <v>93</v>
      </c>
      <c r="BR3459" t="s">
        <v>94</v>
      </c>
    </row>
    <row r="3460" spans="1:70" x14ac:dyDescent="0.3">
      <c r="A3460" t="str">
        <f>"202444B0100"</f>
        <v>202444B0100</v>
      </c>
      <c r="B3460" t="s">
        <v>7170</v>
      </c>
      <c r="C3460">
        <v>20</v>
      </c>
      <c r="D3460" t="s">
        <v>88</v>
      </c>
      <c r="E3460">
        <v>570</v>
      </c>
      <c r="F3460" t="s">
        <v>7130</v>
      </c>
      <c r="G3460">
        <v>2444</v>
      </c>
      <c r="H3460">
        <v>1</v>
      </c>
      <c r="I3460" t="s">
        <v>90</v>
      </c>
      <c r="J3460">
        <v>0</v>
      </c>
      <c r="K3460">
        <v>2</v>
      </c>
      <c r="L3460">
        <v>5</v>
      </c>
      <c r="BG3460">
        <v>329</v>
      </c>
      <c r="BI3460" t="s">
        <v>122</v>
      </c>
      <c r="BJ3460">
        <v>0</v>
      </c>
      <c r="BL3460" t="s">
        <v>7171</v>
      </c>
      <c r="BM3460" s="4">
        <v>43283.590277777781</v>
      </c>
      <c r="BN3460" s="4">
        <v>43283.593472222223</v>
      </c>
      <c r="BO3460" s="4">
        <v>43283.593472222223</v>
      </c>
      <c r="BP3460" t="s">
        <v>92</v>
      </c>
      <c r="BQ3460" t="s">
        <v>93</v>
      </c>
      <c r="BR3460" t="s">
        <v>94</v>
      </c>
    </row>
    <row r="3461" spans="1:70" x14ac:dyDescent="0.3">
      <c r="A3461" t="str">
        <f>"202445B0100"</f>
        <v>202445B0100</v>
      </c>
      <c r="B3461" t="s">
        <v>7172</v>
      </c>
      <c r="C3461">
        <v>20</v>
      </c>
      <c r="D3461" t="s">
        <v>88</v>
      </c>
      <c r="E3461">
        <v>570</v>
      </c>
      <c r="F3461" t="s">
        <v>7130</v>
      </c>
      <c r="G3461">
        <v>2445</v>
      </c>
      <c r="H3461">
        <v>1</v>
      </c>
      <c r="I3461" t="s">
        <v>90</v>
      </c>
      <c r="J3461">
        <v>0</v>
      </c>
      <c r="K3461">
        <v>2</v>
      </c>
      <c r="L3461">
        <v>5</v>
      </c>
      <c r="M3461">
        <v>352</v>
      </c>
      <c r="N3461">
        <v>448</v>
      </c>
      <c r="O3461">
        <v>2</v>
      </c>
      <c r="P3461">
        <v>448</v>
      </c>
      <c r="Q3461">
        <v>212</v>
      </c>
      <c r="R3461">
        <v>5</v>
      </c>
      <c r="S3461">
        <v>14</v>
      </c>
      <c r="T3461">
        <v>1</v>
      </c>
      <c r="U3461">
        <v>13</v>
      </c>
      <c r="V3461">
        <v>4</v>
      </c>
      <c r="W3461">
        <v>4</v>
      </c>
      <c r="X3461">
        <v>2</v>
      </c>
      <c r="Y3461">
        <v>81</v>
      </c>
      <c r="Z3461">
        <v>6</v>
      </c>
      <c r="AA3461">
        <v>66</v>
      </c>
      <c r="AC3461">
        <v>5</v>
      </c>
      <c r="AD3461">
        <v>0</v>
      </c>
      <c r="AE3461">
        <v>1</v>
      </c>
      <c r="AF3461">
        <v>0</v>
      </c>
      <c r="AK3461">
        <v>4</v>
      </c>
      <c r="AL3461">
        <v>2</v>
      </c>
      <c r="AM3461">
        <v>0</v>
      </c>
      <c r="AN3461">
        <v>2</v>
      </c>
      <c r="AU3461">
        <v>1</v>
      </c>
      <c r="BC3461" t="s">
        <v>105</v>
      </c>
      <c r="BD3461">
        <v>25</v>
      </c>
      <c r="BE3461" t="s">
        <v>105</v>
      </c>
      <c r="BF3461">
        <v>448</v>
      </c>
      <c r="BG3461">
        <v>778</v>
      </c>
      <c r="BI3461" t="s">
        <v>106</v>
      </c>
      <c r="BJ3461">
        <v>1</v>
      </c>
      <c r="BL3461" t="s">
        <v>7173</v>
      </c>
      <c r="BM3461" s="4">
        <v>43283.23333333333</v>
      </c>
      <c r="BN3461" s="4">
        <v>43283.285243055558</v>
      </c>
      <c r="BO3461" s="4">
        <v>43283.285243055558</v>
      </c>
      <c r="BP3461" t="s">
        <v>92</v>
      </c>
      <c r="BQ3461" t="s">
        <v>93</v>
      </c>
      <c r="BR3461" t="s">
        <v>94</v>
      </c>
    </row>
    <row r="3462" spans="1:70" x14ac:dyDescent="0.3">
      <c r="A3462" t="str">
        <f>"202446B0100"</f>
        <v>202446B0100</v>
      </c>
      <c r="B3462" t="s">
        <v>7174</v>
      </c>
      <c r="C3462">
        <v>20</v>
      </c>
      <c r="D3462" t="s">
        <v>88</v>
      </c>
      <c r="E3462">
        <v>570</v>
      </c>
      <c r="F3462" t="s">
        <v>7130</v>
      </c>
      <c r="G3462">
        <v>2446</v>
      </c>
      <c r="H3462">
        <v>1</v>
      </c>
      <c r="I3462" t="s">
        <v>90</v>
      </c>
      <c r="J3462">
        <v>0</v>
      </c>
      <c r="K3462">
        <v>2</v>
      </c>
      <c r="L3462">
        <v>5</v>
      </c>
      <c r="M3462">
        <v>90</v>
      </c>
      <c r="N3462">
        <v>182</v>
      </c>
      <c r="O3462">
        <v>2</v>
      </c>
      <c r="P3462">
        <v>1</v>
      </c>
      <c r="Q3462">
        <v>3</v>
      </c>
      <c r="R3462">
        <v>6</v>
      </c>
      <c r="S3462">
        <v>3</v>
      </c>
      <c r="T3462">
        <v>2</v>
      </c>
      <c r="U3462">
        <v>6</v>
      </c>
      <c r="V3462">
        <v>2</v>
      </c>
      <c r="W3462">
        <v>30</v>
      </c>
      <c r="X3462">
        <v>1</v>
      </c>
      <c r="Y3462">
        <v>28</v>
      </c>
      <c r="Z3462">
        <v>2</v>
      </c>
      <c r="AA3462">
        <v>27</v>
      </c>
      <c r="AC3462">
        <v>0</v>
      </c>
      <c r="AD3462">
        <v>0</v>
      </c>
      <c r="AE3462">
        <v>0</v>
      </c>
      <c r="AF3462">
        <v>0</v>
      </c>
      <c r="AK3462">
        <v>1</v>
      </c>
      <c r="AL3462">
        <v>0</v>
      </c>
      <c r="AM3462">
        <v>1</v>
      </c>
      <c r="AN3462">
        <v>0</v>
      </c>
      <c r="AU3462">
        <v>0</v>
      </c>
      <c r="BC3462">
        <v>0</v>
      </c>
      <c r="BD3462">
        <v>20</v>
      </c>
      <c r="BE3462">
        <v>182</v>
      </c>
      <c r="BF3462">
        <v>132</v>
      </c>
      <c r="BG3462">
        <v>250</v>
      </c>
      <c r="BJ3462">
        <v>1</v>
      </c>
      <c r="BL3462" t="s">
        <v>7175</v>
      </c>
      <c r="BM3462" s="4">
        <v>43283.18472222222</v>
      </c>
      <c r="BN3462" s="4">
        <v>43283.220949074072</v>
      </c>
      <c r="BO3462" s="4">
        <v>43283.220949074072</v>
      </c>
      <c r="BP3462" t="s">
        <v>92</v>
      </c>
      <c r="BQ3462" t="s">
        <v>93</v>
      </c>
      <c r="BR3462" t="s">
        <v>94</v>
      </c>
    </row>
    <row r="3463" spans="1:70" x14ac:dyDescent="0.3">
      <c r="A3463" t="str">
        <f>"202446E0100"</f>
        <v>202446E0100</v>
      </c>
      <c r="B3463" s="2" t="s">
        <v>7176</v>
      </c>
      <c r="C3463">
        <v>20</v>
      </c>
      <c r="D3463" t="s">
        <v>88</v>
      </c>
      <c r="E3463">
        <v>570</v>
      </c>
      <c r="F3463" t="s">
        <v>7130</v>
      </c>
      <c r="G3463">
        <v>2446</v>
      </c>
      <c r="H3463">
        <v>1</v>
      </c>
      <c r="I3463" t="s">
        <v>156</v>
      </c>
      <c r="J3463">
        <v>0</v>
      </c>
      <c r="K3463">
        <v>2</v>
      </c>
      <c r="L3463">
        <v>5</v>
      </c>
      <c r="M3463">
        <v>136</v>
      </c>
      <c r="N3463">
        <v>113</v>
      </c>
      <c r="O3463">
        <v>6</v>
      </c>
      <c r="P3463">
        <v>113</v>
      </c>
      <c r="Q3463">
        <v>56</v>
      </c>
      <c r="R3463">
        <v>1</v>
      </c>
      <c r="S3463">
        <v>0</v>
      </c>
      <c r="T3463">
        <v>0</v>
      </c>
      <c r="U3463">
        <v>6</v>
      </c>
      <c r="V3463">
        <v>1</v>
      </c>
      <c r="W3463">
        <v>0</v>
      </c>
      <c r="X3463">
        <v>1</v>
      </c>
      <c r="Y3463">
        <v>25</v>
      </c>
      <c r="Z3463">
        <v>0</v>
      </c>
      <c r="AA3463">
        <v>12</v>
      </c>
      <c r="AC3463">
        <v>0</v>
      </c>
      <c r="AD3463">
        <v>1</v>
      </c>
      <c r="AE3463">
        <v>0</v>
      </c>
      <c r="AF3463">
        <v>0</v>
      </c>
      <c r="AK3463">
        <v>0</v>
      </c>
      <c r="AL3463">
        <v>2</v>
      </c>
      <c r="AM3463">
        <v>0</v>
      </c>
      <c r="AN3463">
        <v>0</v>
      </c>
      <c r="AU3463">
        <v>0</v>
      </c>
      <c r="BC3463">
        <v>0</v>
      </c>
      <c r="BD3463">
        <v>1</v>
      </c>
      <c r="BE3463">
        <v>113</v>
      </c>
      <c r="BF3463">
        <v>106</v>
      </c>
      <c r="BG3463">
        <v>227</v>
      </c>
      <c r="BJ3463">
        <v>1</v>
      </c>
      <c r="BL3463" t="s">
        <v>7177</v>
      </c>
      <c r="BM3463" s="4">
        <v>43283.23333333333</v>
      </c>
      <c r="BN3463" s="4">
        <v>43283.289837962962</v>
      </c>
      <c r="BO3463" s="4">
        <v>43283.289837962962</v>
      </c>
      <c r="BP3463" t="s">
        <v>92</v>
      </c>
      <c r="BQ3463" t="s">
        <v>93</v>
      </c>
      <c r="BR3463" t="s">
        <v>94</v>
      </c>
    </row>
    <row r="3464" spans="1:70" x14ac:dyDescent="0.3">
      <c r="A3464" t="str">
        <f>"202447B0100"</f>
        <v>202447B0100</v>
      </c>
      <c r="B3464" t="s">
        <v>7178</v>
      </c>
      <c r="C3464">
        <v>20</v>
      </c>
      <c r="D3464" t="s">
        <v>88</v>
      </c>
      <c r="E3464">
        <v>570</v>
      </c>
      <c r="F3464" t="s">
        <v>7130</v>
      </c>
      <c r="G3464">
        <v>2447</v>
      </c>
      <c r="H3464">
        <v>1</v>
      </c>
      <c r="I3464" t="s">
        <v>90</v>
      </c>
      <c r="J3464">
        <v>0</v>
      </c>
      <c r="K3464">
        <v>2</v>
      </c>
      <c r="L3464">
        <v>5</v>
      </c>
      <c r="M3464">
        <v>203</v>
      </c>
      <c r="N3464">
        <v>351</v>
      </c>
      <c r="O3464">
        <v>1</v>
      </c>
      <c r="P3464" t="s">
        <v>127</v>
      </c>
      <c r="Q3464">
        <v>143</v>
      </c>
      <c r="R3464">
        <v>24</v>
      </c>
      <c r="S3464">
        <v>15</v>
      </c>
      <c r="T3464">
        <v>4</v>
      </c>
      <c r="U3464">
        <v>21</v>
      </c>
      <c r="V3464">
        <v>3</v>
      </c>
      <c r="W3464">
        <v>6</v>
      </c>
      <c r="X3464">
        <v>2</v>
      </c>
      <c r="Y3464">
        <v>85</v>
      </c>
      <c r="Z3464">
        <v>3</v>
      </c>
      <c r="AA3464">
        <v>25</v>
      </c>
      <c r="AC3464">
        <v>2</v>
      </c>
      <c r="AD3464">
        <v>1</v>
      </c>
      <c r="AE3464">
        <v>1</v>
      </c>
      <c r="AF3464">
        <v>0</v>
      </c>
      <c r="AK3464">
        <v>2</v>
      </c>
      <c r="AL3464">
        <v>0</v>
      </c>
      <c r="AM3464">
        <v>0</v>
      </c>
      <c r="AN3464">
        <v>0</v>
      </c>
      <c r="AU3464">
        <v>0</v>
      </c>
      <c r="BC3464">
        <v>0</v>
      </c>
      <c r="BD3464">
        <v>14</v>
      </c>
      <c r="BE3464">
        <v>351</v>
      </c>
      <c r="BF3464">
        <v>351</v>
      </c>
      <c r="BG3464">
        <v>532</v>
      </c>
      <c r="BJ3464">
        <v>1</v>
      </c>
      <c r="BL3464" t="s">
        <v>7179</v>
      </c>
      <c r="BM3464" s="4">
        <v>43283.104166666664</v>
      </c>
      <c r="BN3464" s="4">
        <v>43283.116655092592</v>
      </c>
      <c r="BO3464" s="4">
        <v>43283.116655092592</v>
      </c>
      <c r="BP3464" t="s">
        <v>92</v>
      </c>
      <c r="BQ3464" t="s">
        <v>93</v>
      </c>
      <c r="BR3464" t="s">
        <v>94</v>
      </c>
    </row>
    <row r="3465" spans="1:70" x14ac:dyDescent="0.3">
      <c r="A3465" t="str">
        <f>"202447C0100"</f>
        <v>202447C0100</v>
      </c>
      <c r="B3465" t="s">
        <v>7180</v>
      </c>
      <c r="C3465">
        <v>20</v>
      </c>
      <c r="D3465" t="s">
        <v>88</v>
      </c>
      <c r="E3465">
        <v>570</v>
      </c>
      <c r="F3465" t="s">
        <v>7130</v>
      </c>
      <c r="G3465">
        <v>2447</v>
      </c>
      <c r="H3465">
        <v>1</v>
      </c>
      <c r="I3465" t="s">
        <v>98</v>
      </c>
      <c r="J3465">
        <v>0</v>
      </c>
      <c r="K3465">
        <v>2</v>
      </c>
      <c r="L3465">
        <v>5</v>
      </c>
      <c r="M3465">
        <v>175</v>
      </c>
      <c r="N3465">
        <v>378</v>
      </c>
      <c r="O3465">
        <v>8</v>
      </c>
      <c r="P3465">
        <v>378</v>
      </c>
      <c r="Q3465">
        <v>143</v>
      </c>
      <c r="R3465">
        <v>21</v>
      </c>
      <c r="S3465">
        <v>23</v>
      </c>
      <c r="T3465">
        <v>4</v>
      </c>
      <c r="U3465">
        <v>11</v>
      </c>
      <c r="V3465">
        <v>4</v>
      </c>
      <c r="W3465">
        <v>13</v>
      </c>
      <c r="X3465">
        <v>5</v>
      </c>
      <c r="Y3465">
        <v>86</v>
      </c>
      <c r="Z3465">
        <v>8</v>
      </c>
      <c r="AA3465">
        <v>36</v>
      </c>
      <c r="AC3465" t="s">
        <v>105</v>
      </c>
      <c r="AD3465">
        <v>0</v>
      </c>
      <c r="AE3465">
        <v>1</v>
      </c>
      <c r="AF3465">
        <v>0</v>
      </c>
      <c r="AK3465">
        <v>2</v>
      </c>
      <c r="AL3465">
        <v>2</v>
      </c>
      <c r="AM3465">
        <v>2</v>
      </c>
      <c r="AN3465">
        <v>2</v>
      </c>
      <c r="AU3465">
        <v>0</v>
      </c>
      <c r="BC3465">
        <v>0</v>
      </c>
      <c r="BD3465">
        <v>17</v>
      </c>
      <c r="BE3465">
        <v>378</v>
      </c>
      <c r="BF3465">
        <v>380</v>
      </c>
      <c r="BG3465">
        <v>531</v>
      </c>
      <c r="BI3465" t="s">
        <v>106</v>
      </c>
      <c r="BJ3465">
        <v>1</v>
      </c>
      <c r="BL3465" t="s">
        <v>7181</v>
      </c>
      <c r="BM3465" s="4">
        <v>43283.104166666664</v>
      </c>
      <c r="BN3465" s="4">
        <v>43283.134386574071</v>
      </c>
      <c r="BO3465" s="4">
        <v>43283.134386574071</v>
      </c>
      <c r="BP3465" t="s">
        <v>92</v>
      </c>
      <c r="BQ3465" t="s">
        <v>93</v>
      </c>
      <c r="BR3465" t="s">
        <v>94</v>
      </c>
    </row>
    <row r="3466" spans="1:70" x14ac:dyDescent="0.3">
      <c r="A3466" t="str">
        <f>"202448B0100"</f>
        <v>202448B0100</v>
      </c>
      <c r="B3466" t="s">
        <v>7182</v>
      </c>
      <c r="C3466">
        <v>20</v>
      </c>
      <c r="D3466" t="s">
        <v>88</v>
      </c>
      <c r="E3466">
        <v>570</v>
      </c>
      <c r="F3466" t="s">
        <v>7130</v>
      </c>
      <c r="G3466">
        <v>2448</v>
      </c>
      <c r="H3466">
        <v>1</v>
      </c>
      <c r="I3466" t="s">
        <v>90</v>
      </c>
      <c r="J3466">
        <v>0</v>
      </c>
      <c r="K3466">
        <v>2</v>
      </c>
      <c r="L3466">
        <v>5</v>
      </c>
      <c r="M3466">
        <v>158</v>
      </c>
      <c r="N3466">
        <v>465</v>
      </c>
      <c r="O3466">
        <v>0</v>
      </c>
      <c r="P3466">
        <v>0</v>
      </c>
      <c r="Q3466">
        <v>132</v>
      </c>
      <c r="R3466">
        <v>14</v>
      </c>
      <c r="S3466">
        <v>6</v>
      </c>
      <c r="T3466">
        <v>3</v>
      </c>
      <c r="U3466">
        <v>14</v>
      </c>
      <c r="V3466">
        <v>2</v>
      </c>
      <c r="W3466">
        <v>0</v>
      </c>
      <c r="X3466">
        <v>1</v>
      </c>
      <c r="Y3466">
        <v>59</v>
      </c>
      <c r="Z3466">
        <v>2</v>
      </c>
      <c r="AA3466">
        <v>40</v>
      </c>
      <c r="AC3466">
        <v>2</v>
      </c>
      <c r="AD3466">
        <v>1</v>
      </c>
      <c r="AE3466">
        <v>0</v>
      </c>
      <c r="AF3466">
        <v>0</v>
      </c>
      <c r="AK3466">
        <v>8</v>
      </c>
      <c r="AL3466">
        <v>0</v>
      </c>
      <c r="AM3466">
        <v>0</v>
      </c>
      <c r="AN3466">
        <v>1</v>
      </c>
      <c r="AU3466">
        <v>0</v>
      </c>
      <c r="BC3466">
        <v>1</v>
      </c>
      <c r="BD3466">
        <v>11</v>
      </c>
      <c r="BE3466">
        <v>297</v>
      </c>
      <c r="BF3466">
        <v>297</v>
      </c>
      <c r="BG3466">
        <v>433</v>
      </c>
      <c r="BJ3466">
        <v>1</v>
      </c>
      <c r="BL3466" t="s">
        <v>7183</v>
      </c>
      <c r="BM3466" s="4">
        <v>43283.163194444445</v>
      </c>
      <c r="BN3466" s="4">
        <v>43283.194166666668</v>
      </c>
      <c r="BO3466" s="4">
        <v>43283.194166666668</v>
      </c>
      <c r="BP3466" t="s">
        <v>92</v>
      </c>
      <c r="BQ3466" t="s">
        <v>93</v>
      </c>
      <c r="BR3466" t="s">
        <v>94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OAX_AYUN_2018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Myself</dc:creator>
  <cp:lastModifiedBy>Myself</cp:lastModifiedBy>
  <dcterms:created xsi:type="dcterms:W3CDTF">2018-07-03T20:24:41Z</dcterms:created>
  <dcterms:modified xsi:type="dcterms:W3CDTF">2018-07-04T19:02:39Z</dcterms:modified>
</cp:coreProperties>
</file>